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omments3.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codeName="{74837BA0-65D6-932C-5D65-3B800EBDC722}"/>
  <workbookPr codeName="ThisWorkbook"/>
  <mc:AlternateContent xmlns:mc="http://schemas.openxmlformats.org/markup-compatibility/2006">
    <mc:Choice Requires="x15">
      <x15ac:absPath xmlns:x15ac="http://schemas.microsoft.com/office/spreadsheetml/2010/11/ac" url="C:\Users\rantoine\Desktop\WMF - Prolog\Prévisions\"/>
    </mc:Choice>
  </mc:AlternateContent>
  <xr:revisionPtr revIDLastSave="0" documentId="13_ncr:1_{386D7171-F728-4DA3-BD80-8F9C5A294881}" xr6:coauthVersionLast="41" xr6:coauthVersionMax="41" xr10:uidLastSave="{00000000-0000-0000-0000-000000000000}"/>
  <bookViews>
    <workbookView xWindow="-108" yWindow="-108" windowWidth="23256" windowHeight="12600" firstSheet="6" activeTab="6" xr2:uid="{00000000-000D-0000-FFFF-FFFF00000000}"/>
  </bookViews>
  <sheets>
    <sheet name="Volumes 2020" sheetId="1" state="hidden" r:id="rId1"/>
    <sheet name="Différence 2018-2019" sheetId="2" state="hidden" r:id="rId2"/>
    <sheet name="Karton AKLBGL" sheetId="3" state="hidden" r:id="rId3"/>
    <sheet name="Feuil1" sheetId="5" state="hidden" r:id="rId4"/>
    <sheet name="Dornstadt" sheetId="8" state="hidden" r:id="rId5"/>
    <sheet name="Bergkamen" sheetId="4" state="hidden" r:id="rId6"/>
    <sheet name="Relocation " sheetId="12" r:id="rId7"/>
    <sheet name="Forecast  " sheetId="7" state="hidden" r:id="rId8"/>
    <sheet name="Parametres" sheetId="10" state="hidden" r:id="rId9"/>
  </sheets>
  <externalReferences>
    <externalReference r:id="rId10"/>
    <externalReference r:id="rId11"/>
  </externalReferences>
  <definedNames>
    <definedName name="_xlnm._FilterDatabase" localSheetId="5" hidden="1">Bergkamen!$A$4:$AJ$831</definedName>
    <definedName name="_xlnm._FilterDatabase" localSheetId="4" hidden="1">Dornstadt!$A$4:$CD$1270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27" i="12" l="1"/>
  <c r="D27" i="12"/>
  <c r="E27" i="12"/>
  <c r="F27" i="12"/>
  <c r="G27" i="12"/>
  <c r="H27" i="12"/>
  <c r="I27" i="12"/>
  <c r="J27" i="12"/>
  <c r="K27" i="12"/>
  <c r="L27" i="12"/>
  <c r="M27" i="12"/>
  <c r="N27" i="12"/>
  <c r="O27" i="12"/>
  <c r="P27" i="12"/>
  <c r="Q27" i="12"/>
  <c r="R27" i="12"/>
  <c r="S27" i="12"/>
  <c r="T27" i="12"/>
  <c r="U27" i="12"/>
  <c r="V27" i="12"/>
  <c r="W27" i="12"/>
  <c r="X27" i="12"/>
  <c r="Y27" i="12"/>
  <c r="Z27" i="12"/>
  <c r="AA27" i="12"/>
  <c r="AB27" i="12"/>
  <c r="AC27" i="12"/>
  <c r="AD27" i="12"/>
  <c r="AE27" i="12"/>
  <c r="AF27" i="12"/>
  <c r="AG27" i="12"/>
  <c r="AH27" i="12"/>
  <c r="AI27" i="12"/>
  <c r="AJ27" i="12"/>
  <c r="AK27" i="12"/>
  <c r="AL27" i="12"/>
  <c r="AM27" i="12"/>
  <c r="AN27" i="12"/>
  <c r="AO27" i="12"/>
  <c r="AP27" i="12"/>
  <c r="AQ27" i="12"/>
  <c r="AR27" i="12"/>
  <c r="AS27" i="12"/>
  <c r="AT27" i="12"/>
  <c r="AU27" i="12"/>
  <c r="AV27" i="12"/>
  <c r="AW27" i="12"/>
  <c r="AX27" i="12"/>
  <c r="AY27" i="12"/>
  <c r="AZ27" i="12"/>
  <c r="BA27" i="12"/>
  <c r="B27" i="12"/>
  <c r="R28" i="7" l="1"/>
  <c r="R27" i="7"/>
  <c r="R26" i="7"/>
  <c r="J17" i="7" l="1"/>
  <c r="N3" i="7" s="1"/>
  <c r="J18" i="7"/>
  <c r="N4" i="7" s="1"/>
  <c r="S1270" i="8" l="1"/>
  <c r="R1270" i="8"/>
  <c r="Q1270" i="8"/>
  <c r="P1270" i="8"/>
  <c r="O1270" i="8"/>
  <c r="N1270" i="8"/>
  <c r="M1270" i="8"/>
  <c r="L1270" i="8"/>
  <c r="J1270" i="8"/>
  <c r="I1270" i="8"/>
  <c r="H1270" i="8"/>
  <c r="G1270" i="8"/>
  <c r="F1270" i="8"/>
  <c r="E1270" i="8"/>
  <c r="Y1269" i="8"/>
  <c r="X1269" i="8"/>
  <c r="W1269" i="8"/>
  <c r="V1269" i="8"/>
  <c r="U1269" i="8"/>
  <c r="D1269" i="8"/>
  <c r="Y1268" i="8"/>
  <c r="X1268" i="8"/>
  <c r="W1268" i="8"/>
  <c r="V1268" i="8"/>
  <c r="U1268" i="8"/>
  <c r="D1268" i="8"/>
  <c r="Y1267" i="8"/>
  <c r="X1267" i="8"/>
  <c r="W1267" i="8"/>
  <c r="V1267" i="8"/>
  <c r="U1267" i="8"/>
  <c r="D1267" i="8"/>
  <c r="Y1266" i="8"/>
  <c r="X1266" i="8"/>
  <c r="W1266" i="8"/>
  <c r="V1266" i="8"/>
  <c r="U1266" i="8"/>
  <c r="D1266" i="8"/>
  <c r="Y1265" i="8"/>
  <c r="X1265" i="8"/>
  <c r="W1265" i="8"/>
  <c r="V1265" i="8"/>
  <c r="U1265" i="8"/>
  <c r="D1265" i="8"/>
  <c r="Y1264" i="8"/>
  <c r="X1264" i="8"/>
  <c r="W1264" i="8"/>
  <c r="V1264" i="8"/>
  <c r="U1264" i="8"/>
  <c r="D1264" i="8"/>
  <c r="Y1263" i="8"/>
  <c r="X1263" i="8"/>
  <c r="W1263" i="8"/>
  <c r="V1263" i="8"/>
  <c r="U1263" i="8"/>
  <c r="D1263" i="8"/>
  <c r="Y1262" i="8"/>
  <c r="X1262" i="8"/>
  <c r="W1262" i="8"/>
  <c r="V1262" i="8"/>
  <c r="U1262" i="8"/>
  <c r="D1262" i="8"/>
  <c r="Y1261" i="8"/>
  <c r="X1261" i="8"/>
  <c r="W1261" i="8"/>
  <c r="V1261" i="8"/>
  <c r="U1261" i="8"/>
  <c r="D1261" i="8"/>
  <c r="Y1260" i="8"/>
  <c r="X1260" i="8"/>
  <c r="W1260" i="8"/>
  <c r="V1260" i="8"/>
  <c r="U1260" i="8"/>
  <c r="D1260" i="8"/>
  <c r="Y1259" i="8"/>
  <c r="X1259" i="8"/>
  <c r="W1259" i="8"/>
  <c r="U1259" i="8"/>
  <c r="D1259" i="8"/>
  <c r="Y1258" i="8"/>
  <c r="X1258" i="8"/>
  <c r="W1258" i="8"/>
  <c r="V1258" i="8"/>
  <c r="U1258" i="8"/>
  <c r="D1258" i="8"/>
  <c r="Y1257" i="8"/>
  <c r="X1257" i="8"/>
  <c r="W1257" i="8"/>
  <c r="V1257" i="8"/>
  <c r="U1257" i="8"/>
  <c r="D1257" i="8"/>
  <c r="Y1256" i="8"/>
  <c r="X1256" i="8"/>
  <c r="W1256" i="8"/>
  <c r="V1256" i="8"/>
  <c r="U1256" i="8"/>
  <c r="D1256" i="8"/>
  <c r="Y1255" i="8"/>
  <c r="X1255" i="8"/>
  <c r="W1255" i="8"/>
  <c r="V1255" i="8"/>
  <c r="U1255" i="8"/>
  <c r="D1255" i="8"/>
  <c r="Y1254" i="8"/>
  <c r="X1254" i="8"/>
  <c r="W1254" i="8"/>
  <c r="V1254" i="8"/>
  <c r="U1254" i="8"/>
  <c r="D1254" i="8"/>
  <c r="Y1253" i="8"/>
  <c r="X1253" i="8"/>
  <c r="W1253" i="8"/>
  <c r="V1253" i="8"/>
  <c r="U1253" i="8"/>
  <c r="D1253" i="8"/>
  <c r="Y1252" i="8"/>
  <c r="X1252" i="8"/>
  <c r="W1252" i="8"/>
  <c r="V1252" i="8"/>
  <c r="U1252" i="8"/>
  <c r="D1252" i="8"/>
  <c r="Y1251" i="8"/>
  <c r="X1251" i="8"/>
  <c r="W1251" i="8"/>
  <c r="V1251" i="8"/>
  <c r="U1251" i="8"/>
  <c r="D1251" i="8"/>
  <c r="Y1250" i="8"/>
  <c r="X1250" i="8"/>
  <c r="W1250" i="8"/>
  <c r="V1250" i="8"/>
  <c r="U1250" i="8"/>
  <c r="D1250" i="8"/>
  <c r="Y1249" i="8"/>
  <c r="X1249" i="8"/>
  <c r="W1249" i="8"/>
  <c r="V1249" i="8"/>
  <c r="U1249" i="8"/>
  <c r="D1249" i="8"/>
  <c r="Y1248" i="8"/>
  <c r="X1248" i="8"/>
  <c r="W1248" i="8"/>
  <c r="V1248" i="8"/>
  <c r="U1248" i="8"/>
  <c r="D1248" i="8"/>
  <c r="Y1247" i="8"/>
  <c r="X1247" i="8"/>
  <c r="W1247" i="8"/>
  <c r="V1247" i="8"/>
  <c r="U1247" i="8"/>
  <c r="D1247" i="8"/>
  <c r="Y1246" i="8"/>
  <c r="X1246" i="8"/>
  <c r="W1246" i="8"/>
  <c r="V1246" i="8"/>
  <c r="U1246" i="8"/>
  <c r="D1246" i="8"/>
  <c r="Y1245" i="8"/>
  <c r="X1245" i="8"/>
  <c r="W1245" i="8"/>
  <c r="V1245" i="8"/>
  <c r="U1245" i="8"/>
  <c r="D1245" i="8"/>
  <c r="Y1244" i="8"/>
  <c r="X1244" i="8"/>
  <c r="W1244" i="8"/>
  <c r="V1244" i="8"/>
  <c r="U1244" i="8"/>
  <c r="D1244" i="8"/>
  <c r="D1243" i="8"/>
  <c r="D1242" i="8"/>
  <c r="Y1241" i="8"/>
  <c r="X1241" i="8"/>
  <c r="W1241" i="8"/>
  <c r="V1241" i="8"/>
  <c r="U1241" i="8"/>
  <c r="D1241" i="8"/>
  <c r="Y1240" i="8"/>
  <c r="X1240" i="8"/>
  <c r="W1240" i="8"/>
  <c r="V1240" i="8"/>
  <c r="U1240" i="8"/>
  <c r="D1240" i="8"/>
  <c r="Y1239" i="8"/>
  <c r="X1239" i="8"/>
  <c r="W1239" i="8"/>
  <c r="V1239" i="8"/>
  <c r="U1239" i="8"/>
  <c r="D1239" i="8"/>
  <c r="X1238" i="8"/>
  <c r="D1238" i="8"/>
  <c r="Y1237" i="8"/>
  <c r="X1237" i="8"/>
  <c r="W1237" i="8"/>
  <c r="V1237" i="8"/>
  <c r="U1237" i="8"/>
  <c r="D1237" i="8"/>
  <c r="X1236" i="8"/>
  <c r="D1236" i="8"/>
  <c r="Y1235" i="8"/>
  <c r="X1235" i="8"/>
  <c r="W1235" i="8"/>
  <c r="V1235" i="8"/>
  <c r="U1235" i="8"/>
  <c r="D1235" i="8"/>
  <c r="Y1234" i="8"/>
  <c r="X1234" i="8"/>
  <c r="W1234" i="8"/>
  <c r="V1234" i="8"/>
  <c r="U1234" i="8"/>
  <c r="D1234" i="8"/>
  <c r="Y1233" i="8"/>
  <c r="X1233" i="8"/>
  <c r="W1233" i="8"/>
  <c r="V1233" i="8"/>
  <c r="U1233" i="8"/>
  <c r="D1233" i="8"/>
  <c r="Y1232" i="8"/>
  <c r="X1232" i="8"/>
  <c r="W1232" i="8"/>
  <c r="V1232" i="8"/>
  <c r="U1232" i="8"/>
  <c r="D1232" i="8"/>
  <c r="Y1231" i="8"/>
  <c r="X1231" i="8"/>
  <c r="W1231" i="8"/>
  <c r="V1231" i="8"/>
  <c r="U1231" i="8"/>
  <c r="D1231" i="8"/>
  <c r="Y1230" i="8"/>
  <c r="X1230" i="8"/>
  <c r="W1230" i="8"/>
  <c r="V1230" i="8"/>
  <c r="U1230" i="8"/>
  <c r="D1230" i="8"/>
  <c r="Y1229" i="8"/>
  <c r="X1229" i="8"/>
  <c r="W1229" i="8"/>
  <c r="V1229" i="8"/>
  <c r="U1229" i="8"/>
  <c r="D1229" i="8"/>
  <c r="Y1228" i="8"/>
  <c r="X1228" i="8"/>
  <c r="W1228" i="8"/>
  <c r="V1228" i="8"/>
  <c r="U1228" i="8"/>
  <c r="D1228" i="8"/>
  <c r="Y1227" i="8"/>
  <c r="X1227" i="8"/>
  <c r="W1227" i="8"/>
  <c r="V1227" i="8"/>
  <c r="U1227" i="8"/>
  <c r="D1227" i="8"/>
  <c r="Y1226" i="8"/>
  <c r="X1226" i="8"/>
  <c r="W1226" i="8"/>
  <c r="V1226" i="8"/>
  <c r="U1226" i="8"/>
  <c r="D1226" i="8"/>
  <c r="Y1225" i="8"/>
  <c r="X1225" i="8"/>
  <c r="W1225" i="8"/>
  <c r="V1225" i="8"/>
  <c r="U1225" i="8"/>
  <c r="D1225" i="8"/>
  <c r="Y1224" i="8"/>
  <c r="X1224" i="8"/>
  <c r="W1224" i="8"/>
  <c r="V1224" i="8"/>
  <c r="U1224" i="8"/>
  <c r="D1224" i="8"/>
  <c r="Y1223" i="8"/>
  <c r="X1223" i="8"/>
  <c r="W1223" i="8"/>
  <c r="V1223" i="8"/>
  <c r="U1223" i="8"/>
  <c r="D1223" i="8"/>
  <c r="Y1222" i="8"/>
  <c r="X1222" i="8"/>
  <c r="W1222" i="8"/>
  <c r="V1222" i="8"/>
  <c r="U1222" i="8"/>
  <c r="D1222" i="8"/>
  <c r="Y1221" i="8"/>
  <c r="X1221" i="8"/>
  <c r="W1221" i="8"/>
  <c r="V1221" i="8"/>
  <c r="U1221" i="8"/>
  <c r="D1221" i="8"/>
  <c r="D1220" i="8"/>
  <c r="D1219" i="8"/>
  <c r="Y1218" i="8"/>
  <c r="X1218" i="8"/>
  <c r="W1218" i="8"/>
  <c r="V1218" i="8"/>
  <c r="U1218" i="8"/>
  <c r="D1218" i="8"/>
  <c r="Y1217" i="8"/>
  <c r="X1217" i="8"/>
  <c r="W1217" i="8"/>
  <c r="V1217" i="8"/>
  <c r="U1217" i="8"/>
  <c r="D1217" i="8"/>
  <c r="Y1216" i="8"/>
  <c r="X1216" i="8"/>
  <c r="W1216" i="8"/>
  <c r="V1216" i="8"/>
  <c r="U1216" i="8"/>
  <c r="D1216" i="8"/>
  <c r="Y1215" i="8"/>
  <c r="X1215" i="8"/>
  <c r="W1215" i="8"/>
  <c r="V1215" i="8"/>
  <c r="U1215" i="8"/>
  <c r="D1215" i="8"/>
  <c r="X1214" i="8"/>
  <c r="D1214" i="8"/>
  <c r="Y1213" i="8"/>
  <c r="X1213" i="8"/>
  <c r="W1213" i="8"/>
  <c r="V1213" i="8"/>
  <c r="U1213" i="8"/>
  <c r="D1213" i="8"/>
  <c r="D1212" i="8"/>
  <c r="Y1211" i="8"/>
  <c r="X1211" i="8"/>
  <c r="W1211" i="8"/>
  <c r="V1211" i="8"/>
  <c r="U1211" i="8"/>
  <c r="D1211" i="8"/>
  <c r="Y1210" i="8"/>
  <c r="X1210" i="8"/>
  <c r="W1210" i="8"/>
  <c r="V1210" i="8"/>
  <c r="U1210" i="8"/>
  <c r="D1210" i="8"/>
  <c r="Y1209" i="8"/>
  <c r="X1209" i="8"/>
  <c r="W1209" i="8"/>
  <c r="V1209" i="8"/>
  <c r="U1209" i="8"/>
  <c r="D1209" i="8"/>
  <c r="Y1208" i="8"/>
  <c r="X1208" i="8"/>
  <c r="W1208" i="8"/>
  <c r="V1208" i="8"/>
  <c r="U1208" i="8"/>
  <c r="D1208" i="8"/>
  <c r="Y1207" i="8"/>
  <c r="X1207" i="8"/>
  <c r="W1207" i="8"/>
  <c r="V1207" i="8"/>
  <c r="U1207" i="8"/>
  <c r="D1207" i="8"/>
  <c r="Y1206" i="8"/>
  <c r="X1206" i="8"/>
  <c r="W1206" i="8"/>
  <c r="V1206" i="8"/>
  <c r="U1206" i="8"/>
  <c r="D1206" i="8"/>
  <c r="Y1205" i="8"/>
  <c r="X1205" i="8"/>
  <c r="W1205" i="8"/>
  <c r="V1205" i="8"/>
  <c r="U1205" i="8"/>
  <c r="D1205" i="8"/>
  <c r="Y1204" i="8"/>
  <c r="X1204" i="8"/>
  <c r="W1204" i="8"/>
  <c r="V1204" i="8"/>
  <c r="U1204" i="8"/>
  <c r="D1204" i="8"/>
  <c r="Y1203" i="8"/>
  <c r="X1203" i="8"/>
  <c r="W1203" i="8"/>
  <c r="V1203" i="8"/>
  <c r="U1203" i="8"/>
  <c r="D1203" i="8"/>
  <c r="Y1202" i="8"/>
  <c r="X1202" i="8"/>
  <c r="W1202" i="8"/>
  <c r="V1202" i="8"/>
  <c r="U1202" i="8"/>
  <c r="D1202" i="8"/>
  <c r="Y1201" i="8"/>
  <c r="X1201" i="8"/>
  <c r="W1201" i="8"/>
  <c r="V1201" i="8"/>
  <c r="U1201" i="8"/>
  <c r="D1201" i="8"/>
  <c r="Y1200" i="8"/>
  <c r="X1200" i="8"/>
  <c r="W1200" i="8"/>
  <c r="V1200" i="8"/>
  <c r="U1200" i="8"/>
  <c r="D1200" i="8"/>
  <c r="Y1199" i="8"/>
  <c r="X1199" i="8"/>
  <c r="W1199" i="8"/>
  <c r="V1199" i="8"/>
  <c r="U1199" i="8"/>
  <c r="D1199" i="8"/>
  <c r="Y1198" i="8"/>
  <c r="X1198" i="8"/>
  <c r="W1198" i="8"/>
  <c r="V1198" i="8"/>
  <c r="U1198" i="8"/>
  <c r="D1198" i="8"/>
  <c r="Y1197" i="8"/>
  <c r="X1197" i="8"/>
  <c r="W1197" i="8"/>
  <c r="V1197" i="8"/>
  <c r="U1197" i="8"/>
  <c r="D1197" i="8"/>
  <c r="Y1196" i="8"/>
  <c r="X1196" i="8"/>
  <c r="W1196" i="8"/>
  <c r="V1196" i="8"/>
  <c r="U1196" i="8"/>
  <c r="D1196" i="8"/>
  <c r="D1195" i="8"/>
  <c r="D1194" i="8"/>
  <c r="Y1193" i="8"/>
  <c r="X1193" i="8"/>
  <c r="W1193" i="8"/>
  <c r="V1193" i="8"/>
  <c r="U1193" i="8"/>
  <c r="D1193" i="8"/>
  <c r="Y1192" i="8"/>
  <c r="X1192" i="8"/>
  <c r="W1192" i="8"/>
  <c r="V1192" i="8"/>
  <c r="U1192" i="8"/>
  <c r="D1192" i="8"/>
  <c r="Y1191" i="8"/>
  <c r="X1191" i="8"/>
  <c r="W1191" i="8"/>
  <c r="V1191" i="8"/>
  <c r="U1191" i="8"/>
  <c r="D1191" i="8"/>
  <c r="X1190" i="8"/>
  <c r="D1190" i="8"/>
  <c r="Y1189" i="8"/>
  <c r="X1189" i="8"/>
  <c r="W1189" i="8"/>
  <c r="V1189" i="8"/>
  <c r="U1189" i="8"/>
  <c r="D1189" i="8"/>
  <c r="D1188" i="8"/>
  <c r="Y1187" i="8"/>
  <c r="X1187" i="8"/>
  <c r="W1187" i="8"/>
  <c r="V1187" i="8"/>
  <c r="U1187" i="8"/>
  <c r="D1187" i="8"/>
  <c r="Y1186" i="8"/>
  <c r="X1186" i="8"/>
  <c r="W1186" i="8"/>
  <c r="V1186" i="8"/>
  <c r="U1186" i="8"/>
  <c r="D1186" i="8"/>
  <c r="Y1185" i="8"/>
  <c r="X1185" i="8"/>
  <c r="W1185" i="8"/>
  <c r="V1185" i="8"/>
  <c r="U1185" i="8"/>
  <c r="D1185" i="8"/>
  <c r="Y1184" i="8"/>
  <c r="X1184" i="8"/>
  <c r="W1184" i="8"/>
  <c r="V1184" i="8"/>
  <c r="U1184" i="8"/>
  <c r="D1184" i="8"/>
  <c r="Y1183" i="8"/>
  <c r="X1183" i="8"/>
  <c r="W1183" i="8"/>
  <c r="V1183" i="8"/>
  <c r="U1183" i="8"/>
  <c r="D1183" i="8"/>
  <c r="Y1182" i="8"/>
  <c r="X1182" i="8"/>
  <c r="W1182" i="8"/>
  <c r="V1182" i="8"/>
  <c r="U1182" i="8"/>
  <c r="D1182" i="8"/>
  <c r="Y1181" i="8"/>
  <c r="X1181" i="8"/>
  <c r="W1181" i="8"/>
  <c r="V1181" i="8"/>
  <c r="U1181" i="8"/>
  <c r="D1181" i="8"/>
  <c r="Y1180" i="8"/>
  <c r="X1180" i="8"/>
  <c r="W1180" i="8"/>
  <c r="V1180" i="8"/>
  <c r="U1180" i="8"/>
  <c r="D1180" i="8"/>
  <c r="Y1179" i="8"/>
  <c r="X1179" i="8"/>
  <c r="W1179" i="8"/>
  <c r="V1179" i="8"/>
  <c r="U1179" i="8"/>
  <c r="D1179" i="8"/>
  <c r="Y1178" i="8"/>
  <c r="X1178" i="8"/>
  <c r="W1178" i="8"/>
  <c r="V1178" i="8"/>
  <c r="U1178" i="8"/>
  <c r="D1178" i="8"/>
  <c r="Y1177" i="8"/>
  <c r="X1177" i="8"/>
  <c r="W1177" i="8"/>
  <c r="V1177" i="8"/>
  <c r="U1177" i="8"/>
  <c r="D1177" i="8"/>
  <c r="Y1176" i="8"/>
  <c r="X1176" i="8"/>
  <c r="W1176" i="8"/>
  <c r="V1176" i="8"/>
  <c r="U1176" i="8"/>
  <c r="D1176" i="8"/>
  <c r="Y1175" i="8"/>
  <c r="X1175" i="8"/>
  <c r="W1175" i="8"/>
  <c r="V1175" i="8"/>
  <c r="U1175" i="8"/>
  <c r="D1175" i="8"/>
  <c r="Y1174" i="8"/>
  <c r="X1174" i="8"/>
  <c r="W1174" i="8"/>
  <c r="V1174" i="8"/>
  <c r="U1174" i="8"/>
  <c r="D1174" i="8"/>
  <c r="Y1173" i="8"/>
  <c r="X1173" i="8"/>
  <c r="W1173" i="8"/>
  <c r="V1173" i="8"/>
  <c r="U1173" i="8"/>
  <c r="D1173" i="8"/>
  <c r="Y1172" i="8"/>
  <c r="X1172" i="8"/>
  <c r="W1172" i="8"/>
  <c r="V1172" i="8"/>
  <c r="U1172" i="8"/>
  <c r="D1172" i="8"/>
  <c r="D1171" i="8"/>
  <c r="D1170" i="8"/>
  <c r="Y1169" i="8"/>
  <c r="X1169" i="8"/>
  <c r="W1169" i="8"/>
  <c r="V1169" i="8"/>
  <c r="U1169" i="8"/>
  <c r="D1169" i="8"/>
  <c r="Y1168" i="8"/>
  <c r="X1168" i="8"/>
  <c r="W1168" i="8"/>
  <c r="V1168" i="8"/>
  <c r="U1168" i="8"/>
  <c r="D1168" i="8"/>
  <c r="Y1167" i="8"/>
  <c r="X1167" i="8"/>
  <c r="W1167" i="8"/>
  <c r="V1167" i="8"/>
  <c r="U1167" i="8"/>
  <c r="D1167" i="8"/>
  <c r="Y1166" i="8"/>
  <c r="X1166" i="8"/>
  <c r="W1166" i="8"/>
  <c r="V1166" i="8"/>
  <c r="U1166" i="8"/>
  <c r="D1166" i="8"/>
  <c r="X1165" i="8"/>
  <c r="D1165" i="8"/>
  <c r="Y1164" i="8"/>
  <c r="X1164" i="8"/>
  <c r="W1164" i="8"/>
  <c r="V1164" i="8"/>
  <c r="U1164" i="8"/>
  <c r="D1164" i="8"/>
  <c r="D1163" i="8"/>
  <c r="Y1162" i="8"/>
  <c r="X1162" i="8"/>
  <c r="W1162" i="8"/>
  <c r="V1162" i="8"/>
  <c r="U1162" i="8"/>
  <c r="D1162" i="8"/>
  <c r="Y1161" i="8"/>
  <c r="X1161" i="8"/>
  <c r="W1161" i="8"/>
  <c r="V1161" i="8"/>
  <c r="U1161" i="8"/>
  <c r="D1161" i="8"/>
  <c r="Y1160" i="8"/>
  <c r="X1160" i="8"/>
  <c r="W1160" i="8"/>
  <c r="V1160" i="8"/>
  <c r="U1160" i="8"/>
  <c r="D1160" i="8"/>
  <c r="Y1159" i="8"/>
  <c r="X1159" i="8"/>
  <c r="W1159" i="8"/>
  <c r="V1159" i="8"/>
  <c r="U1159" i="8"/>
  <c r="D1159" i="8"/>
  <c r="Y1158" i="8"/>
  <c r="X1158" i="8"/>
  <c r="W1158" i="8"/>
  <c r="V1158" i="8"/>
  <c r="U1158" i="8"/>
  <c r="D1158" i="8"/>
  <c r="Y1157" i="8"/>
  <c r="X1157" i="8"/>
  <c r="W1157" i="8"/>
  <c r="V1157" i="8"/>
  <c r="U1157" i="8"/>
  <c r="D1157" i="8"/>
  <c r="Y1156" i="8"/>
  <c r="X1156" i="8"/>
  <c r="W1156" i="8"/>
  <c r="V1156" i="8"/>
  <c r="U1156" i="8"/>
  <c r="D1156" i="8"/>
  <c r="Y1155" i="8"/>
  <c r="X1155" i="8"/>
  <c r="W1155" i="8"/>
  <c r="V1155" i="8"/>
  <c r="U1155" i="8"/>
  <c r="D1155" i="8"/>
  <c r="Y1154" i="8"/>
  <c r="X1154" i="8"/>
  <c r="W1154" i="8"/>
  <c r="V1154" i="8"/>
  <c r="U1154" i="8"/>
  <c r="D1154" i="8"/>
  <c r="Y1153" i="8"/>
  <c r="X1153" i="8"/>
  <c r="W1153" i="8"/>
  <c r="V1153" i="8"/>
  <c r="U1153" i="8"/>
  <c r="D1153" i="8"/>
  <c r="Y1152" i="8"/>
  <c r="X1152" i="8"/>
  <c r="W1152" i="8"/>
  <c r="V1152" i="8"/>
  <c r="U1152" i="8"/>
  <c r="D1152" i="8"/>
  <c r="Y1151" i="8"/>
  <c r="X1151" i="8"/>
  <c r="W1151" i="8"/>
  <c r="V1151" i="8"/>
  <c r="U1151" i="8"/>
  <c r="D1151" i="8"/>
  <c r="Y1150" i="8"/>
  <c r="X1150" i="8"/>
  <c r="W1150" i="8"/>
  <c r="V1150" i="8"/>
  <c r="U1150" i="8"/>
  <c r="D1150" i="8"/>
  <c r="Y1149" i="8"/>
  <c r="X1149" i="8"/>
  <c r="W1149" i="8"/>
  <c r="V1149" i="8"/>
  <c r="U1149" i="8"/>
  <c r="D1149" i="8"/>
  <c r="D1148" i="8"/>
  <c r="D1147" i="8"/>
  <c r="Y1146" i="8"/>
  <c r="X1146" i="8"/>
  <c r="W1146" i="8"/>
  <c r="V1146" i="8"/>
  <c r="U1146" i="8"/>
  <c r="D1146" i="8"/>
  <c r="Y1145" i="8"/>
  <c r="X1145" i="8"/>
  <c r="W1145" i="8"/>
  <c r="V1145" i="8"/>
  <c r="U1145" i="8"/>
  <c r="D1145" i="8"/>
  <c r="Y1144" i="8"/>
  <c r="X1144" i="8"/>
  <c r="W1144" i="8"/>
  <c r="V1144" i="8"/>
  <c r="U1144" i="8"/>
  <c r="D1144" i="8"/>
  <c r="Y1143" i="8"/>
  <c r="X1143" i="8"/>
  <c r="W1143" i="8"/>
  <c r="V1143" i="8"/>
  <c r="U1143" i="8"/>
  <c r="D1143" i="8"/>
  <c r="Y1142" i="8"/>
  <c r="X1142" i="8"/>
  <c r="W1142" i="8"/>
  <c r="V1142" i="8"/>
  <c r="U1142" i="8"/>
  <c r="D1142" i="8"/>
  <c r="X1141" i="8"/>
  <c r="D1141" i="8"/>
  <c r="Y1140" i="8"/>
  <c r="X1140" i="8"/>
  <c r="W1140" i="8"/>
  <c r="V1140" i="8"/>
  <c r="U1140" i="8"/>
  <c r="D1140" i="8"/>
  <c r="X1139" i="8"/>
  <c r="D1139" i="8"/>
  <c r="Y1138" i="8"/>
  <c r="X1138" i="8"/>
  <c r="W1138" i="8"/>
  <c r="V1138" i="8"/>
  <c r="U1138" i="8"/>
  <c r="D1138" i="8"/>
  <c r="Y1137" i="8"/>
  <c r="X1137" i="8"/>
  <c r="W1137" i="8"/>
  <c r="V1137" i="8"/>
  <c r="U1137" i="8"/>
  <c r="D1137" i="8"/>
  <c r="Y1136" i="8"/>
  <c r="X1136" i="8"/>
  <c r="W1136" i="8"/>
  <c r="V1136" i="8"/>
  <c r="U1136" i="8"/>
  <c r="D1136" i="8"/>
  <c r="Y1135" i="8"/>
  <c r="X1135" i="8"/>
  <c r="W1135" i="8"/>
  <c r="V1135" i="8"/>
  <c r="U1135" i="8"/>
  <c r="D1135" i="8"/>
  <c r="Y1134" i="8"/>
  <c r="X1134" i="8"/>
  <c r="W1134" i="8"/>
  <c r="V1134" i="8"/>
  <c r="U1134" i="8"/>
  <c r="D1134" i="8"/>
  <c r="Y1133" i="8"/>
  <c r="X1133" i="8"/>
  <c r="W1133" i="8"/>
  <c r="V1133" i="8"/>
  <c r="U1133" i="8"/>
  <c r="D1133" i="8"/>
  <c r="Y1132" i="8"/>
  <c r="X1132" i="8"/>
  <c r="W1132" i="8"/>
  <c r="V1132" i="8"/>
  <c r="U1132" i="8"/>
  <c r="D1132" i="8"/>
  <c r="Y1131" i="8"/>
  <c r="X1131" i="8"/>
  <c r="W1131" i="8"/>
  <c r="V1131" i="8"/>
  <c r="U1131" i="8"/>
  <c r="D1131" i="8"/>
  <c r="Y1130" i="8"/>
  <c r="X1130" i="8"/>
  <c r="W1130" i="8"/>
  <c r="V1130" i="8"/>
  <c r="U1130" i="8"/>
  <c r="D1130" i="8"/>
  <c r="Y1129" i="8"/>
  <c r="X1129" i="8"/>
  <c r="W1129" i="8"/>
  <c r="V1129" i="8"/>
  <c r="U1129" i="8"/>
  <c r="D1129" i="8"/>
  <c r="Y1128" i="8"/>
  <c r="X1128" i="8"/>
  <c r="W1128" i="8"/>
  <c r="V1128" i="8"/>
  <c r="U1128" i="8"/>
  <c r="D1128" i="8"/>
  <c r="Y1127" i="8"/>
  <c r="X1127" i="8"/>
  <c r="W1127" i="8"/>
  <c r="V1127" i="8"/>
  <c r="U1127" i="8"/>
  <c r="D1127" i="8"/>
  <c r="Y1126" i="8"/>
  <c r="X1126" i="8"/>
  <c r="W1126" i="8"/>
  <c r="V1126" i="8"/>
  <c r="U1126" i="8"/>
  <c r="D1126" i="8"/>
  <c r="Y1125" i="8"/>
  <c r="X1125" i="8"/>
  <c r="W1125" i="8"/>
  <c r="V1125" i="8"/>
  <c r="U1125" i="8"/>
  <c r="D1125" i="8"/>
  <c r="D1124" i="8"/>
  <c r="D1123" i="8"/>
  <c r="Y1122" i="8"/>
  <c r="X1122" i="8"/>
  <c r="W1122" i="8"/>
  <c r="V1122" i="8"/>
  <c r="U1122" i="8"/>
  <c r="D1122" i="8"/>
  <c r="Y1121" i="8"/>
  <c r="X1121" i="8"/>
  <c r="W1121" i="8"/>
  <c r="V1121" i="8"/>
  <c r="U1121" i="8"/>
  <c r="D1121" i="8"/>
  <c r="Y1120" i="8"/>
  <c r="X1120" i="8"/>
  <c r="W1120" i="8"/>
  <c r="V1120" i="8"/>
  <c r="U1120" i="8"/>
  <c r="D1120" i="8"/>
  <c r="Y1119" i="8"/>
  <c r="X1119" i="8"/>
  <c r="W1119" i="8"/>
  <c r="V1119" i="8"/>
  <c r="U1119" i="8"/>
  <c r="D1119" i="8"/>
  <c r="Y1118" i="8"/>
  <c r="X1118" i="8"/>
  <c r="W1118" i="8"/>
  <c r="V1118" i="8"/>
  <c r="U1118" i="8"/>
  <c r="D1118" i="8"/>
  <c r="X1117" i="8"/>
  <c r="D1117" i="8"/>
  <c r="Y1116" i="8"/>
  <c r="X1116" i="8"/>
  <c r="W1116" i="8"/>
  <c r="V1116" i="8"/>
  <c r="U1116" i="8"/>
  <c r="D1116" i="8"/>
  <c r="X1115" i="8"/>
  <c r="D1115" i="8"/>
  <c r="Y1114" i="8"/>
  <c r="X1114" i="8"/>
  <c r="W1114" i="8"/>
  <c r="V1114" i="8"/>
  <c r="U1114" i="8"/>
  <c r="D1114" i="8"/>
  <c r="Y1113" i="8"/>
  <c r="X1113" i="8"/>
  <c r="W1113" i="8"/>
  <c r="V1113" i="8"/>
  <c r="U1113" i="8"/>
  <c r="D1113" i="8"/>
  <c r="Y1112" i="8"/>
  <c r="X1112" i="8"/>
  <c r="W1112" i="8"/>
  <c r="V1112" i="8"/>
  <c r="U1112" i="8"/>
  <c r="D1112" i="8"/>
  <c r="Y1111" i="8"/>
  <c r="X1111" i="8"/>
  <c r="W1111" i="8"/>
  <c r="V1111" i="8"/>
  <c r="U1111" i="8"/>
  <c r="D1111" i="8"/>
  <c r="Y1110" i="8"/>
  <c r="X1110" i="8"/>
  <c r="W1110" i="8"/>
  <c r="V1110" i="8"/>
  <c r="U1110" i="8"/>
  <c r="D1110" i="8"/>
  <c r="Y1109" i="8"/>
  <c r="X1109" i="8"/>
  <c r="W1109" i="8"/>
  <c r="V1109" i="8"/>
  <c r="U1109" i="8"/>
  <c r="D1109" i="8"/>
  <c r="Y1108" i="8"/>
  <c r="X1108" i="8"/>
  <c r="W1108" i="8"/>
  <c r="V1108" i="8"/>
  <c r="U1108" i="8"/>
  <c r="D1108" i="8"/>
  <c r="Y1107" i="8"/>
  <c r="X1107" i="8"/>
  <c r="W1107" i="8"/>
  <c r="V1107" i="8"/>
  <c r="U1107" i="8"/>
  <c r="D1107" i="8"/>
  <c r="Y1106" i="8"/>
  <c r="X1106" i="8"/>
  <c r="W1106" i="8"/>
  <c r="V1106" i="8"/>
  <c r="U1106" i="8"/>
  <c r="D1106" i="8"/>
  <c r="Y1105" i="8"/>
  <c r="X1105" i="8"/>
  <c r="W1105" i="8"/>
  <c r="V1105" i="8"/>
  <c r="U1105" i="8"/>
  <c r="D1105" i="8"/>
  <c r="Y1104" i="8"/>
  <c r="X1104" i="8"/>
  <c r="W1104" i="8"/>
  <c r="V1104" i="8"/>
  <c r="U1104" i="8"/>
  <c r="D1104" i="8"/>
  <c r="Y1103" i="8"/>
  <c r="X1103" i="8"/>
  <c r="W1103" i="8"/>
  <c r="V1103" i="8"/>
  <c r="U1103" i="8"/>
  <c r="D1103" i="8"/>
  <c r="Y1102" i="8"/>
  <c r="X1102" i="8"/>
  <c r="W1102" i="8"/>
  <c r="V1102" i="8"/>
  <c r="U1102" i="8"/>
  <c r="D1102" i="8"/>
  <c r="Y1101" i="8"/>
  <c r="X1101" i="8"/>
  <c r="W1101" i="8"/>
  <c r="V1101" i="8"/>
  <c r="U1101" i="8"/>
  <c r="D1101" i="8"/>
  <c r="D1100" i="8"/>
  <c r="D1099" i="8"/>
  <c r="Y1098" i="8"/>
  <c r="X1098" i="8"/>
  <c r="W1098" i="8"/>
  <c r="V1098" i="8"/>
  <c r="U1098" i="8"/>
  <c r="D1098" i="8"/>
  <c r="Y1097" i="8"/>
  <c r="X1097" i="8"/>
  <c r="W1097" i="8"/>
  <c r="V1097" i="8"/>
  <c r="U1097" i="8"/>
  <c r="D1097" i="8"/>
  <c r="Y1096" i="8"/>
  <c r="X1096" i="8"/>
  <c r="W1096" i="8"/>
  <c r="V1096" i="8"/>
  <c r="U1096" i="8"/>
  <c r="D1096" i="8"/>
  <c r="Y1095" i="8"/>
  <c r="X1095" i="8"/>
  <c r="W1095" i="8"/>
  <c r="V1095" i="8"/>
  <c r="U1095" i="8"/>
  <c r="D1095" i="8"/>
  <c r="Y1094" i="8"/>
  <c r="X1094" i="8"/>
  <c r="W1094" i="8"/>
  <c r="V1094" i="8"/>
  <c r="U1094" i="8"/>
  <c r="D1094" i="8"/>
  <c r="X1093" i="8"/>
  <c r="D1093" i="8"/>
  <c r="Y1092" i="8"/>
  <c r="X1092" i="8"/>
  <c r="W1092" i="8"/>
  <c r="V1092" i="8"/>
  <c r="U1092" i="8"/>
  <c r="D1092" i="8"/>
  <c r="X1091" i="8"/>
  <c r="D1091" i="8"/>
  <c r="Y1090" i="8"/>
  <c r="X1090" i="8"/>
  <c r="W1090" i="8"/>
  <c r="V1090" i="8"/>
  <c r="U1090" i="8"/>
  <c r="D1090" i="8"/>
  <c r="Y1089" i="8"/>
  <c r="X1089" i="8"/>
  <c r="W1089" i="8"/>
  <c r="V1089" i="8"/>
  <c r="U1089" i="8"/>
  <c r="D1089" i="8"/>
  <c r="Y1088" i="8"/>
  <c r="X1088" i="8"/>
  <c r="W1088" i="8"/>
  <c r="V1088" i="8"/>
  <c r="U1088" i="8"/>
  <c r="D1088" i="8"/>
  <c r="Y1087" i="8"/>
  <c r="X1087" i="8"/>
  <c r="W1087" i="8"/>
  <c r="V1087" i="8"/>
  <c r="U1087" i="8"/>
  <c r="D1087" i="8"/>
  <c r="Y1086" i="8"/>
  <c r="X1086" i="8"/>
  <c r="W1086" i="8"/>
  <c r="V1086" i="8"/>
  <c r="U1086" i="8"/>
  <c r="D1086" i="8"/>
  <c r="Y1085" i="8"/>
  <c r="X1085" i="8"/>
  <c r="W1085" i="8"/>
  <c r="V1085" i="8"/>
  <c r="U1085" i="8"/>
  <c r="D1085" i="8"/>
  <c r="Y1084" i="8"/>
  <c r="X1084" i="8"/>
  <c r="W1084" i="8"/>
  <c r="V1084" i="8"/>
  <c r="U1084" i="8"/>
  <c r="D1084" i="8"/>
  <c r="Y1083" i="8"/>
  <c r="X1083" i="8"/>
  <c r="W1083" i="8"/>
  <c r="V1083" i="8"/>
  <c r="U1083" i="8"/>
  <c r="D1083" i="8"/>
  <c r="Y1082" i="8"/>
  <c r="X1082" i="8"/>
  <c r="W1082" i="8"/>
  <c r="V1082" i="8"/>
  <c r="U1082" i="8"/>
  <c r="D1082" i="8"/>
  <c r="Y1081" i="8"/>
  <c r="X1081" i="8"/>
  <c r="W1081" i="8"/>
  <c r="V1081" i="8"/>
  <c r="U1081" i="8"/>
  <c r="D1081" i="8"/>
  <c r="Y1080" i="8"/>
  <c r="X1080" i="8"/>
  <c r="W1080" i="8"/>
  <c r="V1080" i="8"/>
  <c r="U1080" i="8"/>
  <c r="D1080" i="8"/>
  <c r="Y1079" i="8"/>
  <c r="X1079" i="8"/>
  <c r="W1079" i="8"/>
  <c r="V1079" i="8"/>
  <c r="U1079" i="8"/>
  <c r="D1079" i="8"/>
  <c r="Y1078" i="8"/>
  <c r="X1078" i="8"/>
  <c r="W1078" i="8"/>
  <c r="V1078" i="8"/>
  <c r="U1078" i="8"/>
  <c r="D1078" i="8"/>
  <c r="Y1077" i="8"/>
  <c r="X1077" i="8"/>
  <c r="W1077" i="8"/>
  <c r="V1077" i="8"/>
  <c r="U1077" i="8"/>
  <c r="D1077" i="8"/>
  <c r="Y1076" i="8"/>
  <c r="X1076" i="8"/>
  <c r="W1076" i="8"/>
  <c r="V1076" i="8"/>
  <c r="U1076" i="8"/>
  <c r="D1076" i="8"/>
  <c r="Y1075" i="8"/>
  <c r="X1075" i="8"/>
  <c r="W1075" i="8"/>
  <c r="V1075" i="8"/>
  <c r="U1075" i="8"/>
  <c r="D1075" i="8"/>
  <c r="D1074" i="8"/>
  <c r="D1073" i="8"/>
  <c r="Y1072" i="8"/>
  <c r="X1072" i="8"/>
  <c r="W1072" i="8"/>
  <c r="V1072" i="8"/>
  <c r="U1072" i="8"/>
  <c r="D1072" i="8"/>
  <c r="Y1071" i="8"/>
  <c r="X1071" i="8"/>
  <c r="W1071" i="8"/>
  <c r="V1071" i="8"/>
  <c r="U1071" i="8"/>
  <c r="D1071" i="8"/>
  <c r="Y1070" i="8"/>
  <c r="X1070" i="8"/>
  <c r="W1070" i="8"/>
  <c r="V1070" i="8"/>
  <c r="U1070" i="8"/>
  <c r="D1070" i="8"/>
  <c r="Y1069" i="8"/>
  <c r="X1069" i="8"/>
  <c r="W1069" i="8"/>
  <c r="V1069" i="8"/>
  <c r="U1069" i="8"/>
  <c r="D1069" i="8"/>
  <c r="X1068" i="8"/>
  <c r="D1068" i="8"/>
  <c r="Y1067" i="8"/>
  <c r="X1067" i="8"/>
  <c r="W1067" i="8"/>
  <c r="V1067" i="8"/>
  <c r="U1067" i="8"/>
  <c r="D1067" i="8"/>
  <c r="X1066" i="8"/>
  <c r="D1066" i="8"/>
  <c r="Y1065" i="8"/>
  <c r="X1065" i="8"/>
  <c r="W1065" i="8"/>
  <c r="V1065" i="8"/>
  <c r="U1065" i="8"/>
  <c r="D1065" i="8"/>
  <c r="Y1064" i="8"/>
  <c r="X1064" i="8"/>
  <c r="W1064" i="8"/>
  <c r="V1064" i="8"/>
  <c r="U1064" i="8"/>
  <c r="D1064" i="8"/>
  <c r="Y1063" i="8"/>
  <c r="X1063" i="8"/>
  <c r="W1063" i="8"/>
  <c r="V1063" i="8"/>
  <c r="U1063" i="8"/>
  <c r="D1063" i="8"/>
  <c r="Y1062" i="8"/>
  <c r="X1062" i="8"/>
  <c r="W1062" i="8"/>
  <c r="V1062" i="8"/>
  <c r="U1062" i="8"/>
  <c r="D1062" i="8"/>
  <c r="Y1061" i="8"/>
  <c r="X1061" i="8"/>
  <c r="W1061" i="8"/>
  <c r="V1061" i="8"/>
  <c r="U1061" i="8"/>
  <c r="D1061" i="8"/>
  <c r="Y1060" i="8"/>
  <c r="X1060" i="8"/>
  <c r="W1060" i="8"/>
  <c r="V1060" i="8"/>
  <c r="U1060" i="8"/>
  <c r="D1060" i="8"/>
  <c r="Y1059" i="8"/>
  <c r="X1059" i="8"/>
  <c r="W1059" i="8"/>
  <c r="V1059" i="8"/>
  <c r="U1059" i="8"/>
  <c r="D1059" i="8"/>
  <c r="Y1058" i="8"/>
  <c r="X1058" i="8"/>
  <c r="W1058" i="8"/>
  <c r="V1058" i="8"/>
  <c r="U1058" i="8"/>
  <c r="D1058" i="8"/>
  <c r="Y1057" i="8"/>
  <c r="X1057" i="8"/>
  <c r="W1057" i="8"/>
  <c r="V1057" i="8"/>
  <c r="U1057" i="8"/>
  <c r="D1057" i="8"/>
  <c r="Y1056" i="8"/>
  <c r="X1056" i="8"/>
  <c r="W1056" i="8"/>
  <c r="V1056" i="8"/>
  <c r="U1056" i="8"/>
  <c r="D1056" i="8"/>
  <c r="Y1055" i="8"/>
  <c r="X1055" i="8"/>
  <c r="W1055" i="8"/>
  <c r="V1055" i="8"/>
  <c r="U1055" i="8"/>
  <c r="D1055" i="8"/>
  <c r="Y1054" i="8"/>
  <c r="X1054" i="8"/>
  <c r="W1054" i="8"/>
  <c r="V1054" i="8"/>
  <c r="U1054" i="8"/>
  <c r="D1054" i="8"/>
  <c r="Y1053" i="8"/>
  <c r="X1053" i="8"/>
  <c r="W1053" i="8"/>
  <c r="V1053" i="8"/>
  <c r="U1053" i="8"/>
  <c r="D1053" i="8"/>
  <c r="Y1052" i="8"/>
  <c r="X1052" i="8"/>
  <c r="W1052" i="8"/>
  <c r="V1052" i="8"/>
  <c r="U1052" i="8"/>
  <c r="D1052" i="8"/>
  <c r="D1051" i="8"/>
  <c r="D1050" i="8"/>
  <c r="Y1049" i="8"/>
  <c r="X1049" i="8"/>
  <c r="W1049" i="8"/>
  <c r="V1049" i="8"/>
  <c r="U1049" i="8"/>
  <c r="D1049" i="8"/>
  <c r="Y1048" i="8"/>
  <c r="X1048" i="8"/>
  <c r="W1048" i="8"/>
  <c r="V1048" i="8"/>
  <c r="U1048" i="8"/>
  <c r="D1048" i="8"/>
  <c r="Y1047" i="8"/>
  <c r="X1047" i="8"/>
  <c r="W1047" i="8"/>
  <c r="V1047" i="8"/>
  <c r="U1047" i="8"/>
  <c r="D1047" i="8"/>
  <c r="Y1046" i="8"/>
  <c r="X1046" i="8"/>
  <c r="W1046" i="8"/>
  <c r="V1046" i="8"/>
  <c r="U1046" i="8"/>
  <c r="D1046" i="8"/>
  <c r="X1045" i="8"/>
  <c r="D1045" i="8"/>
  <c r="Y1044" i="8"/>
  <c r="X1044" i="8"/>
  <c r="W1044" i="8"/>
  <c r="V1044" i="8"/>
  <c r="U1044" i="8"/>
  <c r="D1044" i="8"/>
  <c r="X1043" i="8"/>
  <c r="D1043" i="8"/>
  <c r="Y1042" i="8"/>
  <c r="X1042" i="8"/>
  <c r="W1042" i="8"/>
  <c r="V1042" i="8"/>
  <c r="U1042" i="8"/>
  <c r="D1042" i="8"/>
  <c r="Y1041" i="8"/>
  <c r="X1041" i="8"/>
  <c r="W1041" i="8"/>
  <c r="V1041" i="8"/>
  <c r="U1041" i="8"/>
  <c r="D1041" i="8"/>
  <c r="Y1040" i="8"/>
  <c r="X1040" i="8"/>
  <c r="W1040" i="8"/>
  <c r="V1040" i="8"/>
  <c r="U1040" i="8"/>
  <c r="D1040" i="8"/>
  <c r="Y1039" i="8"/>
  <c r="X1039" i="8"/>
  <c r="W1039" i="8"/>
  <c r="V1039" i="8"/>
  <c r="U1039" i="8"/>
  <c r="D1039" i="8"/>
  <c r="Y1038" i="8"/>
  <c r="X1038" i="8"/>
  <c r="W1038" i="8"/>
  <c r="V1038" i="8"/>
  <c r="U1038" i="8"/>
  <c r="D1038" i="8"/>
  <c r="Y1037" i="8"/>
  <c r="X1037" i="8"/>
  <c r="W1037" i="8"/>
  <c r="V1037" i="8"/>
  <c r="U1037" i="8"/>
  <c r="D1037" i="8"/>
  <c r="Y1036" i="8"/>
  <c r="X1036" i="8"/>
  <c r="W1036" i="8"/>
  <c r="V1036" i="8"/>
  <c r="U1036" i="8"/>
  <c r="D1036" i="8"/>
  <c r="Y1035" i="8"/>
  <c r="X1035" i="8"/>
  <c r="W1035" i="8"/>
  <c r="V1035" i="8"/>
  <c r="U1035" i="8"/>
  <c r="D1035" i="8"/>
  <c r="Y1034" i="8"/>
  <c r="X1034" i="8"/>
  <c r="W1034" i="8"/>
  <c r="V1034" i="8"/>
  <c r="U1034" i="8"/>
  <c r="D1034" i="8"/>
  <c r="Y1033" i="8"/>
  <c r="X1033" i="8"/>
  <c r="W1033" i="8"/>
  <c r="V1033" i="8"/>
  <c r="U1033" i="8"/>
  <c r="D1033" i="8"/>
  <c r="Y1032" i="8"/>
  <c r="X1032" i="8"/>
  <c r="W1032" i="8"/>
  <c r="V1032" i="8"/>
  <c r="U1032" i="8"/>
  <c r="D1032" i="8"/>
  <c r="Y1031" i="8"/>
  <c r="X1031" i="8"/>
  <c r="W1031" i="8"/>
  <c r="V1031" i="8"/>
  <c r="U1031" i="8"/>
  <c r="D1031" i="8"/>
  <c r="Y1030" i="8"/>
  <c r="X1030" i="8"/>
  <c r="W1030" i="8"/>
  <c r="V1030" i="8"/>
  <c r="U1030" i="8"/>
  <c r="D1030" i="8"/>
  <c r="Y1029" i="8"/>
  <c r="X1029" i="8"/>
  <c r="W1029" i="8"/>
  <c r="V1029" i="8"/>
  <c r="U1029" i="8"/>
  <c r="D1029" i="8"/>
  <c r="Y1028" i="8"/>
  <c r="X1028" i="8"/>
  <c r="W1028" i="8"/>
  <c r="V1028" i="8"/>
  <c r="U1028" i="8"/>
  <c r="D1028" i="8"/>
  <c r="D1027" i="8"/>
  <c r="D1026" i="8"/>
  <c r="Y1025" i="8"/>
  <c r="X1025" i="8"/>
  <c r="W1025" i="8"/>
  <c r="V1025" i="8"/>
  <c r="U1025" i="8"/>
  <c r="D1025" i="8"/>
  <c r="Y1024" i="8"/>
  <c r="X1024" i="8"/>
  <c r="W1024" i="8"/>
  <c r="V1024" i="8"/>
  <c r="U1024" i="8"/>
  <c r="D1024" i="8"/>
  <c r="Y1023" i="8"/>
  <c r="X1023" i="8"/>
  <c r="W1023" i="8"/>
  <c r="V1023" i="8"/>
  <c r="U1023" i="8"/>
  <c r="D1023" i="8"/>
  <c r="X1022" i="8"/>
  <c r="D1022" i="8"/>
  <c r="Y1021" i="8"/>
  <c r="X1021" i="8"/>
  <c r="W1021" i="8"/>
  <c r="V1021" i="8"/>
  <c r="U1021" i="8"/>
  <c r="D1021" i="8"/>
  <c r="X1020" i="8"/>
  <c r="D1020" i="8"/>
  <c r="Y1019" i="8"/>
  <c r="X1019" i="8"/>
  <c r="W1019" i="8"/>
  <c r="V1019" i="8"/>
  <c r="U1019" i="8"/>
  <c r="D1019" i="8"/>
  <c r="Y1018" i="8"/>
  <c r="X1018" i="8"/>
  <c r="W1018" i="8"/>
  <c r="V1018" i="8"/>
  <c r="U1018" i="8"/>
  <c r="D1018" i="8"/>
  <c r="Y1017" i="8"/>
  <c r="X1017" i="8"/>
  <c r="W1017" i="8"/>
  <c r="V1017" i="8"/>
  <c r="U1017" i="8"/>
  <c r="D1017" i="8"/>
  <c r="Y1016" i="8"/>
  <c r="X1016" i="8"/>
  <c r="W1016" i="8"/>
  <c r="V1016" i="8"/>
  <c r="U1016" i="8"/>
  <c r="D1016" i="8"/>
  <c r="Y1015" i="8"/>
  <c r="X1015" i="8"/>
  <c r="W1015" i="8"/>
  <c r="V1015" i="8"/>
  <c r="U1015" i="8"/>
  <c r="D1015" i="8"/>
  <c r="Y1014" i="8"/>
  <c r="X1014" i="8"/>
  <c r="W1014" i="8"/>
  <c r="V1014" i="8"/>
  <c r="U1014" i="8"/>
  <c r="D1014" i="8"/>
  <c r="Y1013" i="8"/>
  <c r="X1013" i="8"/>
  <c r="W1013" i="8"/>
  <c r="V1013" i="8"/>
  <c r="U1013" i="8"/>
  <c r="D1013" i="8"/>
  <c r="Y1012" i="8"/>
  <c r="X1012" i="8"/>
  <c r="W1012" i="8"/>
  <c r="V1012" i="8"/>
  <c r="U1012" i="8"/>
  <c r="D1012" i="8"/>
  <c r="Y1011" i="8"/>
  <c r="X1011" i="8"/>
  <c r="W1011" i="8"/>
  <c r="V1011" i="8"/>
  <c r="U1011" i="8"/>
  <c r="D1011" i="8"/>
  <c r="Y1010" i="8"/>
  <c r="X1010" i="8"/>
  <c r="W1010" i="8"/>
  <c r="V1010" i="8"/>
  <c r="U1010" i="8"/>
  <c r="D1010" i="8"/>
  <c r="Y1009" i="8"/>
  <c r="X1009" i="8"/>
  <c r="W1009" i="8"/>
  <c r="V1009" i="8"/>
  <c r="U1009" i="8"/>
  <c r="D1009" i="8"/>
  <c r="Y1008" i="8"/>
  <c r="X1008" i="8"/>
  <c r="W1008" i="8"/>
  <c r="V1008" i="8"/>
  <c r="U1008" i="8"/>
  <c r="D1008" i="8"/>
  <c r="Y1007" i="8"/>
  <c r="X1007" i="8"/>
  <c r="W1007" i="8"/>
  <c r="V1007" i="8"/>
  <c r="U1007" i="8"/>
  <c r="D1007" i="8"/>
  <c r="Y1006" i="8"/>
  <c r="X1006" i="8"/>
  <c r="W1006" i="8"/>
  <c r="V1006" i="8"/>
  <c r="U1006" i="8"/>
  <c r="D1006" i="8"/>
  <c r="Y1005" i="8"/>
  <c r="X1005" i="8"/>
  <c r="W1005" i="8"/>
  <c r="V1005" i="8"/>
  <c r="U1005" i="8"/>
  <c r="D1005" i="8"/>
  <c r="D1004" i="8"/>
  <c r="D1003" i="8"/>
  <c r="Y1002" i="8"/>
  <c r="X1002" i="8"/>
  <c r="W1002" i="8"/>
  <c r="V1002" i="8"/>
  <c r="U1002" i="8"/>
  <c r="D1002" i="8"/>
  <c r="Y1001" i="8"/>
  <c r="X1001" i="8"/>
  <c r="W1001" i="8"/>
  <c r="V1001" i="8"/>
  <c r="U1001" i="8"/>
  <c r="D1001" i="8"/>
  <c r="Y1000" i="8"/>
  <c r="X1000" i="8"/>
  <c r="W1000" i="8"/>
  <c r="V1000" i="8"/>
  <c r="U1000" i="8"/>
  <c r="D1000" i="8"/>
  <c r="Y999" i="8"/>
  <c r="X999" i="8"/>
  <c r="W999" i="8"/>
  <c r="V999" i="8"/>
  <c r="U999" i="8"/>
  <c r="D999" i="8"/>
  <c r="X998" i="8"/>
  <c r="D998" i="8"/>
  <c r="Y997" i="8"/>
  <c r="X997" i="8"/>
  <c r="W997" i="8"/>
  <c r="V997" i="8"/>
  <c r="U997" i="8"/>
  <c r="D997" i="8"/>
  <c r="X996" i="8"/>
  <c r="D996" i="8"/>
  <c r="Y995" i="8"/>
  <c r="X995" i="8"/>
  <c r="W995" i="8"/>
  <c r="V995" i="8"/>
  <c r="U995" i="8"/>
  <c r="D995" i="8"/>
  <c r="Y994" i="8"/>
  <c r="X994" i="8"/>
  <c r="W994" i="8"/>
  <c r="V994" i="8"/>
  <c r="U994" i="8"/>
  <c r="D994" i="8"/>
  <c r="Y993" i="8"/>
  <c r="X993" i="8"/>
  <c r="W993" i="8"/>
  <c r="V993" i="8"/>
  <c r="U993" i="8"/>
  <c r="D993" i="8"/>
  <c r="Y992" i="8"/>
  <c r="X992" i="8"/>
  <c r="W992" i="8"/>
  <c r="V992" i="8"/>
  <c r="U992" i="8"/>
  <c r="D992" i="8"/>
  <c r="Y991" i="8"/>
  <c r="X991" i="8"/>
  <c r="W991" i="8"/>
  <c r="V991" i="8"/>
  <c r="U991" i="8"/>
  <c r="D991" i="8"/>
  <c r="Y990" i="8"/>
  <c r="X990" i="8"/>
  <c r="W990" i="8"/>
  <c r="V990" i="8"/>
  <c r="U990" i="8"/>
  <c r="D990" i="8"/>
  <c r="Y989" i="8"/>
  <c r="X989" i="8"/>
  <c r="W989" i="8"/>
  <c r="V989" i="8"/>
  <c r="U989" i="8"/>
  <c r="D989" i="8"/>
  <c r="Y988" i="8"/>
  <c r="X988" i="8"/>
  <c r="W988" i="8"/>
  <c r="V988" i="8"/>
  <c r="U988" i="8"/>
  <c r="D988" i="8"/>
  <c r="Y987" i="8"/>
  <c r="X987" i="8"/>
  <c r="W987" i="8"/>
  <c r="V987" i="8"/>
  <c r="U987" i="8"/>
  <c r="D987" i="8"/>
  <c r="Y986" i="8"/>
  <c r="X986" i="8"/>
  <c r="W986" i="8"/>
  <c r="V986" i="8"/>
  <c r="U986" i="8"/>
  <c r="D986" i="8"/>
  <c r="Y985" i="8"/>
  <c r="X985" i="8"/>
  <c r="W985" i="8"/>
  <c r="V985" i="8"/>
  <c r="U985" i="8"/>
  <c r="D985" i="8"/>
  <c r="Y984" i="8"/>
  <c r="X984" i="8"/>
  <c r="W984" i="8"/>
  <c r="V984" i="8"/>
  <c r="U984" i="8"/>
  <c r="D984" i="8"/>
  <c r="Y983" i="8"/>
  <c r="X983" i="8"/>
  <c r="W983" i="8"/>
  <c r="V983" i="8"/>
  <c r="U983" i="8"/>
  <c r="D983" i="8"/>
  <c r="Y982" i="8"/>
  <c r="X982" i="8"/>
  <c r="W982" i="8"/>
  <c r="V982" i="8"/>
  <c r="U982" i="8"/>
  <c r="D982" i="8"/>
  <c r="Y981" i="8"/>
  <c r="X981" i="8"/>
  <c r="W981" i="8"/>
  <c r="V981" i="8"/>
  <c r="U981" i="8"/>
  <c r="D981" i="8"/>
  <c r="Y980" i="8"/>
  <c r="X980" i="8"/>
  <c r="W980" i="8"/>
  <c r="V980" i="8"/>
  <c r="U980" i="8"/>
  <c r="D980" i="8"/>
  <c r="D979" i="8"/>
  <c r="D978" i="8"/>
  <c r="Y977" i="8"/>
  <c r="X977" i="8"/>
  <c r="W977" i="8"/>
  <c r="V977" i="8"/>
  <c r="U977" i="8"/>
  <c r="D977" i="8"/>
  <c r="Y976" i="8"/>
  <c r="X976" i="8"/>
  <c r="W976" i="8"/>
  <c r="V976" i="8"/>
  <c r="U976" i="8"/>
  <c r="D976" i="8"/>
  <c r="Y975" i="8"/>
  <c r="X975" i="8"/>
  <c r="W975" i="8"/>
  <c r="V975" i="8"/>
  <c r="U975" i="8"/>
  <c r="D975" i="8"/>
  <c r="Y974" i="8"/>
  <c r="X974" i="8"/>
  <c r="W974" i="8"/>
  <c r="V974" i="8"/>
  <c r="U974" i="8"/>
  <c r="D974" i="8"/>
  <c r="X973" i="8"/>
  <c r="D973" i="8"/>
  <c r="Y972" i="8"/>
  <c r="X972" i="8"/>
  <c r="W972" i="8"/>
  <c r="V972" i="8"/>
  <c r="U972" i="8"/>
  <c r="D972" i="8"/>
  <c r="X971" i="8"/>
  <c r="D971" i="8"/>
  <c r="Y970" i="8"/>
  <c r="X970" i="8"/>
  <c r="W970" i="8"/>
  <c r="V970" i="8"/>
  <c r="U970" i="8"/>
  <c r="D970" i="8"/>
  <c r="Y969" i="8"/>
  <c r="X969" i="8"/>
  <c r="W969" i="8"/>
  <c r="V969" i="8"/>
  <c r="U969" i="8"/>
  <c r="D969" i="8"/>
  <c r="Y968" i="8"/>
  <c r="X968" i="8"/>
  <c r="W968" i="8"/>
  <c r="V968" i="8"/>
  <c r="U968" i="8"/>
  <c r="D968" i="8"/>
  <c r="Y967" i="8"/>
  <c r="X967" i="8"/>
  <c r="W967" i="8"/>
  <c r="V967" i="8"/>
  <c r="U967" i="8"/>
  <c r="D967" i="8"/>
  <c r="Y966" i="8"/>
  <c r="X966" i="8"/>
  <c r="W966" i="8"/>
  <c r="V966" i="8"/>
  <c r="U966" i="8"/>
  <c r="D966" i="8"/>
  <c r="Y965" i="8"/>
  <c r="X965" i="8"/>
  <c r="W965" i="8"/>
  <c r="V965" i="8"/>
  <c r="U965" i="8"/>
  <c r="D965" i="8"/>
  <c r="Y964" i="8"/>
  <c r="X964" i="8"/>
  <c r="W964" i="8"/>
  <c r="V964" i="8"/>
  <c r="U964" i="8"/>
  <c r="D964" i="8"/>
  <c r="Y963" i="8"/>
  <c r="X963" i="8"/>
  <c r="W963" i="8"/>
  <c r="V963" i="8"/>
  <c r="U963" i="8"/>
  <c r="D963" i="8"/>
  <c r="Y962" i="8"/>
  <c r="X962" i="8"/>
  <c r="W962" i="8"/>
  <c r="V962" i="8"/>
  <c r="U962" i="8"/>
  <c r="D962" i="8"/>
  <c r="Y961" i="8"/>
  <c r="X961" i="8"/>
  <c r="W961" i="8"/>
  <c r="V961" i="8"/>
  <c r="U961" i="8"/>
  <c r="D961" i="8"/>
  <c r="Y960" i="8"/>
  <c r="X960" i="8"/>
  <c r="W960" i="8"/>
  <c r="V960" i="8"/>
  <c r="U960" i="8"/>
  <c r="D960" i="8"/>
  <c r="Y959" i="8"/>
  <c r="X959" i="8"/>
  <c r="W959" i="8"/>
  <c r="V959" i="8"/>
  <c r="U959" i="8"/>
  <c r="D959" i="8"/>
  <c r="Y958" i="8"/>
  <c r="X958" i="8"/>
  <c r="W958" i="8"/>
  <c r="V958" i="8"/>
  <c r="U958" i="8"/>
  <c r="D958" i="8"/>
  <c r="Y957" i="8"/>
  <c r="X957" i="8"/>
  <c r="W957" i="8"/>
  <c r="V957" i="8"/>
  <c r="U957" i="8"/>
  <c r="D957" i="8"/>
  <c r="Y956" i="8"/>
  <c r="X956" i="8"/>
  <c r="W956" i="8"/>
  <c r="V956" i="8"/>
  <c r="U956" i="8"/>
  <c r="D956" i="8"/>
  <c r="D955" i="8"/>
  <c r="D954" i="8"/>
  <c r="Y953" i="8"/>
  <c r="X953" i="8"/>
  <c r="W953" i="8"/>
  <c r="V953" i="8"/>
  <c r="U953" i="8"/>
  <c r="D953" i="8"/>
  <c r="Y952" i="8"/>
  <c r="X952" i="8"/>
  <c r="W952" i="8"/>
  <c r="V952" i="8"/>
  <c r="U952" i="8"/>
  <c r="D952" i="8"/>
  <c r="Y951" i="8"/>
  <c r="X951" i="8"/>
  <c r="W951" i="8"/>
  <c r="V951" i="8"/>
  <c r="U951" i="8"/>
  <c r="D951" i="8"/>
  <c r="Y950" i="8"/>
  <c r="X950" i="8"/>
  <c r="W950" i="8"/>
  <c r="V950" i="8"/>
  <c r="U950" i="8"/>
  <c r="D950" i="8"/>
  <c r="X949" i="8"/>
  <c r="D949" i="8"/>
  <c r="Y948" i="8"/>
  <c r="X948" i="8"/>
  <c r="W948" i="8"/>
  <c r="V948" i="8"/>
  <c r="U948" i="8"/>
  <c r="D948" i="8"/>
  <c r="X947" i="8"/>
  <c r="D947" i="8"/>
  <c r="Y946" i="8"/>
  <c r="X946" i="8"/>
  <c r="W946" i="8"/>
  <c r="V946" i="8"/>
  <c r="U946" i="8"/>
  <c r="D946" i="8"/>
  <c r="Y945" i="8"/>
  <c r="X945" i="8"/>
  <c r="W945" i="8"/>
  <c r="V945" i="8"/>
  <c r="U945" i="8"/>
  <c r="D945" i="8"/>
  <c r="Y944" i="8"/>
  <c r="X944" i="8"/>
  <c r="W944" i="8"/>
  <c r="V944" i="8"/>
  <c r="U944" i="8"/>
  <c r="D944" i="8"/>
  <c r="Y943" i="8"/>
  <c r="X943" i="8"/>
  <c r="W943" i="8"/>
  <c r="V943" i="8"/>
  <c r="U943" i="8"/>
  <c r="D943" i="8"/>
  <c r="Y942" i="8"/>
  <c r="X942" i="8"/>
  <c r="W942" i="8"/>
  <c r="V942" i="8"/>
  <c r="U942" i="8"/>
  <c r="D942" i="8"/>
  <c r="Y941" i="8"/>
  <c r="X941" i="8"/>
  <c r="W941" i="8"/>
  <c r="V941" i="8"/>
  <c r="U941" i="8"/>
  <c r="D941" i="8"/>
  <c r="Y940" i="8"/>
  <c r="X940" i="8"/>
  <c r="W940" i="8"/>
  <c r="V940" i="8"/>
  <c r="U940" i="8"/>
  <c r="D940" i="8"/>
  <c r="Y939" i="8"/>
  <c r="X939" i="8"/>
  <c r="W939" i="8"/>
  <c r="V939" i="8"/>
  <c r="U939" i="8"/>
  <c r="D939" i="8"/>
  <c r="Y938" i="8"/>
  <c r="X938" i="8"/>
  <c r="W938" i="8"/>
  <c r="V938" i="8"/>
  <c r="U938" i="8"/>
  <c r="D938" i="8"/>
  <c r="Y937" i="8"/>
  <c r="X937" i="8"/>
  <c r="W937" i="8"/>
  <c r="V937" i="8"/>
  <c r="U937" i="8"/>
  <c r="D937" i="8"/>
  <c r="Y936" i="8"/>
  <c r="X936" i="8"/>
  <c r="W936" i="8"/>
  <c r="V936" i="8"/>
  <c r="U936" i="8"/>
  <c r="D936" i="8"/>
  <c r="Y935" i="8"/>
  <c r="X935" i="8"/>
  <c r="W935" i="8"/>
  <c r="V935" i="8"/>
  <c r="U935" i="8"/>
  <c r="D935" i="8"/>
  <c r="Y934" i="8"/>
  <c r="X934" i="8"/>
  <c r="W934" i="8"/>
  <c r="V934" i="8"/>
  <c r="U934" i="8"/>
  <c r="D934" i="8"/>
  <c r="Y933" i="8"/>
  <c r="X933" i="8"/>
  <c r="W933" i="8"/>
  <c r="V933" i="8"/>
  <c r="U933" i="8"/>
  <c r="D933" i="8"/>
  <c r="Y932" i="8"/>
  <c r="X932" i="8"/>
  <c r="W932" i="8"/>
  <c r="V932" i="8"/>
  <c r="U932" i="8"/>
  <c r="D932" i="8"/>
  <c r="Y931" i="8"/>
  <c r="X931" i="8"/>
  <c r="W931" i="8"/>
  <c r="V931" i="8"/>
  <c r="U931" i="8"/>
  <c r="D931" i="8"/>
  <c r="D930" i="8"/>
  <c r="D929" i="8"/>
  <c r="Y928" i="8"/>
  <c r="X928" i="8"/>
  <c r="W928" i="8"/>
  <c r="V928" i="8"/>
  <c r="U928" i="8"/>
  <c r="D928" i="8"/>
  <c r="Y927" i="8"/>
  <c r="X927" i="8"/>
  <c r="W927" i="8"/>
  <c r="V927" i="8"/>
  <c r="U927" i="8"/>
  <c r="D927" i="8"/>
  <c r="Y926" i="8"/>
  <c r="X926" i="8"/>
  <c r="W926" i="8"/>
  <c r="V926" i="8"/>
  <c r="U926" i="8"/>
  <c r="D926" i="8"/>
  <c r="X925" i="8"/>
  <c r="D925" i="8"/>
  <c r="Y924" i="8"/>
  <c r="X924" i="8"/>
  <c r="W924" i="8"/>
  <c r="V924" i="8"/>
  <c r="U924" i="8"/>
  <c r="D924" i="8"/>
  <c r="X923" i="8"/>
  <c r="D923" i="8"/>
  <c r="Y922" i="8"/>
  <c r="X922" i="8"/>
  <c r="W922" i="8"/>
  <c r="V922" i="8"/>
  <c r="U922" i="8"/>
  <c r="D922" i="8"/>
  <c r="Y921" i="8"/>
  <c r="X921" i="8"/>
  <c r="W921" i="8"/>
  <c r="V921" i="8"/>
  <c r="U921" i="8"/>
  <c r="D921" i="8"/>
  <c r="Y920" i="8"/>
  <c r="X920" i="8"/>
  <c r="W920" i="8"/>
  <c r="V920" i="8"/>
  <c r="U920" i="8"/>
  <c r="D920" i="8"/>
  <c r="Y919" i="8"/>
  <c r="X919" i="8"/>
  <c r="W919" i="8"/>
  <c r="V919" i="8"/>
  <c r="U919" i="8"/>
  <c r="D919" i="8"/>
  <c r="Y918" i="8"/>
  <c r="X918" i="8"/>
  <c r="W918" i="8"/>
  <c r="V918" i="8"/>
  <c r="U918" i="8"/>
  <c r="D918" i="8"/>
  <c r="Y917" i="8"/>
  <c r="X917" i="8"/>
  <c r="W917" i="8"/>
  <c r="V917" i="8"/>
  <c r="U917" i="8"/>
  <c r="D917" i="8"/>
  <c r="Y916" i="8"/>
  <c r="X916" i="8"/>
  <c r="W916" i="8"/>
  <c r="V916" i="8"/>
  <c r="U916" i="8"/>
  <c r="D916" i="8"/>
  <c r="Y915" i="8"/>
  <c r="X915" i="8"/>
  <c r="W915" i="8"/>
  <c r="V915" i="8"/>
  <c r="U915" i="8"/>
  <c r="D915" i="8"/>
  <c r="Y914" i="8"/>
  <c r="X914" i="8"/>
  <c r="W914" i="8"/>
  <c r="V914" i="8"/>
  <c r="U914" i="8"/>
  <c r="D914" i="8"/>
  <c r="Y913" i="8"/>
  <c r="X913" i="8"/>
  <c r="W913" i="8"/>
  <c r="V913" i="8"/>
  <c r="U913" i="8"/>
  <c r="D913" i="8"/>
  <c r="Y912" i="8"/>
  <c r="X912" i="8"/>
  <c r="W912" i="8"/>
  <c r="V912" i="8"/>
  <c r="U912" i="8"/>
  <c r="D912" i="8"/>
  <c r="Y911" i="8"/>
  <c r="X911" i="8"/>
  <c r="W911" i="8"/>
  <c r="V911" i="8"/>
  <c r="U911" i="8"/>
  <c r="D911" i="8"/>
  <c r="Y910" i="8"/>
  <c r="X910" i="8"/>
  <c r="W910" i="8"/>
  <c r="V910" i="8"/>
  <c r="U910" i="8"/>
  <c r="D910" i="8"/>
  <c r="Y909" i="8"/>
  <c r="X909" i="8"/>
  <c r="W909" i="8"/>
  <c r="V909" i="8"/>
  <c r="U909" i="8"/>
  <c r="D909" i="8"/>
  <c r="Y908" i="8"/>
  <c r="X908" i="8"/>
  <c r="W908" i="8"/>
  <c r="V908" i="8"/>
  <c r="U908" i="8"/>
  <c r="D908" i="8"/>
  <c r="Y907" i="8"/>
  <c r="X907" i="8"/>
  <c r="W907" i="8"/>
  <c r="V907" i="8"/>
  <c r="U907" i="8"/>
  <c r="D907" i="8"/>
  <c r="D906" i="8"/>
  <c r="D905" i="8"/>
  <c r="Y904" i="8"/>
  <c r="X904" i="8"/>
  <c r="W904" i="8"/>
  <c r="V904" i="8"/>
  <c r="U904" i="8"/>
  <c r="D904" i="8"/>
  <c r="Y903" i="8"/>
  <c r="X903" i="8"/>
  <c r="W903" i="8"/>
  <c r="V903" i="8"/>
  <c r="U903" i="8"/>
  <c r="D903" i="8"/>
  <c r="Y902" i="8"/>
  <c r="X902" i="8"/>
  <c r="W902" i="8"/>
  <c r="V902" i="8"/>
  <c r="U902" i="8"/>
  <c r="D902" i="8"/>
  <c r="Y901" i="8"/>
  <c r="X901" i="8"/>
  <c r="W901" i="8"/>
  <c r="V901" i="8"/>
  <c r="U901" i="8"/>
  <c r="D901" i="8"/>
  <c r="X900" i="8"/>
  <c r="D900" i="8"/>
  <c r="Y899" i="8"/>
  <c r="X899" i="8"/>
  <c r="W899" i="8"/>
  <c r="V899" i="8"/>
  <c r="U899" i="8"/>
  <c r="D899" i="8"/>
  <c r="X898" i="8"/>
  <c r="D898" i="8"/>
  <c r="Y897" i="8"/>
  <c r="X897" i="8"/>
  <c r="W897" i="8"/>
  <c r="V897" i="8"/>
  <c r="U897" i="8"/>
  <c r="D897" i="8"/>
  <c r="Y896" i="8"/>
  <c r="X896" i="8"/>
  <c r="W896" i="8"/>
  <c r="V896" i="8"/>
  <c r="U896" i="8"/>
  <c r="D896" i="8"/>
  <c r="Y895" i="8"/>
  <c r="X895" i="8"/>
  <c r="W895" i="8"/>
  <c r="V895" i="8"/>
  <c r="U895" i="8"/>
  <c r="D895" i="8"/>
  <c r="Y894" i="8"/>
  <c r="X894" i="8"/>
  <c r="W894" i="8"/>
  <c r="V894" i="8"/>
  <c r="U894" i="8"/>
  <c r="D894" i="8"/>
  <c r="Y893" i="8"/>
  <c r="X893" i="8"/>
  <c r="W893" i="8"/>
  <c r="V893" i="8"/>
  <c r="U893" i="8"/>
  <c r="D893" i="8"/>
  <c r="Y892" i="8"/>
  <c r="X892" i="8"/>
  <c r="W892" i="8"/>
  <c r="V892" i="8"/>
  <c r="U892" i="8"/>
  <c r="D892" i="8"/>
  <c r="Y891" i="8"/>
  <c r="X891" i="8"/>
  <c r="W891" i="8"/>
  <c r="V891" i="8"/>
  <c r="U891" i="8"/>
  <c r="D891" i="8"/>
  <c r="Y890" i="8"/>
  <c r="X890" i="8"/>
  <c r="W890" i="8"/>
  <c r="V890" i="8"/>
  <c r="U890" i="8"/>
  <c r="D890" i="8"/>
  <c r="Y889" i="8"/>
  <c r="X889" i="8"/>
  <c r="W889" i="8"/>
  <c r="V889" i="8"/>
  <c r="U889" i="8"/>
  <c r="D889" i="8"/>
  <c r="Y888" i="8"/>
  <c r="X888" i="8"/>
  <c r="W888" i="8"/>
  <c r="V888" i="8"/>
  <c r="U888" i="8"/>
  <c r="D888" i="8"/>
  <c r="Y887" i="8"/>
  <c r="X887" i="8"/>
  <c r="W887" i="8"/>
  <c r="V887" i="8"/>
  <c r="U887" i="8"/>
  <c r="D887" i="8"/>
  <c r="Y886" i="8"/>
  <c r="X886" i="8"/>
  <c r="W886" i="8"/>
  <c r="V886" i="8"/>
  <c r="U886" i="8"/>
  <c r="D886" i="8"/>
  <c r="Y885" i="8"/>
  <c r="X885" i="8"/>
  <c r="W885" i="8"/>
  <c r="V885" i="8"/>
  <c r="U885" i="8"/>
  <c r="D885" i="8"/>
  <c r="Y884" i="8"/>
  <c r="X884" i="8"/>
  <c r="W884" i="8"/>
  <c r="V884" i="8"/>
  <c r="U884" i="8"/>
  <c r="D884" i="8"/>
  <c r="Y883" i="8"/>
  <c r="X883" i="8"/>
  <c r="W883" i="8"/>
  <c r="V883" i="8"/>
  <c r="U883" i="8"/>
  <c r="D883" i="8"/>
  <c r="Y882" i="8"/>
  <c r="X882" i="8"/>
  <c r="W882" i="8"/>
  <c r="V882" i="8"/>
  <c r="U882" i="8"/>
  <c r="D882" i="8"/>
  <c r="D881" i="8"/>
  <c r="D880" i="8"/>
  <c r="Y879" i="8"/>
  <c r="X879" i="8"/>
  <c r="W879" i="8"/>
  <c r="V879" i="8"/>
  <c r="U879" i="8"/>
  <c r="D879" i="8"/>
  <c r="Y878" i="8"/>
  <c r="X878" i="8"/>
  <c r="W878" i="8"/>
  <c r="V878" i="8"/>
  <c r="U878" i="8"/>
  <c r="D878" i="8"/>
  <c r="Y877" i="8"/>
  <c r="X877" i="8"/>
  <c r="W877" i="8"/>
  <c r="V877" i="8"/>
  <c r="U877" i="8"/>
  <c r="D877" i="8"/>
  <c r="Y876" i="8"/>
  <c r="X876" i="8"/>
  <c r="W876" i="8"/>
  <c r="V876" i="8"/>
  <c r="U876" i="8"/>
  <c r="D876" i="8"/>
  <c r="X875" i="8"/>
  <c r="D875" i="8"/>
  <c r="Y874" i="8"/>
  <c r="X874" i="8"/>
  <c r="W874" i="8"/>
  <c r="V874" i="8"/>
  <c r="U874" i="8"/>
  <c r="D874" i="8"/>
  <c r="X873" i="8"/>
  <c r="D873" i="8"/>
  <c r="Y872" i="8"/>
  <c r="X872" i="8"/>
  <c r="W872" i="8"/>
  <c r="V872" i="8"/>
  <c r="U872" i="8"/>
  <c r="D872" i="8"/>
  <c r="Y871" i="8"/>
  <c r="X871" i="8"/>
  <c r="W871" i="8"/>
  <c r="V871" i="8"/>
  <c r="U871" i="8"/>
  <c r="D871" i="8"/>
  <c r="Y870" i="8"/>
  <c r="X870" i="8"/>
  <c r="W870" i="8"/>
  <c r="V870" i="8"/>
  <c r="U870" i="8"/>
  <c r="D870" i="8"/>
  <c r="Y869" i="8"/>
  <c r="X869" i="8"/>
  <c r="W869" i="8"/>
  <c r="V869" i="8"/>
  <c r="U869" i="8"/>
  <c r="D869" i="8"/>
  <c r="Y868" i="8"/>
  <c r="X868" i="8"/>
  <c r="W868" i="8"/>
  <c r="V868" i="8"/>
  <c r="U868" i="8"/>
  <c r="D868" i="8"/>
  <c r="Y867" i="8"/>
  <c r="X867" i="8"/>
  <c r="W867" i="8"/>
  <c r="V867" i="8"/>
  <c r="U867" i="8"/>
  <c r="D867" i="8"/>
  <c r="Y866" i="8"/>
  <c r="X866" i="8"/>
  <c r="W866" i="8"/>
  <c r="V866" i="8"/>
  <c r="U866" i="8"/>
  <c r="D866" i="8"/>
  <c r="Y865" i="8"/>
  <c r="X865" i="8"/>
  <c r="W865" i="8"/>
  <c r="V865" i="8"/>
  <c r="U865" i="8"/>
  <c r="D865" i="8"/>
  <c r="Y864" i="8"/>
  <c r="X864" i="8"/>
  <c r="W864" i="8"/>
  <c r="V864" i="8"/>
  <c r="U864" i="8"/>
  <c r="D864" i="8"/>
  <c r="Y863" i="8"/>
  <c r="X863" i="8"/>
  <c r="W863" i="8"/>
  <c r="V863" i="8"/>
  <c r="U863" i="8"/>
  <c r="D863" i="8"/>
  <c r="Y862" i="8"/>
  <c r="X862" i="8"/>
  <c r="W862" i="8"/>
  <c r="V862" i="8"/>
  <c r="U862" i="8"/>
  <c r="D862" i="8"/>
  <c r="Y861" i="8"/>
  <c r="X861" i="8"/>
  <c r="W861" i="8"/>
  <c r="V861" i="8"/>
  <c r="U861" i="8"/>
  <c r="D861" i="8"/>
  <c r="Y860" i="8"/>
  <c r="X860" i="8"/>
  <c r="W860" i="8"/>
  <c r="V860" i="8"/>
  <c r="U860" i="8"/>
  <c r="D860" i="8"/>
  <c r="Y859" i="8"/>
  <c r="X859" i="8"/>
  <c r="W859" i="8"/>
  <c r="V859" i="8"/>
  <c r="U859" i="8"/>
  <c r="D859" i="8"/>
  <c r="Y858" i="8"/>
  <c r="X858" i="8"/>
  <c r="W858" i="8"/>
  <c r="V858" i="8"/>
  <c r="U858" i="8"/>
  <c r="D858" i="8"/>
  <c r="Y857" i="8"/>
  <c r="X857" i="8"/>
  <c r="W857" i="8"/>
  <c r="V857" i="8"/>
  <c r="U857" i="8"/>
  <c r="D857" i="8"/>
  <c r="D856" i="8"/>
  <c r="D855" i="8"/>
  <c r="Y854" i="8"/>
  <c r="X854" i="8"/>
  <c r="W854" i="8"/>
  <c r="V854" i="8"/>
  <c r="U854" i="8"/>
  <c r="D854" i="8"/>
  <c r="Y853" i="8"/>
  <c r="X853" i="8"/>
  <c r="W853" i="8"/>
  <c r="V853" i="8"/>
  <c r="U853" i="8"/>
  <c r="D853" i="8"/>
  <c r="Y852" i="8"/>
  <c r="X852" i="8"/>
  <c r="W852" i="8"/>
  <c r="V852" i="8"/>
  <c r="U852" i="8"/>
  <c r="D852" i="8"/>
  <c r="X851" i="8"/>
  <c r="D851" i="8"/>
  <c r="Y850" i="8"/>
  <c r="X850" i="8"/>
  <c r="W850" i="8"/>
  <c r="V850" i="8"/>
  <c r="U850" i="8"/>
  <c r="D850" i="8"/>
  <c r="X849" i="8"/>
  <c r="D849" i="8"/>
  <c r="Y848" i="8"/>
  <c r="X848" i="8"/>
  <c r="W848" i="8"/>
  <c r="V848" i="8"/>
  <c r="U848" i="8"/>
  <c r="D848" i="8"/>
  <c r="Y847" i="8"/>
  <c r="X847" i="8"/>
  <c r="W847" i="8"/>
  <c r="V847" i="8"/>
  <c r="U847" i="8"/>
  <c r="D847" i="8"/>
  <c r="Y846" i="8"/>
  <c r="X846" i="8"/>
  <c r="W846" i="8"/>
  <c r="V846" i="8"/>
  <c r="U846" i="8"/>
  <c r="D846" i="8"/>
  <c r="Y845" i="8"/>
  <c r="X845" i="8"/>
  <c r="W845" i="8"/>
  <c r="V845" i="8"/>
  <c r="U845" i="8"/>
  <c r="D845" i="8"/>
  <c r="Y844" i="8"/>
  <c r="X844" i="8"/>
  <c r="W844" i="8"/>
  <c r="V844" i="8"/>
  <c r="U844" i="8"/>
  <c r="D844" i="8"/>
  <c r="Y843" i="8"/>
  <c r="X843" i="8"/>
  <c r="W843" i="8"/>
  <c r="V843" i="8"/>
  <c r="U843" i="8"/>
  <c r="D843" i="8"/>
  <c r="Y842" i="8"/>
  <c r="X842" i="8"/>
  <c r="W842" i="8"/>
  <c r="V842" i="8"/>
  <c r="U842" i="8"/>
  <c r="D842" i="8"/>
  <c r="Y841" i="8"/>
  <c r="X841" i="8"/>
  <c r="W841" i="8"/>
  <c r="V841" i="8"/>
  <c r="U841" i="8"/>
  <c r="D841" i="8"/>
  <c r="Y840" i="8"/>
  <c r="X840" i="8"/>
  <c r="W840" i="8"/>
  <c r="V840" i="8"/>
  <c r="U840" i="8"/>
  <c r="D840" i="8"/>
  <c r="Y839" i="8"/>
  <c r="X839" i="8"/>
  <c r="W839" i="8"/>
  <c r="V839" i="8"/>
  <c r="U839" i="8"/>
  <c r="D839" i="8"/>
  <c r="Y838" i="8"/>
  <c r="X838" i="8"/>
  <c r="W838" i="8"/>
  <c r="V838" i="8"/>
  <c r="U838" i="8"/>
  <c r="D838" i="8"/>
  <c r="Y837" i="8"/>
  <c r="X837" i="8"/>
  <c r="W837" i="8"/>
  <c r="V837" i="8"/>
  <c r="U837" i="8"/>
  <c r="D837" i="8"/>
  <c r="Y836" i="8"/>
  <c r="X836" i="8"/>
  <c r="W836" i="8"/>
  <c r="V836" i="8"/>
  <c r="U836" i="8"/>
  <c r="D836" i="8"/>
  <c r="Y835" i="8"/>
  <c r="X835" i="8"/>
  <c r="W835" i="8"/>
  <c r="V835" i="8"/>
  <c r="U835" i="8"/>
  <c r="D835" i="8"/>
  <c r="Y834" i="8"/>
  <c r="X834" i="8"/>
  <c r="W834" i="8"/>
  <c r="V834" i="8"/>
  <c r="U834" i="8"/>
  <c r="D834" i="8"/>
  <c r="Y833" i="8"/>
  <c r="X833" i="8"/>
  <c r="W833" i="8"/>
  <c r="V833" i="8"/>
  <c r="U833" i="8"/>
  <c r="D833" i="8"/>
  <c r="Y832" i="8"/>
  <c r="X832" i="8"/>
  <c r="W832" i="8"/>
  <c r="V832" i="8"/>
  <c r="U832" i="8"/>
  <c r="D832" i="8"/>
  <c r="Y831" i="8"/>
  <c r="X831" i="8"/>
  <c r="W831" i="8"/>
  <c r="V831" i="8"/>
  <c r="U831" i="8"/>
  <c r="D831" i="8"/>
  <c r="Y830" i="8"/>
  <c r="X830" i="8"/>
  <c r="W830" i="8"/>
  <c r="V830" i="8"/>
  <c r="U830" i="8"/>
  <c r="D830" i="8"/>
  <c r="Y829" i="8"/>
  <c r="X829" i="8"/>
  <c r="W829" i="8"/>
  <c r="V829" i="8"/>
  <c r="U829" i="8"/>
  <c r="D829" i="8"/>
  <c r="Y828" i="8"/>
  <c r="X828" i="8"/>
  <c r="W828" i="8"/>
  <c r="V828" i="8"/>
  <c r="U828" i="8"/>
  <c r="D828" i="8"/>
  <c r="Y827" i="8"/>
  <c r="X827" i="8"/>
  <c r="W827" i="8"/>
  <c r="V827" i="8"/>
  <c r="U827" i="8"/>
  <c r="D827" i="8"/>
  <c r="Y826" i="8"/>
  <c r="X826" i="8"/>
  <c r="W826" i="8"/>
  <c r="V826" i="8"/>
  <c r="U826" i="8"/>
  <c r="D826" i="8"/>
  <c r="Y825" i="8"/>
  <c r="X825" i="8"/>
  <c r="W825" i="8"/>
  <c r="V825" i="8"/>
  <c r="U825" i="8"/>
  <c r="D825" i="8"/>
  <c r="X824" i="8"/>
  <c r="D824" i="8"/>
  <c r="Y823" i="8"/>
  <c r="X823" i="8"/>
  <c r="W823" i="8"/>
  <c r="V823" i="8"/>
  <c r="U823" i="8"/>
  <c r="D823" i="8"/>
  <c r="Y822" i="8"/>
  <c r="X822" i="8"/>
  <c r="W822" i="8"/>
  <c r="V822" i="8"/>
  <c r="U822" i="8"/>
  <c r="D822" i="8"/>
  <c r="Y821" i="8"/>
  <c r="X821" i="8"/>
  <c r="W821" i="8"/>
  <c r="V821" i="8"/>
  <c r="U821" i="8"/>
  <c r="D821" i="8"/>
  <c r="Y820" i="8"/>
  <c r="X820" i="8"/>
  <c r="W820" i="8"/>
  <c r="V820" i="8"/>
  <c r="U820" i="8"/>
  <c r="D820" i="8"/>
  <c r="Y819" i="8"/>
  <c r="X819" i="8"/>
  <c r="W819" i="8"/>
  <c r="V819" i="8"/>
  <c r="U819" i="8"/>
  <c r="D819" i="8"/>
  <c r="Y818" i="8"/>
  <c r="X818" i="8"/>
  <c r="W818" i="8"/>
  <c r="V818" i="8"/>
  <c r="U818" i="8"/>
  <c r="D818" i="8"/>
  <c r="Y817" i="8"/>
  <c r="X817" i="8"/>
  <c r="W817" i="8"/>
  <c r="V817" i="8"/>
  <c r="U817" i="8"/>
  <c r="D817" i="8"/>
  <c r="Y816" i="8"/>
  <c r="X816" i="8"/>
  <c r="W816" i="8"/>
  <c r="V816" i="8"/>
  <c r="U816" i="8"/>
  <c r="D816" i="8"/>
  <c r="Y815" i="8"/>
  <c r="X815" i="8"/>
  <c r="W815" i="8"/>
  <c r="V815" i="8"/>
  <c r="U815" i="8"/>
  <c r="D815" i="8"/>
  <c r="Y814" i="8"/>
  <c r="X814" i="8"/>
  <c r="W814" i="8"/>
  <c r="V814" i="8"/>
  <c r="U814" i="8"/>
  <c r="D814" i="8"/>
  <c r="Y813" i="8"/>
  <c r="X813" i="8"/>
  <c r="W813" i="8"/>
  <c r="V813" i="8"/>
  <c r="U813" i="8"/>
  <c r="D813" i="8"/>
  <c r="Y812" i="8"/>
  <c r="X812" i="8"/>
  <c r="W812" i="8"/>
  <c r="V812" i="8"/>
  <c r="U812" i="8"/>
  <c r="D812" i="8"/>
  <c r="Y811" i="8"/>
  <c r="X811" i="8"/>
  <c r="W811" i="8"/>
  <c r="V811" i="8"/>
  <c r="U811" i="8"/>
  <c r="D811" i="8"/>
  <c r="Y810" i="8"/>
  <c r="X810" i="8"/>
  <c r="W810" i="8"/>
  <c r="V810" i="8"/>
  <c r="U810" i="8"/>
  <c r="D810" i="8"/>
  <c r="Y809" i="8"/>
  <c r="X809" i="8"/>
  <c r="W809" i="8"/>
  <c r="V809" i="8"/>
  <c r="U809" i="8"/>
  <c r="D809" i="8"/>
  <c r="Y808" i="8"/>
  <c r="X808" i="8"/>
  <c r="W808" i="8"/>
  <c r="V808" i="8"/>
  <c r="U808" i="8"/>
  <c r="D808" i="8"/>
  <c r="Y807" i="8"/>
  <c r="X807" i="8"/>
  <c r="W807" i="8"/>
  <c r="V807" i="8"/>
  <c r="U807" i="8"/>
  <c r="D807" i="8"/>
  <c r="Y806" i="8"/>
  <c r="X806" i="8"/>
  <c r="W806" i="8"/>
  <c r="V806" i="8"/>
  <c r="U806" i="8"/>
  <c r="D806" i="8"/>
  <c r="Y805" i="8"/>
  <c r="X805" i="8"/>
  <c r="W805" i="8"/>
  <c r="V805" i="8"/>
  <c r="U805" i="8"/>
  <c r="D805" i="8"/>
  <c r="Y804" i="8"/>
  <c r="X804" i="8"/>
  <c r="W804" i="8"/>
  <c r="V804" i="8"/>
  <c r="U804" i="8"/>
  <c r="D804" i="8"/>
  <c r="Y803" i="8"/>
  <c r="X803" i="8"/>
  <c r="W803" i="8"/>
  <c r="V803" i="8"/>
  <c r="U803" i="8"/>
  <c r="D803" i="8"/>
  <c r="Y802" i="8"/>
  <c r="X802" i="8"/>
  <c r="W802" i="8"/>
  <c r="V802" i="8"/>
  <c r="U802" i="8"/>
  <c r="D802" i="8"/>
  <c r="Y801" i="8"/>
  <c r="X801" i="8"/>
  <c r="W801" i="8"/>
  <c r="V801" i="8"/>
  <c r="U801" i="8"/>
  <c r="D801" i="8"/>
  <c r="X800" i="8"/>
  <c r="D800" i="8"/>
  <c r="Y799" i="8"/>
  <c r="X799" i="8"/>
  <c r="W799" i="8"/>
  <c r="V799" i="8"/>
  <c r="U799" i="8"/>
  <c r="D799" i="8"/>
  <c r="Y798" i="8"/>
  <c r="X798" i="8"/>
  <c r="W798" i="8"/>
  <c r="V798" i="8"/>
  <c r="U798" i="8"/>
  <c r="D798" i="8"/>
  <c r="Y797" i="8"/>
  <c r="X797" i="8"/>
  <c r="W797" i="8"/>
  <c r="V797" i="8"/>
  <c r="U797" i="8"/>
  <c r="D797" i="8"/>
  <c r="Y796" i="8"/>
  <c r="X796" i="8"/>
  <c r="W796" i="8"/>
  <c r="V796" i="8"/>
  <c r="U796" i="8"/>
  <c r="D796" i="8"/>
  <c r="Y795" i="8"/>
  <c r="X795" i="8"/>
  <c r="W795" i="8"/>
  <c r="V795" i="8"/>
  <c r="U795" i="8"/>
  <c r="D795" i="8"/>
  <c r="Y794" i="8"/>
  <c r="X794" i="8"/>
  <c r="W794" i="8"/>
  <c r="V794" i="8"/>
  <c r="U794" i="8"/>
  <c r="D794" i="8"/>
  <c r="Y793" i="8"/>
  <c r="X793" i="8"/>
  <c r="W793" i="8"/>
  <c r="V793" i="8"/>
  <c r="U793" i="8"/>
  <c r="D793" i="8"/>
  <c r="Y792" i="8"/>
  <c r="X792" i="8"/>
  <c r="W792" i="8"/>
  <c r="V792" i="8"/>
  <c r="U792" i="8"/>
  <c r="D792" i="8"/>
  <c r="Y791" i="8"/>
  <c r="X791" i="8"/>
  <c r="W791" i="8"/>
  <c r="V791" i="8"/>
  <c r="U791" i="8"/>
  <c r="D791" i="8"/>
  <c r="Y790" i="8"/>
  <c r="X790" i="8"/>
  <c r="W790" i="8"/>
  <c r="V790" i="8"/>
  <c r="U790" i="8"/>
  <c r="D790" i="8"/>
  <c r="Y789" i="8"/>
  <c r="X789" i="8"/>
  <c r="W789" i="8"/>
  <c r="V789" i="8"/>
  <c r="U789" i="8"/>
  <c r="D789" i="8"/>
  <c r="Y788" i="8"/>
  <c r="X788" i="8"/>
  <c r="W788" i="8"/>
  <c r="V788" i="8"/>
  <c r="U788" i="8"/>
  <c r="D788" i="8"/>
  <c r="Y787" i="8"/>
  <c r="X787" i="8"/>
  <c r="W787" i="8"/>
  <c r="V787" i="8"/>
  <c r="U787" i="8"/>
  <c r="D787" i="8"/>
  <c r="Y786" i="8"/>
  <c r="X786" i="8"/>
  <c r="W786" i="8"/>
  <c r="V786" i="8"/>
  <c r="U786" i="8"/>
  <c r="D786" i="8"/>
  <c r="Y785" i="8"/>
  <c r="X785" i="8"/>
  <c r="W785" i="8"/>
  <c r="V785" i="8"/>
  <c r="U785" i="8"/>
  <c r="D785" i="8"/>
  <c r="Y784" i="8"/>
  <c r="X784" i="8"/>
  <c r="W784" i="8"/>
  <c r="V784" i="8"/>
  <c r="U784" i="8"/>
  <c r="D784" i="8"/>
  <c r="Y783" i="8"/>
  <c r="X783" i="8"/>
  <c r="W783" i="8"/>
  <c r="V783" i="8"/>
  <c r="U783" i="8"/>
  <c r="D783" i="8"/>
  <c r="Y782" i="8"/>
  <c r="X782" i="8"/>
  <c r="W782" i="8"/>
  <c r="V782" i="8"/>
  <c r="U782" i="8"/>
  <c r="D782" i="8"/>
  <c r="Y781" i="8"/>
  <c r="X781" i="8"/>
  <c r="W781" i="8"/>
  <c r="V781" i="8"/>
  <c r="U781" i="8"/>
  <c r="D781" i="8"/>
  <c r="Y780" i="8"/>
  <c r="X780" i="8"/>
  <c r="W780" i="8"/>
  <c r="V780" i="8"/>
  <c r="U780" i="8"/>
  <c r="D780" i="8"/>
  <c r="Y779" i="8"/>
  <c r="X779" i="8"/>
  <c r="W779" i="8"/>
  <c r="V779" i="8"/>
  <c r="U779" i="8"/>
  <c r="D779" i="8"/>
  <c r="X778" i="8"/>
  <c r="D778" i="8"/>
  <c r="Y777" i="8"/>
  <c r="X777" i="8"/>
  <c r="W777" i="8"/>
  <c r="V777" i="8"/>
  <c r="U777" i="8"/>
  <c r="D777" i="8"/>
  <c r="Y776" i="8"/>
  <c r="X776" i="8"/>
  <c r="W776" i="8"/>
  <c r="V776" i="8"/>
  <c r="U776" i="8"/>
  <c r="D776" i="8"/>
  <c r="Y775" i="8"/>
  <c r="X775" i="8"/>
  <c r="W775" i="8"/>
  <c r="V775" i="8"/>
  <c r="U775" i="8"/>
  <c r="D775" i="8"/>
  <c r="Y774" i="8"/>
  <c r="X774" i="8"/>
  <c r="W774" i="8"/>
  <c r="V774" i="8"/>
  <c r="U774" i="8"/>
  <c r="D774" i="8"/>
  <c r="Y773" i="8"/>
  <c r="X773" i="8"/>
  <c r="W773" i="8"/>
  <c r="V773" i="8"/>
  <c r="U773" i="8"/>
  <c r="D773" i="8"/>
  <c r="Y772" i="8"/>
  <c r="X772" i="8"/>
  <c r="W772" i="8"/>
  <c r="V772" i="8"/>
  <c r="U772" i="8"/>
  <c r="D772" i="8"/>
  <c r="Y771" i="8"/>
  <c r="X771" i="8"/>
  <c r="W771" i="8"/>
  <c r="V771" i="8"/>
  <c r="U771" i="8"/>
  <c r="D771" i="8"/>
  <c r="Y770" i="8"/>
  <c r="X770" i="8"/>
  <c r="W770" i="8"/>
  <c r="V770" i="8"/>
  <c r="U770" i="8"/>
  <c r="D770" i="8"/>
  <c r="Y769" i="8"/>
  <c r="X769" i="8"/>
  <c r="W769" i="8"/>
  <c r="V769" i="8"/>
  <c r="U769" i="8"/>
  <c r="D769" i="8"/>
  <c r="Y768" i="8"/>
  <c r="X768" i="8"/>
  <c r="W768" i="8"/>
  <c r="V768" i="8"/>
  <c r="U768" i="8"/>
  <c r="D768" i="8"/>
  <c r="Y767" i="8"/>
  <c r="X767" i="8"/>
  <c r="W767" i="8"/>
  <c r="V767" i="8"/>
  <c r="U767" i="8"/>
  <c r="D767" i="8"/>
  <c r="Y766" i="8"/>
  <c r="X766" i="8"/>
  <c r="W766" i="8"/>
  <c r="V766" i="8"/>
  <c r="U766" i="8"/>
  <c r="D766" i="8"/>
  <c r="Y765" i="8"/>
  <c r="X765" i="8"/>
  <c r="W765" i="8"/>
  <c r="V765" i="8"/>
  <c r="U765" i="8"/>
  <c r="D765" i="8"/>
  <c r="Y764" i="8"/>
  <c r="X764" i="8"/>
  <c r="W764" i="8"/>
  <c r="V764" i="8"/>
  <c r="U764" i="8"/>
  <c r="D764" i="8"/>
  <c r="Y763" i="8"/>
  <c r="X763" i="8"/>
  <c r="W763" i="8"/>
  <c r="V763" i="8"/>
  <c r="U763" i="8"/>
  <c r="D763" i="8"/>
  <c r="Y762" i="8"/>
  <c r="X762" i="8"/>
  <c r="W762" i="8"/>
  <c r="V762" i="8"/>
  <c r="U762" i="8"/>
  <c r="D762" i="8"/>
  <c r="Y761" i="8"/>
  <c r="X761" i="8"/>
  <c r="W761" i="8"/>
  <c r="V761" i="8"/>
  <c r="U761" i="8"/>
  <c r="D761" i="8"/>
  <c r="Y760" i="8"/>
  <c r="X760" i="8"/>
  <c r="W760" i="8"/>
  <c r="V760" i="8"/>
  <c r="U760" i="8"/>
  <c r="D760" i="8"/>
  <c r="Y759" i="8"/>
  <c r="X759" i="8"/>
  <c r="W759" i="8"/>
  <c r="V759" i="8"/>
  <c r="U759" i="8"/>
  <c r="D759" i="8"/>
  <c r="Y758" i="8"/>
  <c r="X758" i="8"/>
  <c r="W758" i="8"/>
  <c r="V758" i="8"/>
  <c r="U758" i="8"/>
  <c r="D758" i="8"/>
  <c r="Y757" i="8"/>
  <c r="X757" i="8"/>
  <c r="W757" i="8"/>
  <c r="V757" i="8"/>
  <c r="U757" i="8"/>
  <c r="D757" i="8"/>
  <c r="Y756" i="8"/>
  <c r="X756" i="8"/>
  <c r="W756" i="8"/>
  <c r="V756" i="8"/>
  <c r="U756" i="8"/>
  <c r="D756" i="8"/>
  <c r="Y755" i="8"/>
  <c r="X755" i="8"/>
  <c r="W755" i="8"/>
  <c r="V755" i="8"/>
  <c r="U755" i="8"/>
  <c r="D755" i="8"/>
  <c r="Y754" i="8"/>
  <c r="X754" i="8"/>
  <c r="W754" i="8"/>
  <c r="V754" i="8"/>
  <c r="U754" i="8"/>
  <c r="D754" i="8"/>
  <c r="X753" i="8"/>
  <c r="D753" i="8"/>
  <c r="Y752" i="8"/>
  <c r="X752" i="8"/>
  <c r="W752" i="8"/>
  <c r="V752" i="8"/>
  <c r="U752" i="8"/>
  <c r="D752" i="8"/>
  <c r="Y751" i="8"/>
  <c r="X751" i="8"/>
  <c r="W751" i="8"/>
  <c r="V751" i="8"/>
  <c r="U751" i="8"/>
  <c r="D751" i="8"/>
  <c r="Y750" i="8"/>
  <c r="X750" i="8"/>
  <c r="W750" i="8"/>
  <c r="V750" i="8"/>
  <c r="U750" i="8"/>
  <c r="D750" i="8"/>
  <c r="Y749" i="8"/>
  <c r="X749" i="8"/>
  <c r="W749" i="8"/>
  <c r="V749" i="8"/>
  <c r="U749" i="8"/>
  <c r="D749" i="8"/>
  <c r="Y748" i="8"/>
  <c r="X748" i="8"/>
  <c r="W748" i="8"/>
  <c r="V748" i="8"/>
  <c r="U748" i="8"/>
  <c r="D748" i="8"/>
  <c r="Y747" i="8"/>
  <c r="X747" i="8"/>
  <c r="W747" i="8"/>
  <c r="V747" i="8"/>
  <c r="U747" i="8"/>
  <c r="D747" i="8"/>
  <c r="Y746" i="8"/>
  <c r="X746" i="8"/>
  <c r="W746" i="8"/>
  <c r="V746" i="8"/>
  <c r="U746" i="8"/>
  <c r="D746" i="8"/>
  <c r="Y745" i="8"/>
  <c r="X745" i="8"/>
  <c r="W745" i="8"/>
  <c r="V745" i="8"/>
  <c r="U745" i="8"/>
  <c r="D745" i="8"/>
  <c r="Y744" i="8"/>
  <c r="X744" i="8"/>
  <c r="W744" i="8"/>
  <c r="V744" i="8"/>
  <c r="U744" i="8"/>
  <c r="D744" i="8"/>
  <c r="Y743" i="8"/>
  <c r="X743" i="8"/>
  <c r="W743" i="8"/>
  <c r="V743" i="8"/>
  <c r="U743" i="8"/>
  <c r="D743" i="8"/>
  <c r="Y742" i="8"/>
  <c r="X742" i="8"/>
  <c r="W742" i="8"/>
  <c r="V742" i="8"/>
  <c r="U742" i="8"/>
  <c r="D742" i="8"/>
  <c r="Y741" i="8"/>
  <c r="X741" i="8"/>
  <c r="W741" i="8"/>
  <c r="V741" i="8"/>
  <c r="U741" i="8"/>
  <c r="D741" i="8"/>
  <c r="Y740" i="8"/>
  <c r="X740" i="8"/>
  <c r="W740" i="8"/>
  <c r="V740" i="8"/>
  <c r="U740" i="8"/>
  <c r="D740" i="8"/>
  <c r="Y739" i="8"/>
  <c r="X739" i="8"/>
  <c r="W739" i="8"/>
  <c r="V739" i="8"/>
  <c r="U739" i="8"/>
  <c r="D739" i="8"/>
  <c r="Y738" i="8"/>
  <c r="X738" i="8"/>
  <c r="W738" i="8"/>
  <c r="V738" i="8"/>
  <c r="U738" i="8"/>
  <c r="D738" i="8"/>
  <c r="Y737" i="8"/>
  <c r="X737" i="8"/>
  <c r="W737" i="8"/>
  <c r="V737" i="8"/>
  <c r="U737" i="8"/>
  <c r="D737" i="8"/>
  <c r="Y736" i="8"/>
  <c r="X736" i="8"/>
  <c r="W736" i="8"/>
  <c r="V736" i="8"/>
  <c r="U736" i="8"/>
  <c r="D736" i="8"/>
  <c r="Y735" i="8"/>
  <c r="X735" i="8"/>
  <c r="W735" i="8"/>
  <c r="V735" i="8"/>
  <c r="U735" i="8"/>
  <c r="D735" i="8"/>
  <c r="Y734" i="8"/>
  <c r="X734" i="8"/>
  <c r="W734" i="8"/>
  <c r="V734" i="8"/>
  <c r="U734" i="8"/>
  <c r="D734" i="8"/>
  <c r="Y733" i="8"/>
  <c r="X733" i="8"/>
  <c r="W733" i="8"/>
  <c r="V733" i="8"/>
  <c r="U733" i="8"/>
  <c r="D733" i="8"/>
  <c r="Y732" i="8"/>
  <c r="X732" i="8"/>
  <c r="W732" i="8"/>
  <c r="V732" i="8"/>
  <c r="U732" i="8"/>
  <c r="D732" i="8"/>
  <c r="Y731" i="8"/>
  <c r="X731" i="8"/>
  <c r="W731" i="8"/>
  <c r="V731" i="8"/>
  <c r="U731" i="8"/>
  <c r="D731" i="8"/>
  <c r="Y730" i="8"/>
  <c r="X730" i="8"/>
  <c r="W730" i="8"/>
  <c r="V730" i="8"/>
  <c r="U730" i="8"/>
  <c r="D730" i="8"/>
  <c r="X729" i="8"/>
  <c r="D729" i="8"/>
  <c r="Y728" i="8"/>
  <c r="X728" i="8"/>
  <c r="W728" i="8"/>
  <c r="V728" i="8"/>
  <c r="U728" i="8"/>
  <c r="D728" i="8"/>
  <c r="Y727" i="8"/>
  <c r="X727" i="8"/>
  <c r="W727" i="8"/>
  <c r="V727" i="8"/>
  <c r="U727" i="8"/>
  <c r="D727" i="8"/>
  <c r="Y726" i="8"/>
  <c r="X726" i="8"/>
  <c r="W726" i="8"/>
  <c r="V726" i="8"/>
  <c r="U726" i="8"/>
  <c r="D726" i="8"/>
  <c r="Y725" i="8"/>
  <c r="X725" i="8"/>
  <c r="W725" i="8"/>
  <c r="V725" i="8"/>
  <c r="U725" i="8"/>
  <c r="D725" i="8"/>
  <c r="Y724" i="8"/>
  <c r="X724" i="8"/>
  <c r="W724" i="8"/>
  <c r="V724" i="8"/>
  <c r="U724" i="8"/>
  <c r="D724" i="8"/>
  <c r="Y723" i="8"/>
  <c r="X723" i="8"/>
  <c r="W723" i="8"/>
  <c r="V723" i="8"/>
  <c r="U723" i="8"/>
  <c r="D723" i="8"/>
  <c r="Y722" i="8"/>
  <c r="X722" i="8"/>
  <c r="W722" i="8"/>
  <c r="V722" i="8"/>
  <c r="U722" i="8"/>
  <c r="D722" i="8"/>
  <c r="Y721" i="8"/>
  <c r="X721" i="8"/>
  <c r="W721" i="8"/>
  <c r="V721" i="8"/>
  <c r="U721" i="8"/>
  <c r="D721" i="8"/>
  <c r="Y720" i="8"/>
  <c r="X720" i="8"/>
  <c r="W720" i="8"/>
  <c r="V720" i="8"/>
  <c r="U720" i="8"/>
  <c r="D720" i="8"/>
  <c r="Y719" i="8"/>
  <c r="X719" i="8"/>
  <c r="W719" i="8"/>
  <c r="V719" i="8"/>
  <c r="U719" i="8"/>
  <c r="D719" i="8"/>
  <c r="Y718" i="8"/>
  <c r="X718" i="8"/>
  <c r="W718" i="8"/>
  <c r="V718" i="8"/>
  <c r="U718" i="8"/>
  <c r="D718" i="8"/>
  <c r="Y717" i="8"/>
  <c r="X717" i="8"/>
  <c r="W717" i="8"/>
  <c r="V717" i="8"/>
  <c r="U717" i="8"/>
  <c r="D717" i="8"/>
  <c r="Y716" i="8"/>
  <c r="X716" i="8"/>
  <c r="W716" i="8"/>
  <c r="V716" i="8"/>
  <c r="U716" i="8"/>
  <c r="D716" i="8"/>
  <c r="Y715" i="8"/>
  <c r="X715" i="8"/>
  <c r="W715" i="8"/>
  <c r="V715" i="8"/>
  <c r="U715" i="8"/>
  <c r="D715" i="8"/>
  <c r="Y714" i="8"/>
  <c r="X714" i="8"/>
  <c r="W714" i="8"/>
  <c r="V714" i="8"/>
  <c r="U714" i="8"/>
  <c r="D714" i="8"/>
  <c r="Y713" i="8"/>
  <c r="X713" i="8"/>
  <c r="W713" i="8"/>
  <c r="V713" i="8"/>
  <c r="U713" i="8"/>
  <c r="D713" i="8"/>
  <c r="Y712" i="8"/>
  <c r="X712" i="8"/>
  <c r="W712" i="8"/>
  <c r="V712" i="8"/>
  <c r="U712" i="8"/>
  <c r="D712" i="8"/>
  <c r="Y711" i="8"/>
  <c r="X711" i="8"/>
  <c r="W711" i="8"/>
  <c r="V711" i="8"/>
  <c r="U711" i="8"/>
  <c r="D711" i="8"/>
  <c r="Y710" i="8"/>
  <c r="X710" i="8"/>
  <c r="W710" i="8"/>
  <c r="V710" i="8"/>
  <c r="U710" i="8"/>
  <c r="D710" i="8"/>
  <c r="Y709" i="8"/>
  <c r="X709" i="8"/>
  <c r="W709" i="8"/>
  <c r="V709" i="8"/>
  <c r="U709" i="8"/>
  <c r="D709" i="8"/>
  <c r="Y708" i="8"/>
  <c r="X708" i="8"/>
  <c r="W708" i="8"/>
  <c r="V708" i="8"/>
  <c r="U708" i="8"/>
  <c r="D708" i="8"/>
  <c r="X707" i="8"/>
  <c r="D707" i="8"/>
  <c r="Y706" i="8"/>
  <c r="X706" i="8"/>
  <c r="W706" i="8"/>
  <c r="V706" i="8"/>
  <c r="U706" i="8"/>
  <c r="D706" i="8"/>
  <c r="Y705" i="8"/>
  <c r="X705" i="8"/>
  <c r="W705" i="8"/>
  <c r="V705" i="8"/>
  <c r="U705" i="8"/>
  <c r="D705" i="8"/>
  <c r="Y704" i="8"/>
  <c r="X704" i="8"/>
  <c r="W704" i="8"/>
  <c r="V704" i="8"/>
  <c r="U704" i="8"/>
  <c r="D704" i="8"/>
  <c r="Y703" i="8"/>
  <c r="X703" i="8"/>
  <c r="W703" i="8"/>
  <c r="V703" i="8"/>
  <c r="U703" i="8"/>
  <c r="D703" i="8"/>
  <c r="Y702" i="8"/>
  <c r="X702" i="8"/>
  <c r="W702" i="8"/>
  <c r="V702" i="8"/>
  <c r="U702" i="8"/>
  <c r="D702" i="8"/>
  <c r="Y701" i="8"/>
  <c r="X701" i="8"/>
  <c r="W701" i="8"/>
  <c r="V701" i="8"/>
  <c r="U701" i="8"/>
  <c r="D701" i="8"/>
  <c r="Y700" i="8"/>
  <c r="X700" i="8"/>
  <c r="W700" i="8"/>
  <c r="V700" i="8"/>
  <c r="U700" i="8"/>
  <c r="D700" i="8"/>
  <c r="Y699" i="8"/>
  <c r="X699" i="8"/>
  <c r="W699" i="8"/>
  <c r="V699" i="8"/>
  <c r="U699" i="8"/>
  <c r="D699" i="8"/>
  <c r="Y698" i="8"/>
  <c r="X698" i="8"/>
  <c r="W698" i="8"/>
  <c r="V698" i="8"/>
  <c r="U698" i="8"/>
  <c r="D698" i="8"/>
  <c r="Y697" i="8"/>
  <c r="X697" i="8"/>
  <c r="W697" i="8"/>
  <c r="V697" i="8"/>
  <c r="U697" i="8"/>
  <c r="D697" i="8"/>
  <c r="Y696" i="8"/>
  <c r="X696" i="8"/>
  <c r="W696" i="8"/>
  <c r="V696" i="8"/>
  <c r="U696" i="8"/>
  <c r="D696" i="8"/>
  <c r="Y695" i="8"/>
  <c r="X695" i="8"/>
  <c r="W695" i="8"/>
  <c r="V695" i="8"/>
  <c r="U695" i="8"/>
  <c r="D695" i="8"/>
  <c r="Y694" i="8"/>
  <c r="X694" i="8"/>
  <c r="W694" i="8"/>
  <c r="V694" i="8"/>
  <c r="U694" i="8"/>
  <c r="D694" i="8"/>
  <c r="Y693" i="8"/>
  <c r="X693" i="8"/>
  <c r="W693" i="8"/>
  <c r="V693" i="8"/>
  <c r="U693" i="8"/>
  <c r="D693" i="8"/>
  <c r="Y692" i="8"/>
  <c r="X692" i="8"/>
  <c r="W692" i="8"/>
  <c r="V692" i="8"/>
  <c r="U692" i="8"/>
  <c r="D692" i="8"/>
  <c r="Y691" i="8"/>
  <c r="X691" i="8"/>
  <c r="W691" i="8"/>
  <c r="V691" i="8"/>
  <c r="U691" i="8"/>
  <c r="D691" i="8"/>
  <c r="Y690" i="8"/>
  <c r="X690" i="8"/>
  <c r="W690" i="8"/>
  <c r="V690" i="8"/>
  <c r="U690" i="8"/>
  <c r="D690" i="8"/>
  <c r="Y689" i="8"/>
  <c r="X689" i="8"/>
  <c r="W689" i="8"/>
  <c r="V689" i="8"/>
  <c r="U689" i="8"/>
  <c r="D689" i="8"/>
  <c r="Y688" i="8"/>
  <c r="X688" i="8"/>
  <c r="W688" i="8"/>
  <c r="V688" i="8"/>
  <c r="U688" i="8"/>
  <c r="D688" i="8"/>
  <c r="Y687" i="8"/>
  <c r="X687" i="8"/>
  <c r="W687" i="8"/>
  <c r="V687" i="8"/>
  <c r="U687" i="8"/>
  <c r="D687" i="8"/>
  <c r="Y686" i="8"/>
  <c r="X686" i="8"/>
  <c r="W686" i="8"/>
  <c r="V686" i="8"/>
  <c r="U686" i="8"/>
  <c r="D686" i="8"/>
  <c r="Y685" i="8"/>
  <c r="X685" i="8"/>
  <c r="W685" i="8"/>
  <c r="V685" i="8"/>
  <c r="U685" i="8"/>
  <c r="D685" i="8"/>
  <c r="Y684" i="8"/>
  <c r="X684" i="8"/>
  <c r="W684" i="8"/>
  <c r="V684" i="8"/>
  <c r="U684" i="8"/>
  <c r="D684" i="8"/>
  <c r="Y683" i="8"/>
  <c r="X683" i="8"/>
  <c r="W683" i="8"/>
  <c r="V683" i="8"/>
  <c r="U683" i="8"/>
  <c r="D683" i="8"/>
  <c r="Y682" i="8"/>
  <c r="X682" i="8"/>
  <c r="W682" i="8"/>
  <c r="V682" i="8"/>
  <c r="U682" i="8"/>
  <c r="D682" i="8"/>
  <c r="X681" i="8"/>
  <c r="D681" i="8"/>
  <c r="Y680" i="8"/>
  <c r="X680" i="8"/>
  <c r="W680" i="8"/>
  <c r="V680" i="8"/>
  <c r="U680" i="8"/>
  <c r="D680" i="8"/>
  <c r="Y679" i="8"/>
  <c r="X679" i="8"/>
  <c r="W679" i="8"/>
  <c r="V679" i="8"/>
  <c r="U679" i="8"/>
  <c r="D679" i="8"/>
  <c r="Y678" i="8"/>
  <c r="X678" i="8"/>
  <c r="W678" i="8"/>
  <c r="V678" i="8"/>
  <c r="U678" i="8"/>
  <c r="D678" i="8"/>
  <c r="Y677" i="8"/>
  <c r="X677" i="8"/>
  <c r="W677" i="8"/>
  <c r="V677" i="8"/>
  <c r="U677" i="8"/>
  <c r="D677" i="8"/>
  <c r="Y676" i="8"/>
  <c r="X676" i="8"/>
  <c r="W676" i="8"/>
  <c r="V676" i="8"/>
  <c r="U676" i="8"/>
  <c r="D676" i="8"/>
  <c r="Y675" i="8"/>
  <c r="X675" i="8"/>
  <c r="W675" i="8"/>
  <c r="V675" i="8"/>
  <c r="U675" i="8"/>
  <c r="D675" i="8"/>
  <c r="Y674" i="8"/>
  <c r="X674" i="8"/>
  <c r="W674" i="8"/>
  <c r="V674" i="8"/>
  <c r="U674" i="8"/>
  <c r="D674" i="8"/>
  <c r="Y673" i="8"/>
  <c r="X673" i="8"/>
  <c r="W673" i="8"/>
  <c r="V673" i="8"/>
  <c r="U673" i="8"/>
  <c r="D673" i="8"/>
  <c r="Y672" i="8"/>
  <c r="X672" i="8"/>
  <c r="W672" i="8"/>
  <c r="V672" i="8"/>
  <c r="U672" i="8"/>
  <c r="D672" i="8"/>
  <c r="Y671" i="8"/>
  <c r="X671" i="8"/>
  <c r="W671" i="8"/>
  <c r="V671" i="8"/>
  <c r="U671" i="8"/>
  <c r="D671" i="8"/>
  <c r="Y670" i="8"/>
  <c r="X670" i="8"/>
  <c r="W670" i="8"/>
  <c r="V670" i="8"/>
  <c r="U670" i="8"/>
  <c r="D670" i="8"/>
  <c r="Y669" i="8"/>
  <c r="X669" i="8"/>
  <c r="W669" i="8"/>
  <c r="V669" i="8"/>
  <c r="U669" i="8"/>
  <c r="D669" i="8"/>
  <c r="Y668" i="8"/>
  <c r="X668" i="8"/>
  <c r="W668" i="8"/>
  <c r="V668" i="8"/>
  <c r="U668" i="8"/>
  <c r="D668" i="8"/>
  <c r="Y667" i="8"/>
  <c r="X667" i="8"/>
  <c r="W667" i="8"/>
  <c r="V667" i="8"/>
  <c r="U667" i="8"/>
  <c r="D667" i="8"/>
  <c r="Y666" i="8"/>
  <c r="X666" i="8"/>
  <c r="W666" i="8"/>
  <c r="V666" i="8"/>
  <c r="U666" i="8"/>
  <c r="D666" i="8"/>
  <c r="Y665" i="8"/>
  <c r="X665" i="8"/>
  <c r="W665" i="8"/>
  <c r="V665" i="8"/>
  <c r="U665" i="8"/>
  <c r="D665" i="8"/>
  <c r="Y664" i="8"/>
  <c r="X664" i="8"/>
  <c r="W664" i="8"/>
  <c r="V664" i="8"/>
  <c r="U664" i="8"/>
  <c r="D664" i="8"/>
  <c r="Y663" i="8"/>
  <c r="X663" i="8"/>
  <c r="W663" i="8"/>
  <c r="V663" i="8"/>
  <c r="U663" i="8"/>
  <c r="D663" i="8"/>
  <c r="Y662" i="8"/>
  <c r="X662" i="8"/>
  <c r="W662" i="8"/>
  <c r="V662" i="8"/>
  <c r="U662" i="8"/>
  <c r="D662" i="8"/>
  <c r="Y661" i="8"/>
  <c r="X661" i="8"/>
  <c r="W661" i="8"/>
  <c r="V661" i="8"/>
  <c r="U661" i="8"/>
  <c r="D661" i="8"/>
  <c r="Y660" i="8"/>
  <c r="X660" i="8"/>
  <c r="W660" i="8"/>
  <c r="V660" i="8"/>
  <c r="U660" i="8"/>
  <c r="D660" i="8"/>
  <c r="Y659" i="8"/>
  <c r="X659" i="8"/>
  <c r="W659" i="8"/>
  <c r="V659" i="8"/>
  <c r="U659" i="8"/>
  <c r="D659" i="8"/>
  <c r="Y658" i="8"/>
  <c r="X658" i="8"/>
  <c r="W658" i="8"/>
  <c r="V658" i="8"/>
  <c r="U658" i="8"/>
  <c r="D658" i="8"/>
  <c r="X657" i="8"/>
  <c r="D657" i="8"/>
  <c r="Y656" i="8"/>
  <c r="X656" i="8"/>
  <c r="W656" i="8"/>
  <c r="V656" i="8"/>
  <c r="U656" i="8"/>
  <c r="D656" i="8"/>
  <c r="Y655" i="8"/>
  <c r="X655" i="8"/>
  <c r="W655" i="8"/>
  <c r="V655" i="8"/>
  <c r="U655" i="8"/>
  <c r="D655" i="8"/>
  <c r="Y654" i="8"/>
  <c r="X654" i="8"/>
  <c r="W654" i="8"/>
  <c r="V654" i="8"/>
  <c r="U654" i="8"/>
  <c r="D654" i="8"/>
  <c r="Y653" i="8"/>
  <c r="X653" i="8"/>
  <c r="W653" i="8"/>
  <c r="V653" i="8"/>
  <c r="U653" i="8"/>
  <c r="D653" i="8"/>
  <c r="Y652" i="8"/>
  <c r="X652" i="8"/>
  <c r="W652" i="8"/>
  <c r="V652" i="8"/>
  <c r="U652" i="8"/>
  <c r="D652" i="8"/>
  <c r="Y651" i="8"/>
  <c r="X651" i="8"/>
  <c r="W651" i="8"/>
  <c r="V651" i="8"/>
  <c r="U651" i="8"/>
  <c r="D651" i="8"/>
  <c r="Y650" i="8"/>
  <c r="X650" i="8"/>
  <c r="W650" i="8"/>
  <c r="V650" i="8"/>
  <c r="U650" i="8"/>
  <c r="D650" i="8"/>
  <c r="Y649" i="8"/>
  <c r="X649" i="8"/>
  <c r="W649" i="8"/>
  <c r="V649" i="8"/>
  <c r="U649" i="8"/>
  <c r="D649" i="8"/>
  <c r="Y648" i="8"/>
  <c r="X648" i="8"/>
  <c r="W648" i="8"/>
  <c r="V648" i="8"/>
  <c r="U648" i="8"/>
  <c r="D648" i="8"/>
  <c r="Y647" i="8"/>
  <c r="X647" i="8"/>
  <c r="W647" i="8"/>
  <c r="V647" i="8"/>
  <c r="U647" i="8"/>
  <c r="D647" i="8"/>
  <c r="Y646" i="8"/>
  <c r="X646" i="8"/>
  <c r="W646" i="8"/>
  <c r="V646" i="8"/>
  <c r="U646" i="8"/>
  <c r="D646" i="8"/>
  <c r="Y645" i="8"/>
  <c r="X645" i="8"/>
  <c r="W645" i="8"/>
  <c r="V645" i="8"/>
  <c r="U645" i="8"/>
  <c r="D645" i="8"/>
  <c r="Y644" i="8"/>
  <c r="X644" i="8"/>
  <c r="W644" i="8"/>
  <c r="V644" i="8"/>
  <c r="U644" i="8"/>
  <c r="D644" i="8"/>
  <c r="Y643" i="8"/>
  <c r="X643" i="8"/>
  <c r="W643" i="8"/>
  <c r="V643" i="8"/>
  <c r="U643" i="8"/>
  <c r="D643" i="8"/>
  <c r="Y642" i="8"/>
  <c r="X642" i="8"/>
  <c r="W642" i="8"/>
  <c r="V642" i="8"/>
  <c r="U642" i="8"/>
  <c r="D642" i="8"/>
  <c r="Y641" i="8"/>
  <c r="X641" i="8"/>
  <c r="W641" i="8"/>
  <c r="V641" i="8"/>
  <c r="U641" i="8"/>
  <c r="D641" i="8"/>
  <c r="Y640" i="8"/>
  <c r="X640" i="8"/>
  <c r="W640" i="8"/>
  <c r="V640" i="8"/>
  <c r="U640" i="8"/>
  <c r="D640" i="8"/>
  <c r="Y639" i="8"/>
  <c r="X639" i="8"/>
  <c r="W639" i="8"/>
  <c r="V639" i="8"/>
  <c r="U639" i="8"/>
  <c r="D639" i="8"/>
  <c r="Y638" i="8"/>
  <c r="X638" i="8"/>
  <c r="W638" i="8"/>
  <c r="V638" i="8"/>
  <c r="U638" i="8"/>
  <c r="D638" i="8"/>
  <c r="Y637" i="8"/>
  <c r="X637" i="8"/>
  <c r="W637" i="8"/>
  <c r="V637" i="8"/>
  <c r="U637" i="8"/>
  <c r="D637" i="8"/>
  <c r="Y636" i="8"/>
  <c r="X636" i="8"/>
  <c r="W636" i="8"/>
  <c r="V636" i="8"/>
  <c r="U636" i="8"/>
  <c r="D636" i="8"/>
  <c r="Y635" i="8"/>
  <c r="X635" i="8"/>
  <c r="W635" i="8"/>
  <c r="V635" i="8"/>
  <c r="U635" i="8"/>
  <c r="D635" i="8"/>
  <c r="Y634" i="8"/>
  <c r="X634" i="8"/>
  <c r="W634" i="8"/>
  <c r="V634" i="8"/>
  <c r="U634" i="8"/>
  <c r="D634" i="8"/>
  <c r="Y633" i="8"/>
  <c r="X633" i="8"/>
  <c r="W633" i="8"/>
  <c r="V633" i="8"/>
  <c r="U633" i="8"/>
  <c r="D633" i="8"/>
  <c r="X632" i="8"/>
  <c r="D632" i="8"/>
  <c r="Y631" i="8"/>
  <c r="X631" i="8"/>
  <c r="W631" i="8"/>
  <c r="V631" i="8"/>
  <c r="U631" i="8"/>
  <c r="D631" i="8"/>
  <c r="Y630" i="8"/>
  <c r="X630" i="8"/>
  <c r="W630" i="8"/>
  <c r="V630" i="8"/>
  <c r="U630" i="8"/>
  <c r="D630" i="8"/>
  <c r="Y629" i="8"/>
  <c r="X629" i="8"/>
  <c r="W629" i="8"/>
  <c r="V629" i="8"/>
  <c r="U629" i="8"/>
  <c r="D629" i="8"/>
  <c r="Y628" i="8"/>
  <c r="X628" i="8"/>
  <c r="W628" i="8"/>
  <c r="V628" i="8"/>
  <c r="U628" i="8"/>
  <c r="D628" i="8"/>
  <c r="Y627" i="8"/>
  <c r="X627" i="8"/>
  <c r="W627" i="8"/>
  <c r="V627" i="8"/>
  <c r="U627" i="8"/>
  <c r="D627" i="8"/>
  <c r="Y626" i="8"/>
  <c r="X626" i="8"/>
  <c r="W626" i="8"/>
  <c r="V626" i="8"/>
  <c r="U626" i="8"/>
  <c r="D626" i="8"/>
  <c r="Y625" i="8"/>
  <c r="X625" i="8"/>
  <c r="W625" i="8"/>
  <c r="V625" i="8"/>
  <c r="U625" i="8"/>
  <c r="D625" i="8"/>
  <c r="Y624" i="8"/>
  <c r="X624" i="8"/>
  <c r="W624" i="8"/>
  <c r="V624" i="8"/>
  <c r="U624" i="8"/>
  <c r="D624" i="8"/>
  <c r="Y623" i="8"/>
  <c r="X623" i="8"/>
  <c r="W623" i="8"/>
  <c r="V623" i="8"/>
  <c r="U623" i="8"/>
  <c r="D623" i="8"/>
  <c r="Y622" i="8"/>
  <c r="X622" i="8"/>
  <c r="W622" i="8"/>
  <c r="V622" i="8"/>
  <c r="U622" i="8"/>
  <c r="D622" i="8"/>
  <c r="Y621" i="8"/>
  <c r="X621" i="8"/>
  <c r="W621" i="8"/>
  <c r="V621" i="8"/>
  <c r="U621" i="8"/>
  <c r="D621" i="8"/>
  <c r="Y620" i="8"/>
  <c r="X620" i="8"/>
  <c r="W620" i="8"/>
  <c r="V620" i="8"/>
  <c r="U620" i="8"/>
  <c r="D620" i="8"/>
  <c r="Y619" i="8"/>
  <c r="X619" i="8"/>
  <c r="W619" i="8"/>
  <c r="V619" i="8"/>
  <c r="U619" i="8"/>
  <c r="D619" i="8"/>
  <c r="Y618" i="8"/>
  <c r="X618" i="8"/>
  <c r="W618" i="8"/>
  <c r="V618" i="8"/>
  <c r="U618" i="8"/>
  <c r="D618" i="8"/>
  <c r="Y617" i="8"/>
  <c r="X617" i="8"/>
  <c r="W617" i="8"/>
  <c r="V617" i="8"/>
  <c r="U617" i="8"/>
  <c r="D617" i="8"/>
  <c r="Y616" i="8"/>
  <c r="X616" i="8"/>
  <c r="W616" i="8"/>
  <c r="V616" i="8"/>
  <c r="U616" i="8"/>
  <c r="D616" i="8"/>
  <c r="Y615" i="8"/>
  <c r="X615" i="8"/>
  <c r="W615" i="8"/>
  <c r="V615" i="8"/>
  <c r="U615" i="8"/>
  <c r="D615" i="8"/>
  <c r="Y614" i="8"/>
  <c r="X614" i="8"/>
  <c r="W614" i="8"/>
  <c r="V614" i="8"/>
  <c r="U614" i="8"/>
  <c r="D614" i="8"/>
  <c r="Y613" i="8"/>
  <c r="X613" i="8"/>
  <c r="W613" i="8"/>
  <c r="V613" i="8"/>
  <c r="U613" i="8"/>
  <c r="D613" i="8"/>
  <c r="Y612" i="8"/>
  <c r="X612" i="8"/>
  <c r="W612" i="8"/>
  <c r="V612" i="8"/>
  <c r="U612" i="8"/>
  <c r="D612" i="8"/>
  <c r="Y611" i="8"/>
  <c r="X611" i="8"/>
  <c r="W611" i="8"/>
  <c r="V611" i="8"/>
  <c r="U611" i="8"/>
  <c r="D611" i="8"/>
  <c r="Y610" i="8"/>
  <c r="X610" i="8"/>
  <c r="W610" i="8"/>
  <c r="V610" i="8"/>
  <c r="U610" i="8"/>
  <c r="D610" i="8"/>
  <c r="X609" i="8"/>
  <c r="W609" i="8"/>
  <c r="V609" i="8"/>
  <c r="U609" i="8"/>
  <c r="D609" i="8"/>
  <c r="Y608" i="8"/>
  <c r="X608" i="8"/>
  <c r="W608" i="8"/>
  <c r="V608" i="8"/>
  <c r="U608" i="8"/>
  <c r="D608" i="8"/>
  <c r="Y607" i="8"/>
  <c r="X607" i="8"/>
  <c r="W607" i="8"/>
  <c r="V607" i="8"/>
  <c r="U607" i="8"/>
  <c r="D607" i="8"/>
  <c r="Y606" i="8"/>
  <c r="X606" i="8"/>
  <c r="W606" i="8"/>
  <c r="V606" i="8"/>
  <c r="U606" i="8"/>
  <c r="D606" i="8"/>
  <c r="Y605" i="8"/>
  <c r="X605" i="8"/>
  <c r="W605" i="8"/>
  <c r="V605" i="8"/>
  <c r="U605" i="8"/>
  <c r="D605" i="8"/>
  <c r="Y604" i="8"/>
  <c r="X604" i="8"/>
  <c r="W604" i="8"/>
  <c r="V604" i="8"/>
  <c r="U604" i="8"/>
  <c r="D604" i="8"/>
  <c r="Y603" i="8"/>
  <c r="X603" i="8"/>
  <c r="W603" i="8"/>
  <c r="V603" i="8"/>
  <c r="U603" i="8"/>
  <c r="D603" i="8"/>
  <c r="Y602" i="8"/>
  <c r="X602" i="8"/>
  <c r="W602" i="8"/>
  <c r="V602" i="8"/>
  <c r="U602" i="8"/>
  <c r="D602" i="8"/>
  <c r="Y601" i="8"/>
  <c r="X601" i="8"/>
  <c r="W601" i="8"/>
  <c r="V601" i="8"/>
  <c r="U601" i="8"/>
  <c r="D601" i="8"/>
  <c r="Y600" i="8"/>
  <c r="X600" i="8"/>
  <c r="W600" i="8"/>
  <c r="V600" i="8"/>
  <c r="U600" i="8"/>
  <c r="D600" i="8"/>
  <c r="Y599" i="8"/>
  <c r="X599" i="8"/>
  <c r="W599" i="8"/>
  <c r="V599" i="8"/>
  <c r="U599" i="8"/>
  <c r="D599" i="8"/>
  <c r="Y598" i="8"/>
  <c r="X598" i="8"/>
  <c r="W598" i="8"/>
  <c r="V598" i="8"/>
  <c r="U598" i="8"/>
  <c r="D598" i="8"/>
  <c r="Y597" i="8"/>
  <c r="X597" i="8"/>
  <c r="W597" i="8"/>
  <c r="V597" i="8"/>
  <c r="U597" i="8"/>
  <c r="D597" i="8"/>
  <c r="Y596" i="8"/>
  <c r="X596" i="8"/>
  <c r="W596" i="8"/>
  <c r="V596" i="8"/>
  <c r="U596" i="8"/>
  <c r="D596" i="8"/>
  <c r="Y595" i="8"/>
  <c r="X595" i="8"/>
  <c r="W595" i="8"/>
  <c r="V595" i="8"/>
  <c r="U595" i="8"/>
  <c r="D595" i="8"/>
  <c r="Y594" i="8"/>
  <c r="X594" i="8"/>
  <c r="W594" i="8"/>
  <c r="V594" i="8"/>
  <c r="U594" i="8"/>
  <c r="D594" i="8"/>
  <c r="Y593" i="8"/>
  <c r="X593" i="8"/>
  <c r="W593" i="8"/>
  <c r="V593" i="8"/>
  <c r="U593" i="8"/>
  <c r="D593" i="8"/>
  <c r="Y592" i="8"/>
  <c r="X592" i="8"/>
  <c r="W592" i="8"/>
  <c r="V592" i="8"/>
  <c r="U592" i="8"/>
  <c r="D592" i="8"/>
  <c r="Y591" i="8"/>
  <c r="X591" i="8"/>
  <c r="W591" i="8"/>
  <c r="V591" i="8"/>
  <c r="U591" i="8"/>
  <c r="D591" i="8"/>
  <c r="Y590" i="8"/>
  <c r="X590" i="8"/>
  <c r="W590" i="8"/>
  <c r="V590" i="8"/>
  <c r="U590" i="8"/>
  <c r="D590" i="8"/>
  <c r="Y589" i="8"/>
  <c r="X589" i="8"/>
  <c r="W589" i="8"/>
  <c r="V589" i="8"/>
  <c r="U589" i="8"/>
  <c r="D589" i="8"/>
  <c r="Y588" i="8"/>
  <c r="X588" i="8"/>
  <c r="W588" i="8"/>
  <c r="V588" i="8"/>
  <c r="U588" i="8"/>
  <c r="D588" i="8"/>
  <c r="Y587" i="8"/>
  <c r="X587" i="8"/>
  <c r="W587" i="8"/>
  <c r="V587" i="8"/>
  <c r="U587" i="8"/>
  <c r="D587" i="8"/>
  <c r="Y586" i="8"/>
  <c r="X586" i="8"/>
  <c r="W586" i="8"/>
  <c r="V586" i="8"/>
  <c r="U586" i="8"/>
  <c r="D586" i="8"/>
  <c r="Y585" i="8"/>
  <c r="X585" i="8"/>
  <c r="W585" i="8"/>
  <c r="V585" i="8"/>
  <c r="U585" i="8"/>
  <c r="D585" i="8"/>
  <c r="Y584" i="8"/>
  <c r="X584" i="8"/>
  <c r="W584" i="8"/>
  <c r="V584" i="8"/>
  <c r="U584" i="8"/>
  <c r="D584" i="8"/>
  <c r="X583" i="8"/>
  <c r="W583" i="8"/>
  <c r="V583" i="8"/>
  <c r="U583" i="8"/>
  <c r="D583" i="8"/>
  <c r="Y582" i="8"/>
  <c r="X582" i="8"/>
  <c r="W582" i="8"/>
  <c r="V582" i="8"/>
  <c r="U582" i="8"/>
  <c r="D582" i="8"/>
  <c r="Y581" i="8"/>
  <c r="X581" i="8"/>
  <c r="W581" i="8"/>
  <c r="V581" i="8"/>
  <c r="U581" i="8"/>
  <c r="D581" i="8"/>
  <c r="Y580" i="8"/>
  <c r="X580" i="8"/>
  <c r="W580" i="8"/>
  <c r="V580" i="8"/>
  <c r="U580" i="8"/>
  <c r="D580" i="8"/>
  <c r="Y579" i="8"/>
  <c r="X579" i="8"/>
  <c r="W579" i="8"/>
  <c r="V579" i="8"/>
  <c r="U579" i="8"/>
  <c r="D579" i="8"/>
  <c r="Y578" i="8"/>
  <c r="X578" i="8"/>
  <c r="W578" i="8"/>
  <c r="V578" i="8"/>
  <c r="U578" i="8"/>
  <c r="D578" i="8"/>
  <c r="Y577" i="8"/>
  <c r="X577" i="8"/>
  <c r="W577" i="8"/>
  <c r="V577" i="8"/>
  <c r="U577" i="8"/>
  <c r="D577" i="8"/>
  <c r="Y576" i="8"/>
  <c r="X576" i="8"/>
  <c r="W576" i="8"/>
  <c r="V576" i="8"/>
  <c r="U576" i="8"/>
  <c r="D576" i="8"/>
  <c r="Y575" i="8"/>
  <c r="X575" i="8"/>
  <c r="W575" i="8"/>
  <c r="V575" i="8"/>
  <c r="U575" i="8"/>
  <c r="D575" i="8"/>
  <c r="Y574" i="8"/>
  <c r="X574" i="8"/>
  <c r="W574" i="8"/>
  <c r="V574" i="8"/>
  <c r="U574" i="8"/>
  <c r="D574" i="8"/>
  <c r="Y573" i="8"/>
  <c r="X573" i="8"/>
  <c r="W573" i="8"/>
  <c r="V573" i="8"/>
  <c r="U573" i="8"/>
  <c r="D573" i="8"/>
  <c r="Y572" i="8"/>
  <c r="X572" i="8"/>
  <c r="W572" i="8"/>
  <c r="V572" i="8"/>
  <c r="U572" i="8"/>
  <c r="D572" i="8"/>
  <c r="Y571" i="8"/>
  <c r="X571" i="8"/>
  <c r="W571" i="8"/>
  <c r="V571" i="8"/>
  <c r="U571" i="8"/>
  <c r="D571" i="8"/>
  <c r="Y570" i="8"/>
  <c r="X570" i="8"/>
  <c r="W570" i="8"/>
  <c r="V570" i="8"/>
  <c r="U570" i="8"/>
  <c r="D570" i="8"/>
  <c r="Y569" i="8"/>
  <c r="X569" i="8"/>
  <c r="W569" i="8"/>
  <c r="V569" i="8"/>
  <c r="U569" i="8"/>
  <c r="D569" i="8"/>
  <c r="Y568" i="8"/>
  <c r="X568" i="8"/>
  <c r="W568" i="8"/>
  <c r="V568" i="8"/>
  <c r="U568" i="8"/>
  <c r="D568" i="8"/>
  <c r="Y567" i="8"/>
  <c r="X567" i="8"/>
  <c r="W567" i="8"/>
  <c r="V567" i="8"/>
  <c r="U567" i="8"/>
  <c r="D567" i="8"/>
  <c r="Y566" i="8"/>
  <c r="X566" i="8"/>
  <c r="W566" i="8"/>
  <c r="V566" i="8"/>
  <c r="U566" i="8"/>
  <c r="D566" i="8"/>
  <c r="Y565" i="8"/>
  <c r="X565" i="8"/>
  <c r="W565" i="8"/>
  <c r="V565" i="8"/>
  <c r="U565" i="8"/>
  <c r="D565" i="8"/>
  <c r="Y564" i="8"/>
  <c r="X564" i="8"/>
  <c r="W564" i="8"/>
  <c r="V564" i="8"/>
  <c r="U564" i="8"/>
  <c r="D564" i="8"/>
  <c r="Y563" i="8"/>
  <c r="X563" i="8"/>
  <c r="W563" i="8"/>
  <c r="V563" i="8"/>
  <c r="U563" i="8"/>
  <c r="D563" i="8"/>
  <c r="Y562" i="8"/>
  <c r="X562" i="8"/>
  <c r="W562" i="8"/>
  <c r="V562" i="8"/>
  <c r="U562" i="8"/>
  <c r="D562" i="8"/>
  <c r="Y561" i="8"/>
  <c r="X561" i="8"/>
  <c r="W561" i="8"/>
  <c r="V561" i="8"/>
  <c r="U561" i="8"/>
  <c r="D561" i="8"/>
  <c r="X560" i="8"/>
  <c r="D560" i="8"/>
  <c r="Y559" i="8"/>
  <c r="X559" i="8"/>
  <c r="W559" i="8"/>
  <c r="V559" i="8"/>
  <c r="U559" i="8"/>
  <c r="D559" i="8"/>
  <c r="Y558" i="8"/>
  <c r="X558" i="8"/>
  <c r="W558" i="8"/>
  <c r="V558" i="8"/>
  <c r="U558" i="8"/>
  <c r="D558" i="8"/>
  <c r="Y557" i="8"/>
  <c r="X557" i="8"/>
  <c r="W557" i="8"/>
  <c r="V557" i="8"/>
  <c r="U557" i="8"/>
  <c r="D557" i="8"/>
  <c r="Y556" i="8"/>
  <c r="X556" i="8"/>
  <c r="W556" i="8"/>
  <c r="V556" i="8"/>
  <c r="U556" i="8"/>
  <c r="D556" i="8"/>
  <c r="Y555" i="8"/>
  <c r="X555" i="8"/>
  <c r="W555" i="8"/>
  <c r="V555" i="8"/>
  <c r="U555" i="8"/>
  <c r="D555" i="8"/>
  <c r="Y554" i="8"/>
  <c r="X554" i="8"/>
  <c r="W554" i="8"/>
  <c r="V554" i="8"/>
  <c r="U554" i="8"/>
  <c r="D554" i="8"/>
  <c r="Y553" i="8"/>
  <c r="X553" i="8"/>
  <c r="W553" i="8"/>
  <c r="V553" i="8"/>
  <c r="U553" i="8"/>
  <c r="D553" i="8"/>
  <c r="Y552" i="8"/>
  <c r="X552" i="8"/>
  <c r="W552" i="8"/>
  <c r="V552" i="8"/>
  <c r="U552" i="8"/>
  <c r="D552" i="8"/>
  <c r="Y551" i="8"/>
  <c r="X551" i="8"/>
  <c r="W551" i="8"/>
  <c r="V551" i="8"/>
  <c r="U551" i="8"/>
  <c r="D551" i="8"/>
  <c r="Y550" i="8"/>
  <c r="X550" i="8"/>
  <c r="W550" i="8"/>
  <c r="V550" i="8"/>
  <c r="U550" i="8"/>
  <c r="D550" i="8"/>
  <c r="Y549" i="8"/>
  <c r="X549" i="8"/>
  <c r="W549" i="8"/>
  <c r="V549" i="8"/>
  <c r="U549" i="8"/>
  <c r="D549" i="8"/>
  <c r="Y548" i="8"/>
  <c r="X548" i="8"/>
  <c r="W548" i="8"/>
  <c r="V548" i="8"/>
  <c r="U548" i="8"/>
  <c r="D548" i="8"/>
  <c r="Y547" i="8"/>
  <c r="X547" i="8"/>
  <c r="W547" i="8"/>
  <c r="V547" i="8"/>
  <c r="U547" i="8"/>
  <c r="D547" i="8"/>
  <c r="Y546" i="8"/>
  <c r="X546" i="8"/>
  <c r="W546" i="8"/>
  <c r="V546" i="8"/>
  <c r="U546" i="8"/>
  <c r="D546" i="8"/>
  <c r="Y545" i="8"/>
  <c r="X545" i="8"/>
  <c r="W545" i="8"/>
  <c r="V545" i="8"/>
  <c r="U545" i="8"/>
  <c r="D545" i="8"/>
  <c r="Y544" i="8"/>
  <c r="X544" i="8"/>
  <c r="W544" i="8"/>
  <c r="V544" i="8"/>
  <c r="U544" i="8"/>
  <c r="D544" i="8"/>
  <c r="Y543" i="8"/>
  <c r="X543" i="8"/>
  <c r="W543" i="8"/>
  <c r="V543" i="8"/>
  <c r="U543" i="8"/>
  <c r="D543" i="8"/>
  <c r="Y542" i="8"/>
  <c r="X542" i="8"/>
  <c r="W542" i="8"/>
  <c r="V542" i="8"/>
  <c r="U542" i="8"/>
  <c r="D542" i="8"/>
  <c r="Y541" i="8"/>
  <c r="X541" i="8"/>
  <c r="W541" i="8"/>
  <c r="V541" i="8"/>
  <c r="U541" i="8"/>
  <c r="D541" i="8"/>
  <c r="Y540" i="8"/>
  <c r="X540" i="8"/>
  <c r="W540" i="8"/>
  <c r="V540" i="8"/>
  <c r="U540" i="8"/>
  <c r="D540" i="8"/>
  <c r="Y539" i="8"/>
  <c r="X539" i="8"/>
  <c r="W539" i="8"/>
  <c r="V539" i="8"/>
  <c r="U539" i="8"/>
  <c r="D539" i="8"/>
  <c r="Y538" i="8"/>
  <c r="X538" i="8"/>
  <c r="W538" i="8"/>
  <c r="V538" i="8"/>
  <c r="U538" i="8"/>
  <c r="D538" i="8"/>
  <c r="Y537" i="8"/>
  <c r="X537" i="8"/>
  <c r="W537" i="8"/>
  <c r="V537" i="8"/>
  <c r="U537" i="8"/>
  <c r="D537" i="8"/>
  <c r="X536" i="8"/>
  <c r="D536" i="8"/>
  <c r="Y535" i="8"/>
  <c r="X535" i="8"/>
  <c r="W535" i="8"/>
  <c r="V535" i="8"/>
  <c r="U535" i="8"/>
  <c r="D535" i="8"/>
  <c r="Y534" i="8"/>
  <c r="X534" i="8"/>
  <c r="W534" i="8"/>
  <c r="V534" i="8"/>
  <c r="U534" i="8"/>
  <c r="D534" i="8"/>
  <c r="Y533" i="8"/>
  <c r="X533" i="8"/>
  <c r="W533" i="8"/>
  <c r="V533" i="8"/>
  <c r="U533" i="8"/>
  <c r="D533" i="8"/>
  <c r="Y532" i="8"/>
  <c r="X532" i="8"/>
  <c r="W532" i="8"/>
  <c r="V532" i="8"/>
  <c r="U532" i="8"/>
  <c r="D532" i="8"/>
  <c r="Y531" i="8"/>
  <c r="X531" i="8"/>
  <c r="W531" i="8"/>
  <c r="V531" i="8"/>
  <c r="U531" i="8"/>
  <c r="D531" i="8"/>
  <c r="Y530" i="8"/>
  <c r="X530" i="8"/>
  <c r="W530" i="8"/>
  <c r="V530" i="8"/>
  <c r="U530" i="8"/>
  <c r="D530" i="8"/>
  <c r="Y529" i="8"/>
  <c r="X529" i="8"/>
  <c r="W529" i="8"/>
  <c r="V529" i="8"/>
  <c r="U529" i="8"/>
  <c r="D529" i="8"/>
  <c r="Y528" i="8"/>
  <c r="X528" i="8"/>
  <c r="W528" i="8"/>
  <c r="V528" i="8"/>
  <c r="U528" i="8"/>
  <c r="D528" i="8"/>
  <c r="Y527" i="8"/>
  <c r="X527" i="8"/>
  <c r="W527" i="8"/>
  <c r="V527" i="8"/>
  <c r="U527" i="8"/>
  <c r="D527" i="8"/>
  <c r="Y526" i="8"/>
  <c r="X526" i="8"/>
  <c r="W526" i="8"/>
  <c r="V526" i="8"/>
  <c r="U526" i="8"/>
  <c r="D526" i="8"/>
  <c r="Y525" i="8"/>
  <c r="X525" i="8"/>
  <c r="W525" i="8"/>
  <c r="V525" i="8"/>
  <c r="U525" i="8"/>
  <c r="D525" i="8"/>
  <c r="Y524" i="8"/>
  <c r="X524" i="8"/>
  <c r="W524" i="8"/>
  <c r="V524" i="8"/>
  <c r="U524" i="8"/>
  <c r="D524" i="8"/>
  <c r="Y523" i="8"/>
  <c r="X523" i="8"/>
  <c r="W523" i="8"/>
  <c r="V523" i="8"/>
  <c r="U523" i="8"/>
  <c r="D523" i="8"/>
  <c r="Y522" i="8"/>
  <c r="X522" i="8"/>
  <c r="W522" i="8"/>
  <c r="V522" i="8"/>
  <c r="U522" i="8"/>
  <c r="D522" i="8"/>
  <c r="Y521" i="8"/>
  <c r="X521" i="8"/>
  <c r="W521" i="8"/>
  <c r="V521" i="8"/>
  <c r="U521" i="8"/>
  <c r="D521" i="8"/>
  <c r="Y520" i="8"/>
  <c r="X520" i="8"/>
  <c r="W520" i="8"/>
  <c r="V520" i="8"/>
  <c r="U520" i="8"/>
  <c r="D520" i="8"/>
  <c r="Y519" i="8"/>
  <c r="X519" i="8"/>
  <c r="W519" i="8"/>
  <c r="V519" i="8"/>
  <c r="U519" i="8"/>
  <c r="D519" i="8"/>
  <c r="Y518" i="8"/>
  <c r="X518" i="8"/>
  <c r="W518" i="8"/>
  <c r="V518" i="8"/>
  <c r="U518" i="8"/>
  <c r="D518" i="8"/>
  <c r="Y517" i="8"/>
  <c r="X517" i="8"/>
  <c r="W517" i="8"/>
  <c r="V517" i="8"/>
  <c r="U517" i="8"/>
  <c r="D517" i="8"/>
  <c r="Y516" i="8"/>
  <c r="X516" i="8"/>
  <c r="W516" i="8"/>
  <c r="V516" i="8"/>
  <c r="U516" i="8"/>
  <c r="D516" i="8"/>
  <c r="Y515" i="8"/>
  <c r="X515" i="8"/>
  <c r="W515" i="8"/>
  <c r="V515" i="8"/>
  <c r="U515" i="8"/>
  <c r="D515" i="8"/>
  <c r="Y514" i="8"/>
  <c r="X514" i="8"/>
  <c r="W514" i="8"/>
  <c r="V514" i="8"/>
  <c r="U514" i="8"/>
  <c r="D514" i="8"/>
  <c r="Y513" i="8"/>
  <c r="X513" i="8"/>
  <c r="W513" i="8"/>
  <c r="V513" i="8"/>
  <c r="U513" i="8"/>
  <c r="D513" i="8"/>
  <c r="X512" i="8"/>
  <c r="D512" i="8"/>
  <c r="Y511" i="8"/>
  <c r="X511" i="8"/>
  <c r="W511" i="8"/>
  <c r="V511" i="8"/>
  <c r="U511" i="8"/>
  <c r="D511" i="8"/>
  <c r="Y510" i="8"/>
  <c r="X510" i="8"/>
  <c r="W510" i="8"/>
  <c r="V510" i="8"/>
  <c r="U510" i="8"/>
  <c r="D510" i="8"/>
  <c r="Y509" i="8"/>
  <c r="X509" i="8"/>
  <c r="W509" i="8"/>
  <c r="V509" i="8"/>
  <c r="U509" i="8"/>
  <c r="D509" i="8"/>
  <c r="Y508" i="8"/>
  <c r="X508" i="8"/>
  <c r="W508" i="8"/>
  <c r="V508" i="8"/>
  <c r="U508" i="8"/>
  <c r="D508" i="8"/>
  <c r="Y507" i="8"/>
  <c r="X507" i="8"/>
  <c r="W507" i="8"/>
  <c r="V507" i="8"/>
  <c r="U507" i="8"/>
  <c r="D507" i="8"/>
  <c r="Y506" i="8"/>
  <c r="X506" i="8"/>
  <c r="W506" i="8"/>
  <c r="V506" i="8"/>
  <c r="U506" i="8"/>
  <c r="D506" i="8"/>
  <c r="Y505" i="8"/>
  <c r="X505" i="8"/>
  <c r="W505" i="8"/>
  <c r="V505" i="8"/>
  <c r="U505" i="8"/>
  <c r="D505" i="8"/>
  <c r="Y504" i="8"/>
  <c r="X504" i="8"/>
  <c r="W504" i="8"/>
  <c r="V504" i="8"/>
  <c r="U504" i="8"/>
  <c r="D504" i="8"/>
  <c r="Y503" i="8"/>
  <c r="X503" i="8"/>
  <c r="W503" i="8"/>
  <c r="V503" i="8"/>
  <c r="U503" i="8"/>
  <c r="D503" i="8"/>
  <c r="Y502" i="8"/>
  <c r="X502" i="8"/>
  <c r="W502" i="8"/>
  <c r="V502" i="8"/>
  <c r="U502" i="8"/>
  <c r="D502" i="8"/>
  <c r="Y501" i="8"/>
  <c r="X501" i="8"/>
  <c r="W501" i="8"/>
  <c r="V501" i="8"/>
  <c r="U501" i="8"/>
  <c r="D501" i="8"/>
  <c r="Y500" i="8"/>
  <c r="X500" i="8"/>
  <c r="W500" i="8"/>
  <c r="V500" i="8"/>
  <c r="U500" i="8"/>
  <c r="D500" i="8"/>
  <c r="Y499" i="8"/>
  <c r="X499" i="8"/>
  <c r="W499" i="8"/>
  <c r="V499" i="8"/>
  <c r="U499" i="8"/>
  <c r="D499" i="8"/>
  <c r="Y498" i="8"/>
  <c r="X498" i="8"/>
  <c r="W498" i="8"/>
  <c r="V498" i="8"/>
  <c r="U498" i="8"/>
  <c r="D498" i="8"/>
  <c r="Y497" i="8"/>
  <c r="X497" i="8"/>
  <c r="W497" i="8"/>
  <c r="V497" i="8"/>
  <c r="U497" i="8"/>
  <c r="D497" i="8"/>
  <c r="Y496" i="8"/>
  <c r="X496" i="8"/>
  <c r="W496" i="8"/>
  <c r="V496" i="8"/>
  <c r="U496" i="8"/>
  <c r="D496" i="8"/>
  <c r="Y495" i="8"/>
  <c r="X495" i="8"/>
  <c r="W495" i="8"/>
  <c r="V495" i="8"/>
  <c r="U495" i="8"/>
  <c r="D495" i="8"/>
  <c r="Y494" i="8"/>
  <c r="X494" i="8"/>
  <c r="W494" i="8"/>
  <c r="V494" i="8"/>
  <c r="U494" i="8"/>
  <c r="D494" i="8"/>
  <c r="Y493" i="8"/>
  <c r="X493" i="8"/>
  <c r="W493" i="8"/>
  <c r="V493" i="8"/>
  <c r="U493" i="8"/>
  <c r="D493" i="8"/>
  <c r="Y492" i="8"/>
  <c r="X492" i="8"/>
  <c r="W492" i="8"/>
  <c r="V492" i="8"/>
  <c r="U492" i="8"/>
  <c r="D492" i="8"/>
  <c r="Y491" i="8"/>
  <c r="X491" i="8"/>
  <c r="W491" i="8"/>
  <c r="V491" i="8"/>
  <c r="U491" i="8"/>
  <c r="D491" i="8"/>
  <c r="Y490" i="8"/>
  <c r="X490" i="8"/>
  <c r="W490" i="8"/>
  <c r="V490" i="8"/>
  <c r="U490" i="8"/>
  <c r="D490" i="8"/>
  <c r="Y489" i="8"/>
  <c r="X489" i="8"/>
  <c r="W489" i="8"/>
  <c r="V489" i="8"/>
  <c r="U489" i="8"/>
  <c r="D489" i="8"/>
  <c r="X488" i="8"/>
  <c r="D488" i="8"/>
  <c r="Y487" i="8"/>
  <c r="X487" i="8"/>
  <c r="W487" i="8"/>
  <c r="V487" i="8"/>
  <c r="U487" i="8"/>
  <c r="D487" i="8"/>
  <c r="Y486" i="8"/>
  <c r="X486" i="8"/>
  <c r="W486" i="8"/>
  <c r="V486" i="8"/>
  <c r="U486" i="8"/>
  <c r="D486" i="8"/>
  <c r="Y485" i="8"/>
  <c r="X485" i="8"/>
  <c r="W485" i="8"/>
  <c r="V485" i="8"/>
  <c r="U485" i="8"/>
  <c r="D485" i="8"/>
  <c r="Y484" i="8"/>
  <c r="X484" i="8"/>
  <c r="W484" i="8"/>
  <c r="V484" i="8"/>
  <c r="U484" i="8"/>
  <c r="D484" i="8"/>
  <c r="Y483" i="8"/>
  <c r="X483" i="8"/>
  <c r="W483" i="8"/>
  <c r="V483" i="8"/>
  <c r="U483" i="8"/>
  <c r="D483" i="8"/>
  <c r="Y482" i="8"/>
  <c r="X482" i="8"/>
  <c r="W482" i="8"/>
  <c r="V482" i="8"/>
  <c r="U482" i="8"/>
  <c r="D482" i="8"/>
  <c r="Y481" i="8"/>
  <c r="X481" i="8"/>
  <c r="W481" i="8"/>
  <c r="V481" i="8"/>
  <c r="U481" i="8"/>
  <c r="D481" i="8"/>
  <c r="Y480" i="8"/>
  <c r="X480" i="8"/>
  <c r="W480" i="8"/>
  <c r="V480" i="8"/>
  <c r="U480" i="8"/>
  <c r="D480" i="8"/>
  <c r="Y479" i="8"/>
  <c r="X479" i="8"/>
  <c r="W479" i="8"/>
  <c r="V479" i="8"/>
  <c r="U479" i="8"/>
  <c r="D479" i="8"/>
  <c r="Y478" i="8"/>
  <c r="X478" i="8"/>
  <c r="W478" i="8"/>
  <c r="V478" i="8"/>
  <c r="U478" i="8"/>
  <c r="D478" i="8"/>
  <c r="Y477" i="8"/>
  <c r="X477" i="8"/>
  <c r="W477" i="8"/>
  <c r="V477" i="8"/>
  <c r="U477" i="8"/>
  <c r="D477" i="8"/>
  <c r="Y476" i="8"/>
  <c r="X476" i="8"/>
  <c r="W476" i="8"/>
  <c r="V476" i="8"/>
  <c r="U476" i="8"/>
  <c r="D476" i="8"/>
  <c r="Y475" i="8"/>
  <c r="X475" i="8"/>
  <c r="W475" i="8"/>
  <c r="V475" i="8"/>
  <c r="U475" i="8"/>
  <c r="D475" i="8"/>
  <c r="Y474" i="8"/>
  <c r="X474" i="8"/>
  <c r="W474" i="8"/>
  <c r="V474" i="8"/>
  <c r="U474" i="8"/>
  <c r="D474" i="8"/>
  <c r="Y473" i="8"/>
  <c r="X473" i="8"/>
  <c r="W473" i="8"/>
  <c r="V473" i="8"/>
  <c r="U473" i="8"/>
  <c r="D473" i="8"/>
  <c r="Y472" i="8"/>
  <c r="X472" i="8"/>
  <c r="W472" i="8"/>
  <c r="V472" i="8"/>
  <c r="U472" i="8"/>
  <c r="D472" i="8"/>
  <c r="Y471" i="8"/>
  <c r="X471" i="8"/>
  <c r="W471" i="8"/>
  <c r="V471" i="8"/>
  <c r="U471" i="8"/>
  <c r="D471" i="8"/>
  <c r="Y470" i="8"/>
  <c r="X470" i="8"/>
  <c r="W470" i="8"/>
  <c r="V470" i="8"/>
  <c r="U470" i="8"/>
  <c r="D470" i="8"/>
  <c r="Y469" i="8"/>
  <c r="X469" i="8"/>
  <c r="W469" i="8"/>
  <c r="V469" i="8"/>
  <c r="U469" i="8"/>
  <c r="D469" i="8"/>
  <c r="Y468" i="8"/>
  <c r="X468" i="8"/>
  <c r="W468" i="8"/>
  <c r="V468" i="8"/>
  <c r="U468" i="8"/>
  <c r="D468" i="8"/>
  <c r="Y467" i="8"/>
  <c r="X467" i="8"/>
  <c r="W467" i="8"/>
  <c r="V467" i="8"/>
  <c r="U467" i="8"/>
  <c r="D467" i="8"/>
  <c r="Y466" i="8"/>
  <c r="X466" i="8"/>
  <c r="W466" i="8"/>
  <c r="V466" i="8"/>
  <c r="U466" i="8"/>
  <c r="D466" i="8"/>
  <c r="Y465" i="8"/>
  <c r="X465" i="8"/>
  <c r="W465" i="8"/>
  <c r="V465" i="8"/>
  <c r="U465" i="8"/>
  <c r="D465" i="8"/>
  <c r="Y464" i="8"/>
  <c r="X464" i="8"/>
  <c r="W464" i="8"/>
  <c r="V464" i="8"/>
  <c r="U464" i="8"/>
  <c r="D464" i="8"/>
  <c r="X463" i="8"/>
  <c r="D463" i="8"/>
  <c r="Y462" i="8"/>
  <c r="X462" i="8"/>
  <c r="W462" i="8"/>
  <c r="V462" i="8"/>
  <c r="U462" i="8"/>
  <c r="D462" i="8"/>
  <c r="Y461" i="8"/>
  <c r="X461" i="8"/>
  <c r="W461" i="8"/>
  <c r="V461" i="8"/>
  <c r="U461" i="8"/>
  <c r="D461" i="8"/>
  <c r="Y460" i="8"/>
  <c r="X460" i="8"/>
  <c r="W460" i="8"/>
  <c r="V460" i="8"/>
  <c r="U460" i="8"/>
  <c r="D460" i="8"/>
  <c r="Y459" i="8"/>
  <c r="X459" i="8"/>
  <c r="W459" i="8"/>
  <c r="V459" i="8"/>
  <c r="U459" i="8"/>
  <c r="D459" i="8"/>
  <c r="Y458" i="8"/>
  <c r="X458" i="8"/>
  <c r="W458" i="8"/>
  <c r="V458" i="8"/>
  <c r="U458" i="8"/>
  <c r="D458" i="8"/>
  <c r="Y457" i="8"/>
  <c r="X457" i="8"/>
  <c r="W457" i="8"/>
  <c r="V457" i="8"/>
  <c r="U457" i="8"/>
  <c r="D457" i="8"/>
  <c r="Y456" i="8"/>
  <c r="X456" i="8"/>
  <c r="W456" i="8"/>
  <c r="V456" i="8"/>
  <c r="U456" i="8"/>
  <c r="D456" i="8"/>
  <c r="Y455" i="8"/>
  <c r="X455" i="8"/>
  <c r="W455" i="8"/>
  <c r="V455" i="8"/>
  <c r="U455" i="8"/>
  <c r="D455" i="8"/>
  <c r="Y454" i="8"/>
  <c r="X454" i="8"/>
  <c r="W454" i="8"/>
  <c r="V454" i="8"/>
  <c r="U454" i="8"/>
  <c r="D454" i="8"/>
  <c r="Y453" i="8"/>
  <c r="X453" i="8"/>
  <c r="W453" i="8"/>
  <c r="V453" i="8"/>
  <c r="U453" i="8"/>
  <c r="D453" i="8"/>
  <c r="Y452" i="8"/>
  <c r="X452" i="8"/>
  <c r="W452" i="8"/>
  <c r="V452" i="8"/>
  <c r="U452" i="8"/>
  <c r="D452" i="8"/>
  <c r="Y451" i="8"/>
  <c r="X451" i="8"/>
  <c r="W451" i="8"/>
  <c r="V451" i="8"/>
  <c r="U451" i="8"/>
  <c r="D451" i="8"/>
  <c r="Y450" i="8"/>
  <c r="X450" i="8"/>
  <c r="W450" i="8"/>
  <c r="V450" i="8"/>
  <c r="U450" i="8"/>
  <c r="D450" i="8"/>
  <c r="Y449" i="8"/>
  <c r="X449" i="8"/>
  <c r="W449" i="8"/>
  <c r="V449" i="8"/>
  <c r="U449" i="8"/>
  <c r="D449" i="8"/>
  <c r="Y448" i="8"/>
  <c r="X448" i="8"/>
  <c r="W448" i="8"/>
  <c r="V448" i="8"/>
  <c r="U448" i="8"/>
  <c r="D448" i="8"/>
  <c r="Y447" i="8"/>
  <c r="X447" i="8"/>
  <c r="W447" i="8"/>
  <c r="V447" i="8"/>
  <c r="U447" i="8"/>
  <c r="D447" i="8"/>
  <c r="Y446" i="8"/>
  <c r="X446" i="8"/>
  <c r="W446" i="8"/>
  <c r="V446" i="8"/>
  <c r="U446" i="8"/>
  <c r="D446" i="8"/>
  <c r="Y445" i="8"/>
  <c r="X445" i="8"/>
  <c r="W445" i="8"/>
  <c r="V445" i="8"/>
  <c r="U445" i="8"/>
  <c r="D445" i="8"/>
  <c r="Y444" i="8"/>
  <c r="X444" i="8"/>
  <c r="W444" i="8"/>
  <c r="V444" i="8"/>
  <c r="U444" i="8"/>
  <c r="D444" i="8"/>
  <c r="Y443" i="8"/>
  <c r="X443" i="8"/>
  <c r="W443" i="8"/>
  <c r="V443" i="8"/>
  <c r="U443" i="8"/>
  <c r="D443" i="8"/>
  <c r="Y442" i="8"/>
  <c r="X442" i="8"/>
  <c r="W442" i="8"/>
  <c r="V442" i="8"/>
  <c r="U442" i="8"/>
  <c r="D442" i="8"/>
  <c r="Y441" i="8"/>
  <c r="X441" i="8"/>
  <c r="W441" i="8"/>
  <c r="V441" i="8"/>
  <c r="U441" i="8"/>
  <c r="D441" i="8"/>
  <c r="Y440" i="8"/>
  <c r="X440" i="8"/>
  <c r="W440" i="8"/>
  <c r="V440" i="8"/>
  <c r="U440" i="8"/>
  <c r="D440" i="8"/>
  <c r="X439" i="8"/>
  <c r="D439" i="8"/>
  <c r="Y438" i="8"/>
  <c r="X438" i="8"/>
  <c r="W438" i="8"/>
  <c r="V438" i="8"/>
  <c r="U438" i="8"/>
  <c r="D438" i="8"/>
  <c r="Y437" i="8"/>
  <c r="X437" i="8"/>
  <c r="W437" i="8"/>
  <c r="V437" i="8"/>
  <c r="U437" i="8"/>
  <c r="D437" i="8"/>
  <c r="Y436" i="8"/>
  <c r="X436" i="8"/>
  <c r="W436" i="8"/>
  <c r="V436" i="8"/>
  <c r="U436" i="8"/>
  <c r="D436" i="8"/>
  <c r="Y435" i="8"/>
  <c r="X435" i="8"/>
  <c r="W435" i="8"/>
  <c r="V435" i="8"/>
  <c r="U435" i="8"/>
  <c r="D435" i="8"/>
  <c r="Y434" i="8"/>
  <c r="X434" i="8"/>
  <c r="W434" i="8"/>
  <c r="V434" i="8"/>
  <c r="U434" i="8"/>
  <c r="D434" i="8"/>
  <c r="Y433" i="8"/>
  <c r="X433" i="8"/>
  <c r="W433" i="8"/>
  <c r="V433" i="8"/>
  <c r="U433" i="8"/>
  <c r="D433" i="8"/>
  <c r="Y432" i="8"/>
  <c r="X432" i="8"/>
  <c r="W432" i="8"/>
  <c r="V432" i="8"/>
  <c r="U432" i="8"/>
  <c r="D432" i="8"/>
  <c r="Y431" i="8"/>
  <c r="X431" i="8"/>
  <c r="W431" i="8"/>
  <c r="V431" i="8"/>
  <c r="U431" i="8"/>
  <c r="D431" i="8"/>
  <c r="Y430" i="8"/>
  <c r="X430" i="8"/>
  <c r="W430" i="8"/>
  <c r="V430" i="8"/>
  <c r="U430" i="8"/>
  <c r="D430" i="8"/>
  <c r="Y429" i="8"/>
  <c r="X429" i="8"/>
  <c r="W429" i="8"/>
  <c r="V429" i="8"/>
  <c r="U429" i="8"/>
  <c r="D429" i="8"/>
  <c r="Y428" i="8"/>
  <c r="X428" i="8"/>
  <c r="W428" i="8"/>
  <c r="V428" i="8"/>
  <c r="U428" i="8"/>
  <c r="D428" i="8"/>
  <c r="Y427" i="8"/>
  <c r="X427" i="8"/>
  <c r="W427" i="8"/>
  <c r="V427" i="8"/>
  <c r="U427" i="8"/>
  <c r="D427" i="8"/>
  <c r="Y426" i="8"/>
  <c r="X426" i="8"/>
  <c r="W426" i="8"/>
  <c r="V426" i="8"/>
  <c r="U426" i="8"/>
  <c r="D426" i="8"/>
  <c r="Y425" i="8"/>
  <c r="X425" i="8"/>
  <c r="W425" i="8"/>
  <c r="V425" i="8"/>
  <c r="U425" i="8"/>
  <c r="D425" i="8"/>
  <c r="Y424" i="8"/>
  <c r="X424" i="8"/>
  <c r="W424" i="8"/>
  <c r="V424" i="8"/>
  <c r="U424" i="8"/>
  <c r="D424" i="8"/>
  <c r="Y423" i="8"/>
  <c r="X423" i="8"/>
  <c r="W423" i="8"/>
  <c r="V423" i="8"/>
  <c r="U423" i="8"/>
  <c r="D423" i="8"/>
  <c r="Y422" i="8"/>
  <c r="X422" i="8"/>
  <c r="W422" i="8"/>
  <c r="V422" i="8"/>
  <c r="U422" i="8"/>
  <c r="D422" i="8"/>
  <c r="Y421" i="8"/>
  <c r="X421" i="8"/>
  <c r="W421" i="8"/>
  <c r="V421" i="8"/>
  <c r="U421" i="8"/>
  <c r="D421" i="8"/>
  <c r="Y420" i="8"/>
  <c r="X420" i="8"/>
  <c r="W420" i="8"/>
  <c r="V420" i="8"/>
  <c r="U420" i="8"/>
  <c r="D420" i="8"/>
  <c r="Y419" i="8"/>
  <c r="X419" i="8"/>
  <c r="W419" i="8"/>
  <c r="V419" i="8"/>
  <c r="U419" i="8"/>
  <c r="D419" i="8"/>
  <c r="Y418" i="8"/>
  <c r="X418" i="8"/>
  <c r="W418" i="8"/>
  <c r="V418" i="8"/>
  <c r="U418" i="8"/>
  <c r="D418" i="8"/>
  <c r="Y417" i="8"/>
  <c r="X417" i="8"/>
  <c r="W417" i="8"/>
  <c r="V417" i="8"/>
  <c r="U417" i="8"/>
  <c r="D417" i="8"/>
  <c r="Y416" i="8"/>
  <c r="X416" i="8"/>
  <c r="W416" i="8"/>
  <c r="V416" i="8"/>
  <c r="U416" i="8"/>
  <c r="D416" i="8"/>
  <c r="X415" i="8"/>
  <c r="D415" i="8"/>
  <c r="Y414" i="8"/>
  <c r="X414" i="8"/>
  <c r="W414" i="8"/>
  <c r="V414" i="8"/>
  <c r="U414" i="8"/>
  <c r="D414" i="8"/>
  <c r="Y413" i="8"/>
  <c r="X413" i="8"/>
  <c r="W413" i="8"/>
  <c r="V413" i="8"/>
  <c r="U413" i="8"/>
  <c r="D413" i="8"/>
  <c r="Y412" i="8"/>
  <c r="X412" i="8"/>
  <c r="W412" i="8"/>
  <c r="V412" i="8"/>
  <c r="U412" i="8"/>
  <c r="D412" i="8"/>
  <c r="Y411" i="8"/>
  <c r="X411" i="8"/>
  <c r="W411" i="8"/>
  <c r="V411" i="8"/>
  <c r="U411" i="8"/>
  <c r="D411" i="8"/>
  <c r="Y410" i="8"/>
  <c r="X410" i="8"/>
  <c r="W410" i="8"/>
  <c r="V410" i="8"/>
  <c r="U410" i="8"/>
  <c r="D410" i="8"/>
  <c r="Y409" i="8"/>
  <c r="X409" i="8"/>
  <c r="W409" i="8"/>
  <c r="V409" i="8"/>
  <c r="U409" i="8"/>
  <c r="D409" i="8"/>
  <c r="Y408" i="8"/>
  <c r="X408" i="8"/>
  <c r="W408" i="8"/>
  <c r="V408" i="8"/>
  <c r="U408" i="8"/>
  <c r="D408" i="8"/>
  <c r="Y407" i="8"/>
  <c r="X407" i="8"/>
  <c r="W407" i="8"/>
  <c r="V407" i="8"/>
  <c r="U407" i="8"/>
  <c r="D407" i="8"/>
  <c r="Y406" i="8"/>
  <c r="X406" i="8"/>
  <c r="W406" i="8"/>
  <c r="V406" i="8"/>
  <c r="U406" i="8"/>
  <c r="D406" i="8"/>
  <c r="Y405" i="8"/>
  <c r="X405" i="8"/>
  <c r="W405" i="8"/>
  <c r="V405" i="8"/>
  <c r="U405" i="8"/>
  <c r="D405" i="8"/>
  <c r="Y404" i="8"/>
  <c r="X404" i="8"/>
  <c r="W404" i="8"/>
  <c r="V404" i="8"/>
  <c r="U404" i="8"/>
  <c r="D404" i="8"/>
  <c r="Y403" i="8"/>
  <c r="X403" i="8"/>
  <c r="W403" i="8"/>
  <c r="V403" i="8"/>
  <c r="U403" i="8"/>
  <c r="D403" i="8"/>
  <c r="Y402" i="8"/>
  <c r="X402" i="8"/>
  <c r="W402" i="8"/>
  <c r="V402" i="8"/>
  <c r="U402" i="8"/>
  <c r="D402" i="8"/>
  <c r="Y401" i="8"/>
  <c r="X401" i="8"/>
  <c r="W401" i="8"/>
  <c r="V401" i="8"/>
  <c r="U401" i="8"/>
  <c r="D401" i="8"/>
  <c r="Y400" i="8"/>
  <c r="X400" i="8"/>
  <c r="W400" i="8"/>
  <c r="V400" i="8"/>
  <c r="U400" i="8"/>
  <c r="D400" i="8"/>
  <c r="Y399" i="8"/>
  <c r="X399" i="8"/>
  <c r="W399" i="8"/>
  <c r="V399" i="8"/>
  <c r="U399" i="8"/>
  <c r="D399" i="8"/>
  <c r="Y398" i="8"/>
  <c r="X398" i="8"/>
  <c r="W398" i="8"/>
  <c r="V398" i="8"/>
  <c r="U398" i="8"/>
  <c r="D398" i="8"/>
  <c r="Y397" i="8"/>
  <c r="X397" i="8"/>
  <c r="W397" i="8"/>
  <c r="V397" i="8"/>
  <c r="U397" i="8"/>
  <c r="D397" i="8"/>
  <c r="Y396" i="8"/>
  <c r="X396" i="8"/>
  <c r="W396" i="8"/>
  <c r="V396" i="8"/>
  <c r="U396" i="8"/>
  <c r="D396" i="8"/>
  <c r="Y395" i="8"/>
  <c r="X395" i="8"/>
  <c r="W395" i="8"/>
  <c r="V395" i="8"/>
  <c r="U395" i="8"/>
  <c r="D395" i="8"/>
  <c r="Y394" i="8"/>
  <c r="X394" i="8"/>
  <c r="W394" i="8"/>
  <c r="V394" i="8"/>
  <c r="U394" i="8"/>
  <c r="D394" i="8"/>
  <c r="Y393" i="8"/>
  <c r="X393" i="8"/>
  <c r="W393" i="8"/>
  <c r="V393" i="8"/>
  <c r="U393" i="8"/>
  <c r="D393" i="8"/>
  <c r="Y392" i="8"/>
  <c r="X392" i="8"/>
  <c r="W392" i="8"/>
  <c r="V392" i="8"/>
  <c r="U392" i="8"/>
  <c r="D392" i="8"/>
  <c r="Y391" i="8"/>
  <c r="X391" i="8"/>
  <c r="W391" i="8"/>
  <c r="V391" i="8"/>
  <c r="U391" i="8"/>
  <c r="D391" i="8"/>
  <c r="X390" i="8"/>
  <c r="D390" i="8"/>
  <c r="Y389" i="8"/>
  <c r="X389" i="8"/>
  <c r="W389" i="8"/>
  <c r="V389" i="8"/>
  <c r="U389" i="8"/>
  <c r="D389" i="8"/>
  <c r="Y388" i="8"/>
  <c r="X388" i="8"/>
  <c r="W388" i="8"/>
  <c r="V388" i="8"/>
  <c r="U388" i="8"/>
  <c r="D388" i="8"/>
  <c r="Y387" i="8"/>
  <c r="X387" i="8"/>
  <c r="W387" i="8"/>
  <c r="V387" i="8"/>
  <c r="U387" i="8"/>
  <c r="D387" i="8"/>
  <c r="Y386" i="8"/>
  <c r="X386" i="8"/>
  <c r="W386" i="8"/>
  <c r="V386" i="8"/>
  <c r="U386" i="8"/>
  <c r="D386" i="8"/>
  <c r="Y385" i="8"/>
  <c r="X385" i="8"/>
  <c r="W385" i="8"/>
  <c r="V385" i="8"/>
  <c r="U385" i="8"/>
  <c r="D385" i="8"/>
  <c r="Y384" i="8"/>
  <c r="X384" i="8"/>
  <c r="W384" i="8"/>
  <c r="V384" i="8"/>
  <c r="U384" i="8"/>
  <c r="D384" i="8"/>
  <c r="Y383" i="8"/>
  <c r="X383" i="8"/>
  <c r="W383" i="8"/>
  <c r="V383" i="8"/>
  <c r="U383" i="8"/>
  <c r="D383" i="8"/>
  <c r="Y382" i="8"/>
  <c r="X382" i="8"/>
  <c r="W382" i="8"/>
  <c r="V382" i="8"/>
  <c r="U382" i="8"/>
  <c r="D382" i="8"/>
  <c r="Y381" i="8"/>
  <c r="X381" i="8"/>
  <c r="W381" i="8"/>
  <c r="V381" i="8"/>
  <c r="U381" i="8"/>
  <c r="D381" i="8"/>
  <c r="Y380" i="8"/>
  <c r="X380" i="8"/>
  <c r="W380" i="8"/>
  <c r="V380" i="8"/>
  <c r="U380" i="8"/>
  <c r="D380" i="8"/>
  <c r="Y379" i="8"/>
  <c r="X379" i="8"/>
  <c r="W379" i="8"/>
  <c r="V379" i="8"/>
  <c r="U379" i="8"/>
  <c r="D379" i="8"/>
  <c r="Y378" i="8"/>
  <c r="X378" i="8"/>
  <c r="W378" i="8"/>
  <c r="V378" i="8"/>
  <c r="U378" i="8"/>
  <c r="D378" i="8"/>
  <c r="Y377" i="8"/>
  <c r="X377" i="8"/>
  <c r="W377" i="8"/>
  <c r="V377" i="8"/>
  <c r="U377" i="8"/>
  <c r="D377" i="8"/>
  <c r="Y376" i="8"/>
  <c r="X376" i="8"/>
  <c r="W376" i="8"/>
  <c r="V376" i="8"/>
  <c r="U376" i="8"/>
  <c r="D376" i="8"/>
  <c r="Y375" i="8"/>
  <c r="X375" i="8"/>
  <c r="W375" i="8"/>
  <c r="V375" i="8"/>
  <c r="U375" i="8"/>
  <c r="D375" i="8"/>
  <c r="Y374" i="8"/>
  <c r="X374" i="8"/>
  <c r="W374" i="8"/>
  <c r="V374" i="8"/>
  <c r="U374" i="8"/>
  <c r="D374" i="8"/>
  <c r="Y373" i="8"/>
  <c r="X373" i="8"/>
  <c r="W373" i="8"/>
  <c r="V373" i="8"/>
  <c r="U373" i="8"/>
  <c r="D373" i="8"/>
  <c r="Y372" i="8"/>
  <c r="X372" i="8"/>
  <c r="W372" i="8"/>
  <c r="V372" i="8"/>
  <c r="U372" i="8"/>
  <c r="D372" i="8"/>
  <c r="Y371" i="8"/>
  <c r="X371" i="8"/>
  <c r="W371" i="8"/>
  <c r="V371" i="8"/>
  <c r="U371" i="8"/>
  <c r="D371" i="8"/>
  <c r="Y370" i="8"/>
  <c r="X370" i="8"/>
  <c r="W370" i="8"/>
  <c r="V370" i="8"/>
  <c r="U370" i="8"/>
  <c r="D370" i="8"/>
  <c r="Y369" i="8"/>
  <c r="X369" i="8"/>
  <c r="W369" i="8"/>
  <c r="V369" i="8"/>
  <c r="U369" i="8"/>
  <c r="D369" i="8"/>
  <c r="Y368" i="8"/>
  <c r="X368" i="8"/>
  <c r="W368" i="8"/>
  <c r="V368" i="8"/>
  <c r="U368" i="8"/>
  <c r="D368" i="8"/>
  <c r="Y367" i="8"/>
  <c r="X367" i="8"/>
  <c r="W367" i="8"/>
  <c r="V367" i="8"/>
  <c r="U367" i="8"/>
  <c r="D367" i="8"/>
  <c r="Y366" i="8"/>
  <c r="X366" i="8"/>
  <c r="W366" i="8"/>
  <c r="V366" i="8"/>
  <c r="U366" i="8"/>
  <c r="D366" i="8"/>
  <c r="X365" i="8"/>
  <c r="D365" i="8"/>
  <c r="Y364" i="8"/>
  <c r="X364" i="8"/>
  <c r="W364" i="8"/>
  <c r="V364" i="8"/>
  <c r="U364" i="8"/>
  <c r="D364" i="8"/>
  <c r="Y363" i="8"/>
  <c r="X363" i="8"/>
  <c r="W363" i="8"/>
  <c r="V363" i="8"/>
  <c r="U363" i="8"/>
  <c r="D363" i="8"/>
  <c r="Y362" i="8"/>
  <c r="X362" i="8"/>
  <c r="W362" i="8"/>
  <c r="V362" i="8"/>
  <c r="U362" i="8"/>
  <c r="D362" i="8"/>
  <c r="Y361" i="8"/>
  <c r="X361" i="8"/>
  <c r="W361" i="8"/>
  <c r="V361" i="8"/>
  <c r="U361" i="8"/>
  <c r="D361" i="8"/>
  <c r="Y360" i="8"/>
  <c r="X360" i="8"/>
  <c r="W360" i="8"/>
  <c r="V360" i="8"/>
  <c r="U360" i="8"/>
  <c r="D360" i="8"/>
  <c r="Y359" i="8"/>
  <c r="X359" i="8"/>
  <c r="W359" i="8"/>
  <c r="V359" i="8"/>
  <c r="U359" i="8"/>
  <c r="D359" i="8"/>
  <c r="Y358" i="8"/>
  <c r="X358" i="8"/>
  <c r="W358" i="8"/>
  <c r="V358" i="8"/>
  <c r="U358" i="8"/>
  <c r="D358" i="8"/>
  <c r="Y357" i="8"/>
  <c r="X357" i="8"/>
  <c r="W357" i="8"/>
  <c r="V357" i="8"/>
  <c r="U357" i="8"/>
  <c r="D357" i="8"/>
  <c r="Y356" i="8"/>
  <c r="X356" i="8"/>
  <c r="W356" i="8"/>
  <c r="V356" i="8"/>
  <c r="U356" i="8"/>
  <c r="D356" i="8"/>
  <c r="Y355" i="8"/>
  <c r="X355" i="8"/>
  <c r="W355" i="8"/>
  <c r="V355" i="8"/>
  <c r="U355" i="8"/>
  <c r="D355" i="8"/>
  <c r="Y354" i="8"/>
  <c r="X354" i="8"/>
  <c r="W354" i="8"/>
  <c r="V354" i="8"/>
  <c r="U354" i="8"/>
  <c r="D354" i="8"/>
  <c r="Y353" i="8"/>
  <c r="X353" i="8"/>
  <c r="W353" i="8"/>
  <c r="V353" i="8"/>
  <c r="U353" i="8"/>
  <c r="D353" i="8"/>
  <c r="Y352" i="8"/>
  <c r="X352" i="8"/>
  <c r="W352" i="8"/>
  <c r="V352" i="8"/>
  <c r="U352" i="8"/>
  <c r="D352" i="8"/>
  <c r="Y351" i="8"/>
  <c r="X351" i="8"/>
  <c r="W351" i="8"/>
  <c r="V351" i="8"/>
  <c r="U351" i="8"/>
  <c r="D351" i="8"/>
  <c r="Y350" i="8"/>
  <c r="X350" i="8"/>
  <c r="W350" i="8"/>
  <c r="V350" i="8"/>
  <c r="U350" i="8"/>
  <c r="D350" i="8"/>
  <c r="Y349" i="8"/>
  <c r="X349" i="8"/>
  <c r="W349" i="8"/>
  <c r="V349" i="8"/>
  <c r="U349" i="8"/>
  <c r="D349" i="8"/>
  <c r="Y348" i="8"/>
  <c r="X348" i="8"/>
  <c r="W348" i="8"/>
  <c r="V348" i="8"/>
  <c r="U348" i="8"/>
  <c r="D348" i="8"/>
  <c r="Y347" i="8"/>
  <c r="X347" i="8"/>
  <c r="W347" i="8"/>
  <c r="V347" i="8"/>
  <c r="U347" i="8"/>
  <c r="D347" i="8"/>
  <c r="Y346" i="8"/>
  <c r="X346" i="8"/>
  <c r="W346" i="8"/>
  <c r="V346" i="8"/>
  <c r="U346" i="8"/>
  <c r="D346" i="8"/>
  <c r="Y345" i="8"/>
  <c r="X345" i="8"/>
  <c r="W345" i="8"/>
  <c r="V345" i="8"/>
  <c r="U345" i="8"/>
  <c r="D345" i="8"/>
  <c r="Y344" i="8"/>
  <c r="X344" i="8"/>
  <c r="W344" i="8"/>
  <c r="V344" i="8"/>
  <c r="U344" i="8"/>
  <c r="D344" i="8"/>
  <c r="Y343" i="8"/>
  <c r="X343" i="8"/>
  <c r="W343" i="8"/>
  <c r="V343" i="8"/>
  <c r="U343" i="8"/>
  <c r="D343" i="8"/>
  <c r="X342" i="8"/>
  <c r="D342" i="8"/>
  <c r="Y341" i="8"/>
  <c r="X341" i="8"/>
  <c r="W341" i="8"/>
  <c r="V341" i="8"/>
  <c r="U341" i="8"/>
  <c r="D341" i="8"/>
  <c r="Y340" i="8"/>
  <c r="X340" i="8"/>
  <c r="W340" i="8"/>
  <c r="V340" i="8"/>
  <c r="U340" i="8"/>
  <c r="D340" i="8"/>
  <c r="Y339" i="8"/>
  <c r="X339" i="8"/>
  <c r="W339" i="8"/>
  <c r="V339" i="8"/>
  <c r="U339" i="8"/>
  <c r="D339" i="8"/>
  <c r="Y338" i="8"/>
  <c r="X338" i="8"/>
  <c r="W338" i="8"/>
  <c r="V338" i="8"/>
  <c r="U338" i="8"/>
  <c r="D338" i="8"/>
  <c r="Y337" i="8"/>
  <c r="X337" i="8"/>
  <c r="W337" i="8"/>
  <c r="V337" i="8"/>
  <c r="U337" i="8"/>
  <c r="D337" i="8"/>
  <c r="Y336" i="8"/>
  <c r="X336" i="8"/>
  <c r="W336" i="8"/>
  <c r="V336" i="8"/>
  <c r="U336" i="8"/>
  <c r="D336" i="8"/>
  <c r="Y335" i="8"/>
  <c r="X335" i="8"/>
  <c r="W335" i="8"/>
  <c r="V335" i="8"/>
  <c r="U335" i="8"/>
  <c r="D335" i="8"/>
  <c r="Y334" i="8"/>
  <c r="X334" i="8"/>
  <c r="W334" i="8"/>
  <c r="V334" i="8"/>
  <c r="U334" i="8"/>
  <c r="D334" i="8"/>
  <c r="Y333" i="8"/>
  <c r="X333" i="8"/>
  <c r="W333" i="8"/>
  <c r="V333" i="8"/>
  <c r="U333" i="8"/>
  <c r="D333" i="8"/>
  <c r="Y332" i="8"/>
  <c r="X332" i="8"/>
  <c r="W332" i="8"/>
  <c r="V332" i="8"/>
  <c r="U332" i="8"/>
  <c r="D332" i="8"/>
  <c r="Y331" i="8"/>
  <c r="X331" i="8"/>
  <c r="W331" i="8"/>
  <c r="V331" i="8"/>
  <c r="U331" i="8"/>
  <c r="D331" i="8"/>
  <c r="Y330" i="8"/>
  <c r="X330" i="8"/>
  <c r="W330" i="8"/>
  <c r="V330" i="8"/>
  <c r="U330" i="8"/>
  <c r="D330" i="8"/>
  <c r="Y329" i="8"/>
  <c r="X329" i="8"/>
  <c r="W329" i="8"/>
  <c r="V329" i="8"/>
  <c r="U329" i="8"/>
  <c r="D329" i="8"/>
  <c r="Y328" i="8"/>
  <c r="X328" i="8"/>
  <c r="W328" i="8"/>
  <c r="V328" i="8"/>
  <c r="U328" i="8"/>
  <c r="D328" i="8"/>
  <c r="Y327" i="8"/>
  <c r="X327" i="8"/>
  <c r="W327" i="8"/>
  <c r="V327" i="8"/>
  <c r="U327" i="8"/>
  <c r="D327" i="8"/>
  <c r="Y326" i="8"/>
  <c r="X326" i="8"/>
  <c r="W326" i="8"/>
  <c r="V326" i="8"/>
  <c r="U326" i="8"/>
  <c r="D326" i="8"/>
  <c r="Y325" i="8"/>
  <c r="X325" i="8"/>
  <c r="W325" i="8"/>
  <c r="V325" i="8"/>
  <c r="U325" i="8"/>
  <c r="D325" i="8"/>
  <c r="Y324" i="8"/>
  <c r="X324" i="8"/>
  <c r="W324" i="8"/>
  <c r="V324" i="8"/>
  <c r="U324" i="8"/>
  <c r="D324" i="8"/>
  <c r="Y323" i="8"/>
  <c r="X323" i="8"/>
  <c r="W323" i="8"/>
  <c r="V323" i="8"/>
  <c r="U323" i="8"/>
  <c r="D323" i="8"/>
  <c r="Y322" i="8"/>
  <c r="X322" i="8"/>
  <c r="W322" i="8"/>
  <c r="V322" i="8"/>
  <c r="U322" i="8"/>
  <c r="D322" i="8"/>
  <c r="Y321" i="8"/>
  <c r="X321" i="8"/>
  <c r="W321" i="8"/>
  <c r="V321" i="8"/>
  <c r="U321" i="8"/>
  <c r="D321" i="8"/>
  <c r="Y320" i="8"/>
  <c r="X320" i="8"/>
  <c r="W320" i="8"/>
  <c r="V320" i="8"/>
  <c r="U320" i="8"/>
  <c r="D320" i="8"/>
  <c r="Y319" i="8"/>
  <c r="X319" i="8"/>
  <c r="W319" i="8"/>
  <c r="V319" i="8"/>
  <c r="U319" i="8"/>
  <c r="D319" i="8"/>
  <c r="Y318" i="8"/>
  <c r="X318" i="8"/>
  <c r="W318" i="8"/>
  <c r="V318" i="8"/>
  <c r="U318" i="8"/>
  <c r="D318" i="8"/>
  <c r="X317" i="8"/>
  <c r="W317" i="8"/>
  <c r="V317" i="8"/>
  <c r="U317" i="8"/>
  <c r="D317" i="8"/>
  <c r="Y316" i="8"/>
  <c r="X316" i="8"/>
  <c r="W316" i="8"/>
  <c r="V316" i="8"/>
  <c r="U316" i="8"/>
  <c r="D316" i="8"/>
  <c r="Y315" i="8"/>
  <c r="X315" i="8"/>
  <c r="W315" i="8"/>
  <c r="V315" i="8"/>
  <c r="U315" i="8"/>
  <c r="D315" i="8"/>
  <c r="Y314" i="8"/>
  <c r="X314" i="8"/>
  <c r="W314" i="8"/>
  <c r="V314" i="8"/>
  <c r="U314" i="8"/>
  <c r="D314" i="8"/>
  <c r="Y313" i="8"/>
  <c r="X313" i="8"/>
  <c r="W313" i="8"/>
  <c r="V313" i="8"/>
  <c r="U313" i="8"/>
  <c r="D313" i="8"/>
  <c r="Y312" i="8"/>
  <c r="X312" i="8"/>
  <c r="W312" i="8"/>
  <c r="V312" i="8"/>
  <c r="U312" i="8"/>
  <c r="D312" i="8"/>
  <c r="Y311" i="8"/>
  <c r="X311" i="8"/>
  <c r="W311" i="8"/>
  <c r="V311" i="8"/>
  <c r="U311" i="8"/>
  <c r="D311" i="8"/>
  <c r="Y310" i="8"/>
  <c r="X310" i="8"/>
  <c r="W310" i="8"/>
  <c r="V310" i="8"/>
  <c r="U310" i="8"/>
  <c r="D310" i="8"/>
  <c r="Y309" i="8"/>
  <c r="X309" i="8"/>
  <c r="W309" i="8"/>
  <c r="V309" i="8"/>
  <c r="U309" i="8"/>
  <c r="D309" i="8"/>
  <c r="Y308" i="8"/>
  <c r="X308" i="8"/>
  <c r="W308" i="8"/>
  <c r="V308" i="8"/>
  <c r="U308" i="8"/>
  <c r="D308" i="8"/>
  <c r="Y307" i="8"/>
  <c r="X307" i="8"/>
  <c r="W307" i="8"/>
  <c r="V307" i="8"/>
  <c r="U307" i="8"/>
  <c r="D307" i="8"/>
  <c r="Y306" i="8"/>
  <c r="X306" i="8"/>
  <c r="W306" i="8"/>
  <c r="V306" i="8"/>
  <c r="U306" i="8"/>
  <c r="D306" i="8"/>
  <c r="Y305" i="8"/>
  <c r="X305" i="8"/>
  <c r="W305" i="8"/>
  <c r="V305" i="8"/>
  <c r="U305" i="8"/>
  <c r="D305" i="8"/>
  <c r="Y304" i="8"/>
  <c r="X304" i="8"/>
  <c r="W304" i="8"/>
  <c r="V304" i="8"/>
  <c r="U304" i="8"/>
  <c r="D304" i="8"/>
  <c r="Y303" i="8"/>
  <c r="X303" i="8"/>
  <c r="W303" i="8"/>
  <c r="V303" i="8"/>
  <c r="U303" i="8"/>
  <c r="D303" i="8"/>
  <c r="Y302" i="8"/>
  <c r="X302" i="8"/>
  <c r="W302" i="8"/>
  <c r="V302" i="8"/>
  <c r="U302" i="8"/>
  <c r="D302" i="8"/>
  <c r="Y301" i="8"/>
  <c r="X301" i="8"/>
  <c r="W301" i="8"/>
  <c r="V301" i="8"/>
  <c r="U301" i="8"/>
  <c r="D301" i="8"/>
  <c r="Y300" i="8"/>
  <c r="X300" i="8"/>
  <c r="V300" i="8"/>
  <c r="U300" i="8"/>
  <c r="D300" i="8"/>
  <c r="Y299" i="8"/>
  <c r="X299" i="8"/>
  <c r="W299" i="8"/>
  <c r="V299" i="8"/>
  <c r="U299" i="8"/>
  <c r="D299" i="8"/>
  <c r="Y298" i="8"/>
  <c r="X298" i="8"/>
  <c r="W298" i="8"/>
  <c r="V298" i="8"/>
  <c r="U298" i="8"/>
  <c r="D298" i="8"/>
  <c r="Y297" i="8"/>
  <c r="X297" i="8"/>
  <c r="W297" i="8"/>
  <c r="V297" i="8"/>
  <c r="U297" i="8"/>
  <c r="D297" i="8"/>
  <c r="Y296" i="8"/>
  <c r="X296" i="8"/>
  <c r="W296" i="8"/>
  <c r="V296" i="8"/>
  <c r="U296" i="8"/>
  <c r="D296" i="8"/>
  <c r="Y295" i="8"/>
  <c r="X295" i="8"/>
  <c r="W295" i="8"/>
  <c r="V295" i="8"/>
  <c r="U295" i="8"/>
  <c r="D295" i="8"/>
  <c r="Y294" i="8"/>
  <c r="X294" i="8"/>
  <c r="W294" i="8"/>
  <c r="V294" i="8"/>
  <c r="U294" i="8"/>
  <c r="D294" i="8"/>
  <c r="X293" i="8"/>
  <c r="W293" i="8"/>
  <c r="V293" i="8"/>
  <c r="U293" i="8"/>
  <c r="D293" i="8"/>
  <c r="Y292" i="8"/>
  <c r="X292" i="8"/>
  <c r="W292" i="8"/>
  <c r="V292" i="8"/>
  <c r="U292" i="8"/>
  <c r="D292" i="8"/>
  <c r="Y291" i="8"/>
  <c r="X291" i="8"/>
  <c r="W291" i="8"/>
  <c r="V291" i="8"/>
  <c r="U291" i="8"/>
  <c r="D291" i="8"/>
  <c r="Y290" i="8"/>
  <c r="X290" i="8"/>
  <c r="W290" i="8"/>
  <c r="V290" i="8"/>
  <c r="U290" i="8"/>
  <c r="D290" i="8"/>
  <c r="Y289" i="8"/>
  <c r="X289" i="8"/>
  <c r="W289" i="8"/>
  <c r="V289" i="8"/>
  <c r="U289" i="8"/>
  <c r="D289" i="8"/>
  <c r="Y288" i="8"/>
  <c r="X288" i="8"/>
  <c r="W288" i="8"/>
  <c r="V288" i="8"/>
  <c r="U288" i="8"/>
  <c r="D288" i="8"/>
  <c r="Y287" i="8"/>
  <c r="X287" i="8"/>
  <c r="W287" i="8"/>
  <c r="V287" i="8"/>
  <c r="U287" i="8"/>
  <c r="D287" i="8"/>
  <c r="Y286" i="8"/>
  <c r="X286" i="8"/>
  <c r="W286" i="8"/>
  <c r="V286" i="8"/>
  <c r="U286" i="8"/>
  <c r="D286" i="8"/>
  <c r="Y285" i="8"/>
  <c r="X285" i="8"/>
  <c r="W285" i="8"/>
  <c r="V285" i="8"/>
  <c r="U285" i="8"/>
  <c r="D285" i="8"/>
  <c r="Y284" i="8"/>
  <c r="X284" i="8"/>
  <c r="W284" i="8"/>
  <c r="V284" i="8"/>
  <c r="U284" i="8"/>
  <c r="D284" i="8"/>
  <c r="Y283" i="8"/>
  <c r="X283" i="8"/>
  <c r="W283" i="8"/>
  <c r="V283" i="8"/>
  <c r="U283" i="8"/>
  <c r="D283" i="8"/>
  <c r="Y282" i="8"/>
  <c r="X282" i="8"/>
  <c r="W282" i="8"/>
  <c r="V282" i="8"/>
  <c r="U282" i="8"/>
  <c r="D282" i="8"/>
  <c r="Y281" i="8"/>
  <c r="X281" i="8"/>
  <c r="W281" i="8"/>
  <c r="V281" i="8"/>
  <c r="U281" i="8"/>
  <c r="D281" i="8"/>
  <c r="Y280" i="8"/>
  <c r="X280" i="8"/>
  <c r="W280" i="8"/>
  <c r="V280" i="8"/>
  <c r="U280" i="8"/>
  <c r="D280" i="8"/>
  <c r="Y279" i="8"/>
  <c r="X279" i="8"/>
  <c r="W279" i="8"/>
  <c r="V279" i="8"/>
  <c r="U279" i="8"/>
  <c r="D279" i="8"/>
  <c r="Y278" i="8"/>
  <c r="X278" i="8"/>
  <c r="V278" i="8"/>
  <c r="U278" i="8"/>
  <c r="D278" i="8"/>
  <c r="Y277" i="8"/>
  <c r="X277" i="8"/>
  <c r="W277" i="8"/>
  <c r="V277" i="8"/>
  <c r="U277" i="8"/>
  <c r="D277" i="8"/>
  <c r="Y276" i="8"/>
  <c r="X276" i="8"/>
  <c r="W276" i="8"/>
  <c r="V276" i="8"/>
  <c r="U276" i="8"/>
  <c r="D276" i="8"/>
  <c r="Y275" i="8"/>
  <c r="X275" i="8"/>
  <c r="W275" i="8"/>
  <c r="V275" i="8"/>
  <c r="U275" i="8"/>
  <c r="D275" i="8"/>
  <c r="Y274" i="8"/>
  <c r="X274" i="8"/>
  <c r="W274" i="8"/>
  <c r="V274" i="8"/>
  <c r="U274" i="8"/>
  <c r="D274" i="8"/>
  <c r="Y273" i="8"/>
  <c r="X273" i="8"/>
  <c r="W273" i="8"/>
  <c r="V273" i="8"/>
  <c r="U273" i="8"/>
  <c r="D273" i="8"/>
  <c r="Y272" i="8"/>
  <c r="X272" i="8"/>
  <c r="W272" i="8"/>
  <c r="V272" i="8"/>
  <c r="U272" i="8"/>
  <c r="D272" i="8"/>
  <c r="Y271" i="8"/>
  <c r="X271" i="8"/>
  <c r="W271" i="8"/>
  <c r="V271" i="8"/>
  <c r="U271" i="8"/>
  <c r="D271" i="8"/>
  <c r="X270" i="8"/>
  <c r="D270" i="8"/>
  <c r="Y269" i="8"/>
  <c r="X269" i="8"/>
  <c r="W269" i="8"/>
  <c r="V269" i="8"/>
  <c r="U269" i="8"/>
  <c r="D269" i="8"/>
  <c r="Y268" i="8"/>
  <c r="X268" i="8"/>
  <c r="W268" i="8"/>
  <c r="V268" i="8"/>
  <c r="U268" i="8"/>
  <c r="D268" i="8"/>
  <c r="Y267" i="8"/>
  <c r="X267" i="8"/>
  <c r="W267" i="8"/>
  <c r="V267" i="8"/>
  <c r="U267" i="8"/>
  <c r="D267" i="8"/>
  <c r="Y266" i="8"/>
  <c r="X266" i="8"/>
  <c r="W266" i="8"/>
  <c r="V266" i="8"/>
  <c r="U266" i="8"/>
  <c r="D266" i="8"/>
  <c r="Y265" i="8"/>
  <c r="X265" i="8"/>
  <c r="W265" i="8"/>
  <c r="V265" i="8"/>
  <c r="U265" i="8"/>
  <c r="D265" i="8"/>
  <c r="Y264" i="8"/>
  <c r="X264" i="8"/>
  <c r="W264" i="8"/>
  <c r="V264" i="8"/>
  <c r="U264" i="8"/>
  <c r="D264" i="8"/>
  <c r="Y263" i="8"/>
  <c r="X263" i="8"/>
  <c r="W263" i="8"/>
  <c r="V263" i="8"/>
  <c r="U263" i="8"/>
  <c r="D263" i="8"/>
  <c r="Y262" i="8"/>
  <c r="X262" i="8"/>
  <c r="W262" i="8"/>
  <c r="V262" i="8"/>
  <c r="U262" i="8"/>
  <c r="D262" i="8"/>
  <c r="Y261" i="8"/>
  <c r="X261" i="8"/>
  <c r="W261" i="8"/>
  <c r="V261" i="8"/>
  <c r="U261" i="8"/>
  <c r="D261" i="8"/>
  <c r="Y260" i="8"/>
  <c r="X260" i="8"/>
  <c r="W260" i="8"/>
  <c r="V260" i="8"/>
  <c r="U260" i="8"/>
  <c r="D260" i="8"/>
  <c r="Y259" i="8"/>
  <c r="X259" i="8"/>
  <c r="W259" i="8"/>
  <c r="V259" i="8"/>
  <c r="U259" i="8"/>
  <c r="D259" i="8"/>
  <c r="Y258" i="8"/>
  <c r="X258" i="8"/>
  <c r="W258" i="8"/>
  <c r="V258" i="8"/>
  <c r="U258" i="8"/>
  <c r="D258" i="8"/>
  <c r="Y257" i="8"/>
  <c r="X257" i="8"/>
  <c r="W257" i="8"/>
  <c r="V257" i="8"/>
  <c r="U257" i="8"/>
  <c r="D257" i="8"/>
  <c r="Y256" i="8"/>
  <c r="X256" i="8"/>
  <c r="W256" i="8"/>
  <c r="V256" i="8"/>
  <c r="U256" i="8"/>
  <c r="D256" i="8"/>
  <c r="Y255" i="8"/>
  <c r="X255" i="8"/>
  <c r="W255" i="8"/>
  <c r="V255" i="8"/>
  <c r="U255" i="8"/>
  <c r="D255" i="8"/>
  <c r="Y254" i="8"/>
  <c r="X254" i="8"/>
  <c r="W254" i="8"/>
  <c r="V254" i="8"/>
  <c r="U254" i="8"/>
  <c r="D254" i="8"/>
  <c r="Y253" i="8"/>
  <c r="X253" i="8"/>
  <c r="W253" i="8"/>
  <c r="V253" i="8"/>
  <c r="U253" i="8"/>
  <c r="D253" i="8"/>
  <c r="Y252" i="8"/>
  <c r="X252" i="8"/>
  <c r="W252" i="8"/>
  <c r="V252" i="8"/>
  <c r="U252" i="8"/>
  <c r="D252" i="8"/>
  <c r="Y251" i="8"/>
  <c r="X251" i="8"/>
  <c r="W251" i="8"/>
  <c r="V251" i="8"/>
  <c r="U251" i="8"/>
  <c r="D251" i="8"/>
  <c r="Y250" i="8"/>
  <c r="X250" i="8"/>
  <c r="W250" i="8"/>
  <c r="V250" i="8"/>
  <c r="U250" i="8"/>
  <c r="D250" i="8"/>
  <c r="Y249" i="8"/>
  <c r="X249" i="8"/>
  <c r="W249" i="8"/>
  <c r="V249" i="8"/>
  <c r="U249" i="8"/>
  <c r="D249" i="8"/>
  <c r="Y248" i="8"/>
  <c r="X248" i="8"/>
  <c r="W248" i="8"/>
  <c r="V248" i="8"/>
  <c r="U248" i="8"/>
  <c r="D248" i="8"/>
  <c r="Y247" i="8"/>
  <c r="X247" i="8"/>
  <c r="W247" i="8"/>
  <c r="V247" i="8"/>
  <c r="U247" i="8"/>
  <c r="D247" i="8"/>
  <c r="X246" i="8"/>
  <c r="D246" i="8"/>
  <c r="Y245" i="8"/>
  <c r="X245" i="8"/>
  <c r="W245" i="8"/>
  <c r="V245" i="8"/>
  <c r="U245" i="8"/>
  <c r="D245" i="8"/>
  <c r="Y244" i="8"/>
  <c r="X244" i="8"/>
  <c r="W244" i="8"/>
  <c r="V244" i="8"/>
  <c r="U244" i="8"/>
  <c r="D244" i="8"/>
  <c r="Y243" i="8"/>
  <c r="X243" i="8"/>
  <c r="W243" i="8"/>
  <c r="V243" i="8"/>
  <c r="U243" i="8"/>
  <c r="D243" i="8"/>
  <c r="Y242" i="8"/>
  <c r="X242" i="8"/>
  <c r="W242" i="8"/>
  <c r="V242" i="8"/>
  <c r="U242" i="8"/>
  <c r="D242" i="8"/>
  <c r="Y241" i="8"/>
  <c r="X241" i="8"/>
  <c r="W241" i="8"/>
  <c r="V241" i="8"/>
  <c r="U241" i="8"/>
  <c r="D241" i="8"/>
  <c r="Y240" i="8"/>
  <c r="X240" i="8"/>
  <c r="W240" i="8"/>
  <c r="V240" i="8"/>
  <c r="U240" i="8"/>
  <c r="D240" i="8"/>
  <c r="Y239" i="8"/>
  <c r="X239" i="8"/>
  <c r="W239" i="8"/>
  <c r="V239" i="8"/>
  <c r="U239" i="8"/>
  <c r="D239" i="8"/>
  <c r="Y238" i="8"/>
  <c r="X238" i="8"/>
  <c r="W238" i="8"/>
  <c r="V238" i="8"/>
  <c r="U238" i="8"/>
  <c r="D238" i="8"/>
  <c r="Y237" i="8"/>
  <c r="X237" i="8"/>
  <c r="W237" i="8"/>
  <c r="V237" i="8"/>
  <c r="U237" i="8"/>
  <c r="D237" i="8"/>
  <c r="Y236" i="8"/>
  <c r="X236" i="8"/>
  <c r="W236" i="8"/>
  <c r="V236" i="8"/>
  <c r="U236" i="8"/>
  <c r="D236" i="8"/>
  <c r="Y235" i="8"/>
  <c r="X235" i="8"/>
  <c r="W235" i="8"/>
  <c r="V235" i="8"/>
  <c r="U235" i="8"/>
  <c r="D235" i="8"/>
  <c r="Y234" i="8"/>
  <c r="X234" i="8"/>
  <c r="W234" i="8"/>
  <c r="V234" i="8"/>
  <c r="U234" i="8"/>
  <c r="D234" i="8"/>
  <c r="Y233" i="8"/>
  <c r="X233" i="8"/>
  <c r="W233" i="8"/>
  <c r="V233" i="8"/>
  <c r="U233" i="8"/>
  <c r="D233" i="8"/>
  <c r="Y232" i="8"/>
  <c r="X232" i="8"/>
  <c r="W232" i="8"/>
  <c r="V232" i="8"/>
  <c r="U232" i="8"/>
  <c r="D232" i="8"/>
  <c r="Y231" i="8"/>
  <c r="X231" i="8"/>
  <c r="W231" i="8"/>
  <c r="V231" i="8"/>
  <c r="U231" i="8"/>
  <c r="D231" i="8"/>
  <c r="Y230" i="8"/>
  <c r="X230" i="8"/>
  <c r="W230" i="8"/>
  <c r="V230" i="8"/>
  <c r="U230" i="8"/>
  <c r="D230" i="8"/>
  <c r="Y229" i="8"/>
  <c r="X229" i="8"/>
  <c r="W229" i="8"/>
  <c r="V229" i="8"/>
  <c r="U229" i="8"/>
  <c r="D229" i="8"/>
  <c r="Y228" i="8"/>
  <c r="X228" i="8"/>
  <c r="W228" i="8"/>
  <c r="V228" i="8"/>
  <c r="U228" i="8"/>
  <c r="D228" i="8"/>
  <c r="Y227" i="8"/>
  <c r="X227" i="8"/>
  <c r="W227" i="8"/>
  <c r="V227" i="8"/>
  <c r="U227" i="8"/>
  <c r="D227" i="8"/>
  <c r="Y226" i="8"/>
  <c r="X226" i="8"/>
  <c r="W226" i="8"/>
  <c r="V226" i="8"/>
  <c r="U226" i="8"/>
  <c r="D226" i="8"/>
  <c r="Y225" i="8"/>
  <c r="X225" i="8"/>
  <c r="W225" i="8"/>
  <c r="V225" i="8"/>
  <c r="U225" i="8"/>
  <c r="D225" i="8"/>
  <c r="Y224" i="8"/>
  <c r="X224" i="8"/>
  <c r="W224" i="8"/>
  <c r="V224" i="8"/>
  <c r="U224" i="8"/>
  <c r="D224" i="8"/>
  <c r="Y223" i="8"/>
  <c r="X223" i="8"/>
  <c r="W223" i="8"/>
  <c r="V223" i="8"/>
  <c r="U223" i="8"/>
  <c r="D223" i="8"/>
  <c r="X222" i="8"/>
  <c r="D222" i="8"/>
  <c r="Y221" i="8"/>
  <c r="X221" i="8"/>
  <c r="W221" i="8"/>
  <c r="V221" i="8"/>
  <c r="U221" i="8"/>
  <c r="D221" i="8"/>
  <c r="Y220" i="8"/>
  <c r="X220" i="8"/>
  <c r="W220" i="8"/>
  <c r="V220" i="8"/>
  <c r="U220" i="8"/>
  <c r="D220" i="8"/>
  <c r="Y219" i="8"/>
  <c r="X219" i="8"/>
  <c r="W219" i="8"/>
  <c r="V219" i="8"/>
  <c r="U219" i="8"/>
  <c r="D219" i="8"/>
  <c r="Y218" i="8"/>
  <c r="X218" i="8"/>
  <c r="W218" i="8"/>
  <c r="V218" i="8"/>
  <c r="U218" i="8"/>
  <c r="D218" i="8"/>
  <c r="Y217" i="8"/>
  <c r="X217" i="8"/>
  <c r="W217" i="8"/>
  <c r="V217" i="8"/>
  <c r="U217" i="8"/>
  <c r="D217" i="8"/>
  <c r="Y216" i="8"/>
  <c r="X216" i="8"/>
  <c r="W216" i="8"/>
  <c r="V216" i="8"/>
  <c r="U216" i="8"/>
  <c r="D216" i="8"/>
  <c r="Y215" i="8"/>
  <c r="X215" i="8"/>
  <c r="W215" i="8"/>
  <c r="V215" i="8"/>
  <c r="U215" i="8"/>
  <c r="D215" i="8"/>
  <c r="Y214" i="8"/>
  <c r="X214" i="8"/>
  <c r="W214" i="8"/>
  <c r="V214" i="8"/>
  <c r="U214" i="8"/>
  <c r="D214" i="8"/>
  <c r="Y213" i="8"/>
  <c r="X213" i="8"/>
  <c r="W213" i="8"/>
  <c r="V213" i="8"/>
  <c r="U213" i="8"/>
  <c r="D213" i="8"/>
  <c r="Y212" i="8"/>
  <c r="X212" i="8"/>
  <c r="W212" i="8"/>
  <c r="V212" i="8"/>
  <c r="U212" i="8"/>
  <c r="D212" i="8"/>
  <c r="Y211" i="8"/>
  <c r="X211" i="8"/>
  <c r="W211" i="8"/>
  <c r="V211" i="8"/>
  <c r="U211" i="8"/>
  <c r="D211" i="8"/>
  <c r="Y210" i="8"/>
  <c r="X210" i="8"/>
  <c r="W210" i="8"/>
  <c r="V210" i="8"/>
  <c r="U210" i="8"/>
  <c r="D210" i="8"/>
  <c r="Y209" i="8"/>
  <c r="X209" i="8"/>
  <c r="W209" i="8"/>
  <c r="V209" i="8"/>
  <c r="U209" i="8"/>
  <c r="D209" i="8"/>
  <c r="Y208" i="8"/>
  <c r="X208" i="8"/>
  <c r="W208" i="8"/>
  <c r="V208" i="8"/>
  <c r="U208" i="8"/>
  <c r="D208" i="8"/>
  <c r="Y207" i="8"/>
  <c r="X207" i="8"/>
  <c r="W207" i="8"/>
  <c r="V207" i="8"/>
  <c r="U207" i="8"/>
  <c r="D207" i="8"/>
  <c r="Y206" i="8"/>
  <c r="X206" i="8"/>
  <c r="W206" i="8"/>
  <c r="V206" i="8"/>
  <c r="U206" i="8"/>
  <c r="D206" i="8"/>
  <c r="Y205" i="8"/>
  <c r="X205" i="8"/>
  <c r="V205" i="8"/>
  <c r="U205" i="8"/>
  <c r="D205" i="8"/>
  <c r="Y204" i="8"/>
  <c r="X204" i="8"/>
  <c r="W204" i="8"/>
  <c r="V204" i="8"/>
  <c r="U204" i="8"/>
  <c r="D204" i="8"/>
  <c r="Y203" i="8"/>
  <c r="X203" i="8"/>
  <c r="W203" i="8"/>
  <c r="V203" i="8"/>
  <c r="U203" i="8"/>
  <c r="D203" i="8"/>
  <c r="Y202" i="8"/>
  <c r="X202" i="8"/>
  <c r="W202" i="8"/>
  <c r="V202" i="8"/>
  <c r="U202" i="8"/>
  <c r="D202" i="8"/>
  <c r="Y201" i="8"/>
  <c r="X201" i="8"/>
  <c r="W201" i="8"/>
  <c r="V201" i="8"/>
  <c r="U201" i="8"/>
  <c r="D201" i="8"/>
  <c r="Y200" i="8"/>
  <c r="X200" i="8"/>
  <c r="W200" i="8"/>
  <c r="V200" i="8"/>
  <c r="U200" i="8"/>
  <c r="D200" i="8"/>
  <c r="Y199" i="8"/>
  <c r="X199" i="8"/>
  <c r="W199" i="8"/>
  <c r="V199" i="8"/>
  <c r="U199" i="8"/>
  <c r="D199" i="8"/>
  <c r="Y198" i="8"/>
  <c r="X198" i="8"/>
  <c r="W198" i="8"/>
  <c r="V198" i="8"/>
  <c r="U198" i="8"/>
  <c r="D198" i="8"/>
  <c r="X197" i="8"/>
  <c r="D197" i="8"/>
  <c r="Y196" i="8"/>
  <c r="X196" i="8"/>
  <c r="W196" i="8"/>
  <c r="V196" i="8"/>
  <c r="U196" i="8"/>
  <c r="D196" i="8"/>
  <c r="Y195" i="8"/>
  <c r="X195" i="8"/>
  <c r="W195" i="8"/>
  <c r="V195" i="8"/>
  <c r="U195" i="8"/>
  <c r="D195" i="8"/>
  <c r="Y194" i="8"/>
  <c r="X194" i="8"/>
  <c r="W194" i="8"/>
  <c r="V194" i="8"/>
  <c r="U194" i="8"/>
  <c r="D194" i="8"/>
  <c r="Y193" i="8"/>
  <c r="X193" i="8"/>
  <c r="W193" i="8"/>
  <c r="V193" i="8"/>
  <c r="U193" i="8"/>
  <c r="D193" i="8"/>
  <c r="Y192" i="8"/>
  <c r="X192" i="8"/>
  <c r="W192" i="8"/>
  <c r="V192" i="8"/>
  <c r="U192" i="8"/>
  <c r="D192" i="8"/>
  <c r="Y191" i="8"/>
  <c r="X191" i="8"/>
  <c r="W191" i="8"/>
  <c r="V191" i="8"/>
  <c r="U191" i="8"/>
  <c r="D191" i="8"/>
  <c r="Y190" i="8"/>
  <c r="X190" i="8"/>
  <c r="W190" i="8"/>
  <c r="V190" i="8"/>
  <c r="U190" i="8"/>
  <c r="D190" i="8"/>
  <c r="Y189" i="8"/>
  <c r="X189" i="8"/>
  <c r="W189" i="8"/>
  <c r="V189" i="8"/>
  <c r="U189" i="8"/>
  <c r="D189" i="8"/>
  <c r="Y188" i="8"/>
  <c r="X188" i="8"/>
  <c r="W188" i="8"/>
  <c r="V188" i="8"/>
  <c r="U188" i="8"/>
  <c r="D188" i="8"/>
  <c r="Y187" i="8"/>
  <c r="X187" i="8"/>
  <c r="W187" i="8"/>
  <c r="V187" i="8"/>
  <c r="U187" i="8"/>
  <c r="D187" i="8"/>
  <c r="Y186" i="8"/>
  <c r="X186" i="8"/>
  <c r="W186" i="8"/>
  <c r="V186" i="8"/>
  <c r="U186" i="8"/>
  <c r="D186" i="8"/>
  <c r="Y185" i="8"/>
  <c r="X185" i="8"/>
  <c r="W185" i="8"/>
  <c r="V185" i="8"/>
  <c r="U185" i="8"/>
  <c r="D185" i="8"/>
  <c r="Y184" i="8"/>
  <c r="X184" i="8"/>
  <c r="W184" i="8"/>
  <c r="V184" i="8"/>
  <c r="U184" i="8"/>
  <c r="D184" i="8"/>
  <c r="Y183" i="8"/>
  <c r="X183" i="8"/>
  <c r="W183" i="8"/>
  <c r="V183" i="8"/>
  <c r="U183" i="8"/>
  <c r="D183" i="8"/>
  <c r="Y182" i="8"/>
  <c r="X182" i="8"/>
  <c r="W182" i="8"/>
  <c r="V182" i="8"/>
  <c r="U182" i="8"/>
  <c r="D182" i="8"/>
  <c r="Y181" i="8"/>
  <c r="X181" i="8"/>
  <c r="V181" i="8"/>
  <c r="U181" i="8"/>
  <c r="D181" i="8"/>
  <c r="Y180" i="8"/>
  <c r="X180" i="8"/>
  <c r="W180" i="8"/>
  <c r="V180" i="8"/>
  <c r="U180" i="8"/>
  <c r="D180" i="8"/>
  <c r="Y179" i="8"/>
  <c r="X179" i="8"/>
  <c r="W179" i="8"/>
  <c r="V179" i="8"/>
  <c r="U179" i="8"/>
  <c r="D179" i="8"/>
  <c r="Y178" i="8"/>
  <c r="X178" i="8"/>
  <c r="W178" i="8"/>
  <c r="V178" i="8"/>
  <c r="U178" i="8"/>
  <c r="D178" i="8"/>
  <c r="Y177" i="8"/>
  <c r="X177" i="8"/>
  <c r="W177" i="8"/>
  <c r="V177" i="8"/>
  <c r="U177" i="8"/>
  <c r="D177" i="8"/>
  <c r="Y176" i="8"/>
  <c r="X176" i="8"/>
  <c r="W176" i="8"/>
  <c r="V176" i="8"/>
  <c r="U176" i="8"/>
  <c r="D176" i="8"/>
  <c r="Y175" i="8"/>
  <c r="X175" i="8"/>
  <c r="W175" i="8"/>
  <c r="V175" i="8"/>
  <c r="U175" i="8"/>
  <c r="D175" i="8"/>
  <c r="Y174" i="8"/>
  <c r="X174" i="8"/>
  <c r="W174" i="8"/>
  <c r="V174" i="8"/>
  <c r="U174" i="8"/>
  <c r="D174" i="8"/>
  <c r="Y173" i="8"/>
  <c r="X173" i="8"/>
  <c r="W173" i="8"/>
  <c r="V173" i="8"/>
  <c r="U173" i="8"/>
  <c r="D173" i="8"/>
  <c r="X172" i="8"/>
  <c r="D172" i="8"/>
  <c r="Y171" i="8"/>
  <c r="X171" i="8"/>
  <c r="W171" i="8"/>
  <c r="V171" i="8"/>
  <c r="U171" i="8"/>
  <c r="D171" i="8"/>
  <c r="Y170" i="8"/>
  <c r="X170" i="8"/>
  <c r="W170" i="8"/>
  <c r="V170" i="8"/>
  <c r="U170" i="8"/>
  <c r="D170" i="8"/>
  <c r="Y169" i="8"/>
  <c r="X169" i="8"/>
  <c r="W169" i="8"/>
  <c r="V169" i="8"/>
  <c r="U169" i="8"/>
  <c r="D169" i="8"/>
  <c r="Y168" i="8"/>
  <c r="X168" i="8"/>
  <c r="W168" i="8"/>
  <c r="V168" i="8"/>
  <c r="U168" i="8"/>
  <c r="D168" i="8"/>
  <c r="Y167" i="8"/>
  <c r="X167" i="8"/>
  <c r="W167" i="8"/>
  <c r="V167" i="8"/>
  <c r="U167" i="8"/>
  <c r="D167" i="8"/>
  <c r="Y166" i="8"/>
  <c r="X166" i="8"/>
  <c r="W166" i="8"/>
  <c r="V166" i="8"/>
  <c r="U166" i="8"/>
  <c r="D166" i="8"/>
  <c r="Y165" i="8"/>
  <c r="X165" i="8"/>
  <c r="W165" i="8"/>
  <c r="V165" i="8"/>
  <c r="U165" i="8"/>
  <c r="D165" i="8"/>
  <c r="Y164" i="8"/>
  <c r="X164" i="8"/>
  <c r="W164" i="8"/>
  <c r="V164" i="8"/>
  <c r="U164" i="8"/>
  <c r="D164" i="8"/>
  <c r="Y163" i="8"/>
  <c r="X163" i="8"/>
  <c r="W163" i="8"/>
  <c r="V163" i="8"/>
  <c r="U163" i="8"/>
  <c r="D163" i="8"/>
  <c r="Y162" i="8"/>
  <c r="X162" i="8"/>
  <c r="W162" i="8"/>
  <c r="V162" i="8"/>
  <c r="U162" i="8"/>
  <c r="D162" i="8"/>
  <c r="Y161" i="8"/>
  <c r="X161" i="8"/>
  <c r="W161" i="8"/>
  <c r="V161" i="8"/>
  <c r="U161" i="8"/>
  <c r="D161" i="8"/>
  <c r="Y160" i="8"/>
  <c r="X160" i="8"/>
  <c r="W160" i="8"/>
  <c r="V160" i="8"/>
  <c r="U160" i="8"/>
  <c r="D160" i="8"/>
  <c r="Y159" i="8"/>
  <c r="X159" i="8"/>
  <c r="W159" i="8"/>
  <c r="V159" i="8"/>
  <c r="U159" i="8"/>
  <c r="D159" i="8"/>
  <c r="Y158" i="8"/>
  <c r="X158" i="8"/>
  <c r="W158" i="8"/>
  <c r="V158" i="8"/>
  <c r="U158" i="8"/>
  <c r="D158" i="8"/>
  <c r="Y157" i="8"/>
  <c r="X157" i="8"/>
  <c r="W157" i="8"/>
  <c r="V157" i="8"/>
  <c r="U157" i="8"/>
  <c r="D157" i="8"/>
  <c r="Y156" i="8"/>
  <c r="X156" i="8"/>
  <c r="V156" i="8"/>
  <c r="U156" i="8"/>
  <c r="D156" i="8"/>
  <c r="Y155" i="8"/>
  <c r="X155" i="8"/>
  <c r="W155" i="8"/>
  <c r="V155" i="8"/>
  <c r="U155" i="8"/>
  <c r="D155" i="8"/>
  <c r="Y154" i="8"/>
  <c r="X154" i="8"/>
  <c r="W154" i="8"/>
  <c r="V154" i="8"/>
  <c r="U154" i="8"/>
  <c r="D154" i="8"/>
  <c r="Y153" i="8"/>
  <c r="X153" i="8"/>
  <c r="W153" i="8"/>
  <c r="V153" i="8"/>
  <c r="U153" i="8"/>
  <c r="D153" i="8"/>
  <c r="Y152" i="8"/>
  <c r="X152" i="8"/>
  <c r="W152" i="8"/>
  <c r="V152" i="8"/>
  <c r="U152" i="8"/>
  <c r="D152" i="8"/>
  <c r="Y151" i="8"/>
  <c r="X151" i="8"/>
  <c r="W151" i="8"/>
  <c r="V151" i="8"/>
  <c r="U151" i="8"/>
  <c r="D151" i="8"/>
  <c r="Y150" i="8"/>
  <c r="X150" i="8"/>
  <c r="W150" i="8"/>
  <c r="V150" i="8"/>
  <c r="U150" i="8"/>
  <c r="D150" i="8"/>
  <c r="X149" i="8"/>
  <c r="D149" i="8"/>
  <c r="Y148" i="8"/>
  <c r="X148" i="8"/>
  <c r="W148" i="8"/>
  <c r="V148" i="8"/>
  <c r="U148" i="8"/>
  <c r="D148" i="8"/>
  <c r="Y147" i="8"/>
  <c r="X147" i="8"/>
  <c r="W147" i="8"/>
  <c r="V147" i="8"/>
  <c r="U147" i="8"/>
  <c r="D147" i="8"/>
  <c r="Y146" i="8"/>
  <c r="X146" i="8"/>
  <c r="W146" i="8"/>
  <c r="V146" i="8"/>
  <c r="U146" i="8"/>
  <c r="D146" i="8"/>
  <c r="Y145" i="8"/>
  <c r="X145" i="8"/>
  <c r="W145" i="8"/>
  <c r="V145" i="8"/>
  <c r="U145" i="8"/>
  <c r="D145" i="8"/>
  <c r="Y144" i="8"/>
  <c r="X144" i="8"/>
  <c r="W144" i="8"/>
  <c r="V144" i="8"/>
  <c r="U144" i="8"/>
  <c r="D144" i="8"/>
  <c r="Y143" i="8"/>
  <c r="X143" i="8"/>
  <c r="W143" i="8"/>
  <c r="V143" i="8"/>
  <c r="U143" i="8"/>
  <c r="D143" i="8"/>
  <c r="Y142" i="8"/>
  <c r="X142" i="8"/>
  <c r="W142" i="8"/>
  <c r="V142" i="8"/>
  <c r="U142" i="8"/>
  <c r="D142" i="8"/>
  <c r="Y141" i="8"/>
  <c r="X141" i="8"/>
  <c r="V141" i="8"/>
  <c r="U141" i="8"/>
  <c r="D141" i="8"/>
  <c r="Y140" i="8"/>
  <c r="X140" i="8"/>
  <c r="W140" i="8"/>
  <c r="V140" i="8"/>
  <c r="U140" i="8"/>
  <c r="D140" i="8"/>
  <c r="Y139" i="8"/>
  <c r="X139" i="8"/>
  <c r="W139" i="8"/>
  <c r="V139" i="8"/>
  <c r="U139" i="8"/>
  <c r="D139" i="8"/>
  <c r="Y138" i="8"/>
  <c r="X138" i="8"/>
  <c r="W138" i="8"/>
  <c r="V138" i="8"/>
  <c r="U138" i="8"/>
  <c r="D138" i="8"/>
  <c r="Y137" i="8"/>
  <c r="X137" i="8"/>
  <c r="W137" i="8"/>
  <c r="V137" i="8"/>
  <c r="U137" i="8"/>
  <c r="D137" i="8"/>
  <c r="Y136" i="8"/>
  <c r="X136" i="8"/>
  <c r="W136" i="8"/>
  <c r="V136" i="8"/>
  <c r="U136" i="8"/>
  <c r="D136" i="8"/>
  <c r="Y135" i="8"/>
  <c r="X135" i="8"/>
  <c r="W135" i="8"/>
  <c r="V135" i="8"/>
  <c r="U135" i="8"/>
  <c r="D135" i="8"/>
  <c r="Y134" i="8"/>
  <c r="X134" i="8"/>
  <c r="W134" i="8"/>
  <c r="V134" i="8"/>
  <c r="U134" i="8"/>
  <c r="D134" i="8"/>
  <c r="Y133" i="8"/>
  <c r="X133" i="8"/>
  <c r="W133" i="8"/>
  <c r="V133" i="8"/>
  <c r="U133" i="8"/>
  <c r="D133" i="8"/>
  <c r="Y132" i="8"/>
  <c r="X132" i="8"/>
  <c r="W132" i="8"/>
  <c r="V132" i="8"/>
  <c r="U132" i="8"/>
  <c r="D132" i="8"/>
  <c r="Y131" i="8"/>
  <c r="X131" i="8"/>
  <c r="W131" i="8"/>
  <c r="V131" i="8"/>
  <c r="U131" i="8"/>
  <c r="D131" i="8"/>
  <c r="Y130" i="8"/>
  <c r="X130" i="8"/>
  <c r="W130" i="8"/>
  <c r="V130" i="8"/>
  <c r="U130" i="8"/>
  <c r="D130" i="8"/>
  <c r="Y129" i="8"/>
  <c r="X129" i="8"/>
  <c r="W129" i="8"/>
  <c r="V129" i="8"/>
  <c r="U129" i="8"/>
  <c r="D129" i="8"/>
  <c r="Y128" i="8"/>
  <c r="X128" i="8"/>
  <c r="W128" i="8"/>
  <c r="V128" i="8"/>
  <c r="U128" i="8"/>
  <c r="D128" i="8"/>
  <c r="X127" i="8"/>
  <c r="D127" i="8"/>
  <c r="Y126" i="8"/>
  <c r="X126" i="8"/>
  <c r="W126" i="8"/>
  <c r="V126" i="8"/>
  <c r="U126" i="8"/>
  <c r="D126" i="8"/>
  <c r="Y125" i="8"/>
  <c r="X125" i="8"/>
  <c r="W125" i="8"/>
  <c r="V125" i="8"/>
  <c r="U125" i="8"/>
  <c r="D125" i="8"/>
  <c r="Y124" i="8"/>
  <c r="X124" i="8"/>
  <c r="W124" i="8"/>
  <c r="V124" i="8"/>
  <c r="U124" i="8"/>
  <c r="D124" i="8"/>
  <c r="Y123" i="8"/>
  <c r="X123" i="8"/>
  <c r="W123" i="8"/>
  <c r="V123" i="8"/>
  <c r="U123" i="8"/>
  <c r="D123" i="8"/>
  <c r="Y122" i="8"/>
  <c r="X122" i="8"/>
  <c r="W122" i="8"/>
  <c r="V122" i="8"/>
  <c r="U122" i="8"/>
  <c r="D122" i="8"/>
  <c r="Y121" i="8"/>
  <c r="X121" i="8"/>
  <c r="W121" i="8"/>
  <c r="V121" i="8"/>
  <c r="U121" i="8"/>
  <c r="D121" i="8"/>
  <c r="Y120" i="8"/>
  <c r="X120" i="8"/>
  <c r="W120" i="8"/>
  <c r="V120" i="8"/>
  <c r="U120" i="8"/>
  <c r="D120" i="8"/>
  <c r="Y119" i="8"/>
  <c r="X119" i="8"/>
  <c r="W119" i="8"/>
  <c r="V119" i="8"/>
  <c r="U119" i="8"/>
  <c r="D119" i="8"/>
  <c r="Y118" i="8"/>
  <c r="X118" i="8"/>
  <c r="W118" i="8"/>
  <c r="V118" i="8"/>
  <c r="U118" i="8"/>
  <c r="D118" i="8"/>
  <c r="Y117" i="8"/>
  <c r="X117" i="8"/>
  <c r="V117" i="8"/>
  <c r="U117" i="8"/>
  <c r="D117" i="8"/>
  <c r="Y116" i="8"/>
  <c r="X116" i="8"/>
  <c r="W116" i="8"/>
  <c r="V116" i="8"/>
  <c r="U116" i="8"/>
  <c r="D116" i="8"/>
  <c r="Y115" i="8"/>
  <c r="X115" i="8"/>
  <c r="W115" i="8"/>
  <c r="V115" i="8"/>
  <c r="U115" i="8"/>
  <c r="D115" i="8"/>
  <c r="Y114" i="8"/>
  <c r="X114" i="8"/>
  <c r="W114" i="8"/>
  <c r="V114" i="8"/>
  <c r="U114" i="8"/>
  <c r="D114" i="8"/>
  <c r="Y113" i="8"/>
  <c r="X113" i="8"/>
  <c r="W113" i="8"/>
  <c r="V113" i="8"/>
  <c r="U113" i="8"/>
  <c r="D113" i="8"/>
  <c r="Y112" i="8"/>
  <c r="X112" i="8"/>
  <c r="W112" i="8"/>
  <c r="V112" i="8"/>
  <c r="U112" i="8"/>
  <c r="D112" i="8"/>
  <c r="Y111" i="8"/>
  <c r="X111" i="8"/>
  <c r="W111" i="8"/>
  <c r="V111" i="8"/>
  <c r="U111" i="8"/>
  <c r="D111" i="8"/>
  <c r="Y110" i="8"/>
  <c r="X110" i="8"/>
  <c r="W110" i="8"/>
  <c r="V110" i="8"/>
  <c r="U110" i="8"/>
  <c r="D110" i="8"/>
  <c r="Y109" i="8"/>
  <c r="X109" i="8"/>
  <c r="W109" i="8"/>
  <c r="V109" i="8"/>
  <c r="U109" i="8"/>
  <c r="D109" i="8"/>
  <c r="Y108" i="8"/>
  <c r="X108" i="8"/>
  <c r="W108" i="8"/>
  <c r="V108" i="8"/>
  <c r="U108" i="8"/>
  <c r="D108" i="8"/>
  <c r="Y107" i="8"/>
  <c r="X107" i="8"/>
  <c r="W107" i="8"/>
  <c r="V107" i="8"/>
  <c r="U107" i="8"/>
  <c r="D107" i="8"/>
  <c r="Y106" i="8"/>
  <c r="X106" i="8"/>
  <c r="W106" i="8"/>
  <c r="V106" i="8"/>
  <c r="U106" i="8"/>
  <c r="D106" i="8"/>
  <c r="Y105" i="8"/>
  <c r="X105" i="8"/>
  <c r="W105" i="8"/>
  <c r="V105" i="8"/>
  <c r="U105" i="8"/>
  <c r="D105" i="8"/>
  <c r="Y104" i="8"/>
  <c r="X104" i="8"/>
  <c r="W104" i="8"/>
  <c r="V104" i="8"/>
  <c r="U104" i="8"/>
  <c r="D104" i="8"/>
  <c r="Y103" i="8"/>
  <c r="X103" i="8"/>
  <c r="W103" i="8"/>
  <c r="V103" i="8"/>
  <c r="U103" i="8"/>
  <c r="D103" i="8"/>
  <c r="X102" i="8"/>
  <c r="D102" i="8"/>
  <c r="Y101" i="8"/>
  <c r="X101" i="8"/>
  <c r="W101" i="8"/>
  <c r="V101" i="8"/>
  <c r="U101" i="8"/>
  <c r="D101" i="8"/>
  <c r="Y100" i="8"/>
  <c r="X100" i="8"/>
  <c r="W100" i="8"/>
  <c r="V100" i="8"/>
  <c r="U100" i="8"/>
  <c r="D100" i="8"/>
  <c r="Y99" i="8"/>
  <c r="X99" i="8"/>
  <c r="W99" i="8"/>
  <c r="V99" i="8"/>
  <c r="U99" i="8"/>
  <c r="D99" i="8"/>
  <c r="Y98" i="8"/>
  <c r="X98" i="8"/>
  <c r="W98" i="8"/>
  <c r="V98" i="8"/>
  <c r="U98" i="8"/>
  <c r="D98" i="8"/>
  <c r="Y97" i="8"/>
  <c r="X97" i="8"/>
  <c r="W97" i="8"/>
  <c r="V97" i="8"/>
  <c r="U97" i="8"/>
  <c r="D97" i="8"/>
  <c r="Y96" i="8"/>
  <c r="X96" i="8"/>
  <c r="W96" i="8"/>
  <c r="V96" i="8"/>
  <c r="U96" i="8"/>
  <c r="D96" i="8"/>
  <c r="Y95" i="8"/>
  <c r="X95" i="8"/>
  <c r="W95" i="8"/>
  <c r="V95" i="8"/>
  <c r="U95" i="8"/>
  <c r="D95" i="8"/>
  <c r="Y94" i="8"/>
  <c r="X94" i="8"/>
  <c r="W94" i="8"/>
  <c r="V94" i="8"/>
  <c r="U94" i="8"/>
  <c r="D94" i="8"/>
  <c r="Y93" i="8"/>
  <c r="X93" i="8"/>
  <c r="W93" i="8"/>
  <c r="V93" i="8"/>
  <c r="U93" i="8"/>
  <c r="D93" i="8"/>
  <c r="Y92" i="8"/>
  <c r="X92" i="8"/>
  <c r="V92" i="8"/>
  <c r="U92" i="8"/>
  <c r="D92" i="8"/>
  <c r="Y91" i="8"/>
  <c r="X91" i="8"/>
  <c r="W91" i="8"/>
  <c r="V91" i="8"/>
  <c r="U91" i="8"/>
  <c r="D91" i="8"/>
  <c r="Y90" i="8"/>
  <c r="X90" i="8"/>
  <c r="W90" i="8"/>
  <c r="V90" i="8"/>
  <c r="U90" i="8"/>
  <c r="D90" i="8"/>
  <c r="Y89" i="8"/>
  <c r="X89" i="8"/>
  <c r="W89" i="8"/>
  <c r="V89" i="8"/>
  <c r="U89" i="8"/>
  <c r="D89" i="8"/>
  <c r="Y88" i="8"/>
  <c r="X88" i="8"/>
  <c r="W88" i="8"/>
  <c r="V88" i="8"/>
  <c r="U88" i="8"/>
  <c r="D88" i="8"/>
  <c r="Y87" i="8"/>
  <c r="X87" i="8"/>
  <c r="W87" i="8"/>
  <c r="V87" i="8"/>
  <c r="U87" i="8"/>
  <c r="D87" i="8"/>
  <c r="Y86" i="8"/>
  <c r="X86" i="8"/>
  <c r="W86" i="8"/>
  <c r="V86" i="8"/>
  <c r="U86" i="8"/>
  <c r="D86" i="8"/>
  <c r="Y85" i="8"/>
  <c r="X85" i="8"/>
  <c r="W85" i="8"/>
  <c r="V85" i="8"/>
  <c r="U85" i="8"/>
  <c r="D85" i="8"/>
  <c r="Y84" i="8"/>
  <c r="X84" i="8"/>
  <c r="W84" i="8"/>
  <c r="V84" i="8"/>
  <c r="U84" i="8"/>
  <c r="D84" i="8"/>
  <c r="Y83" i="8"/>
  <c r="X83" i="8"/>
  <c r="W83" i="8"/>
  <c r="V83" i="8"/>
  <c r="U83" i="8"/>
  <c r="D83" i="8"/>
  <c r="Y82" i="8"/>
  <c r="X82" i="8"/>
  <c r="W82" i="8"/>
  <c r="V82" i="8"/>
  <c r="U82" i="8"/>
  <c r="D82" i="8"/>
  <c r="Y81" i="8"/>
  <c r="X81" i="8"/>
  <c r="W81" i="8"/>
  <c r="V81" i="8"/>
  <c r="U81" i="8"/>
  <c r="D81" i="8"/>
  <c r="Y80" i="8"/>
  <c r="X80" i="8"/>
  <c r="W80" i="8"/>
  <c r="V80" i="8"/>
  <c r="U80" i="8"/>
  <c r="D80" i="8"/>
  <c r="Y79" i="8"/>
  <c r="X79" i="8"/>
  <c r="W79" i="8"/>
  <c r="V79" i="8"/>
  <c r="U79" i="8"/>
  <c r="D79" i="8"/>
  <c r="X78" i="8"/>
  <c r="D78" i="8"/>
  <c r="Y77" i="8"/>
  <c r="X77" i="8"/>
  <c r="W77" i="8"/>
  <c r="V77" i="8"/>
  <c r="U77" i="8"/>
  <c r="D77" i="8"/>
  <c r="Y76" i="8"/>
  <c r="X76" i="8"/>
  <c r="W76" i="8"/>
  <c r="V76" i="8"/>
  <c r="U76" i="8"/>
  <c r="D76" i="8"/>
  <c r="Y75" i="8"/>
  <c r="X75" i="8"/>
  <c r="W75" i="8"/>
  <c r="V75" i="8"/>
  <c r="U75" i="8"/>
  <c r="D75" i="8"/>
  <c r="Y74" i="8"/>
  <c r="X74" i="8"/>
  <c r="W74" i="8"/>
  <c r="V74" i="8"/>
  <c r="U74" i="8"/>
  <c r="D74" i="8"/>
  <c r="Y73" i="8"/>
  <c r="X73" i="8"/>
  <c r="W73" i="8"/>
  <c r="V73" i="8"/>
  <c r="U73" i="8"/>
  <c r="D73" i="8"/>
  <c r="Y72" i="8"/>
  <c r="X72" i="8"/>
  <c r="W72" i="8"/>
  <c r="V72" i="8"/>
  <c r="U72" i="8"/>
  <c r="D72" i="8"/>
  <c r="Y71" i="8"/>
  <c r="X71" i="8"/>
  <c r="W71" i="8"/>
  <c r="V71" i="8"/>
  <c r="U71" i="8"/>
  <c r="D71" i="8"/>
  <c r="Y70" i="8"/>
  <c r="X70" i="8"/>
  <c r="W70" i="8"/>
  <c r="V70" i="8"/>
  <c r="U70" i="8"/>
  <c r="D70" i="8"/>
  <c r="Y69" i="8"/>
  <c r="X69" i="8"/>
  <c r="W69" i="8"/>
  <c r="V69" i="8"/>
  <c r="U69" i="8"/>
  <c r="D69" i="8"/>
  <c r="Y68" i="8"/>
  <c r="X68" i="8"/>
  <c r="V68" i="8"/>
  <c r="U68" i="8"/>
  <c r="D68" i="8"/>
  <c r="Y67" i="8"/>
  <c r="X67" i="8"/>
  <c r="W67" i="8"/>
  <c r="V67" i="8"/>
  <c r="U67" i="8"/>
  <c r="D67" i="8"/>
  <c r="Y66" i="8"/>
  <c r="X66" i="8"/>
  <c r="W66" i="8"/>
  <c r="V66" i="8"/>
  <c r="U66" i="8"/>
  <c r="D66" i="8"/>
  <c r="Y65" i="8"/>
  <c r="X65" i="8"/>
  <c r="W65" i="8"/>
  <c r="V65" i="8"/>
  <c r="U65" i="8"/>
  <c r="D65" i="8"/>
  <c r="Y64" i="8"/>
  <c r="X64" i="8"/>
  <c r="W64" i="8"/>
  <c r="V64" i="8"/>
  <c r="U64" i="8"/>
  <c r="D64" i="8"/>
  <c r="Y63" i="8"/>
  <c r="X63" i="8"/>
  <c r="W63" i="8"/>
  <c r="V63" i="8"/>
  <c r="U63" i="8"/>
  <c r="D63" i="8"/>
  <c r="Y62" i="8"/>
  <c r="X62" i="8"/>
  <c r="W62" i="8"/>
  <c r="V62" i="8"/>
  <c r="U62" i="8"/>
  <c r="D62" i="8"/>
  <c r="Y61" i="8"/>
  <c r="X61" i="8"/>
  <c r="W61" i="8"/>
  <c r="V61" i="8"/>
  <c r="U61" i="8"/>
  <c r="D61" i="8"/>
  <c r="Y60" i="8"/>
  <c r="X60" i="8"/>
  <c r="W60" i="8"/>
  <c r="V60" i="8"/>
  <c r="U60" i="8"/>
  <c r="D60" i="8"/>
  <c r="Y59" i="8"/>
  <c r="X59" i="8"/>
  <c r="W59" i="8"/>
  <c r="V59" i="8"/>
  <c r="U59" i="8"/>
  <c r="D59" i="8"/>
  <c r="Y58" i="8"/>
  <c r="X58" i="8"/>
  <c r="W58" i="8"/>
  <c r="V58" i="8"/>
  <c r="U58" i="8"/>
  <c r="D58" i="8"/>
  <c r="Y57" i="8"/>
  <c r="X57" i="8"/>
  <c r="W57" i="8"/>
  <c r="V57" i="8"/>
  <c r="U57" i="8"/>
  <c r="D57" i="8"/>
  <c r="Y56" i="8"/>
  <c r="X56" i="8"/>
  <c r="W56" i="8"/>
  <c r="V56" i="8"/>
  <c r="U56" i="8"/>
  <c r="D56" i="8"/>
  <c r="Y55" i="8"/>
  <c r="X55" i="8"/>
  <c r="W55" i="8"/>
  <c r="V55" i="8"/>
  <c r="U55" i="8"/>
  <c r="D55" i="8"/>
  <c r="X54" i="8"/>
  <c r="D54" i="8"/>
  <c r="Y53" i="8"/>
  <c r="X53" i="8"/>
  <c r="W53" i="8"/>
  <c r="V53" i="8"/>
  <c r="U53" i="8"/>
  <c r="D53" i="8"/>
  <c r="Y52" i="8"/>
  <c r="X52" i="8"/>
  <c r="W52" i="8"/>
  <c r="V52" i="8"/>
  <c r="U52" i="8"/>
  <c r="D52" i="8"/>
  <c r="Y51" i="8"/>
  <c r="X51" i="8"/>
  <c r="W51" i="8"/>
  <c r="V51" i="8"/>
  <c r="U51" i="8"/>
  <c r="D51" i="8"/>
  <c r="Y50" i="8"/>
  <c r="X50" i="8"/>
  <c r="W50" i="8"/>
  <c r="V50" i="8"/>
  <c r="U50" i="8"/>
  <c r="D50" i="8"/>
  <c r="Y49" i="8"/>
  <c r="X49" i="8"/>
  <c r="W49" i="8"/>
  <c r="V49" i="8"/>
  <c r="U49" i="8"/>
  <c r="D49" i="8"/>
  <c r="Y48" i="8"/>
  <c r="X48" i="8"/>
  <c r="W48" i="8"/>
  <c r="V48" i="8"/>
  <c r="U48" i="8"/>
  <c r="D48" i="8"/>
  <c r="Y47" i="8"/>
  <c r="X47" i="8"/>
  <c r="W47" i="8"/>
  <c r="V47" i="8"/>
  <c r="U47" i="8"/>
  <c r="K47" i="8"/>
  <c r="K1270" i="8" s="1"/>
  <c r="D47" i="8"/>
  <c r="Y46" i="8"/>
  <c r="X46" i="8"/>
  <c r="W46" i="8"/>
  <c r="V46" i="8"/>
  <c r="U46" i="8"/>
  <c r="D46" i="8"/>
  <c r="Y45" i="8"/>
  <c r="X45" i="8"/>
  <c r="W45" i="8"/>
  <c r="V45" i="8"/>
  <c r="U45" i="8"/>
  <c r="D45" i="8"/>
  <c r="Y44" i="8"/>
  <c r="X44" i="8"/>
  <c r="V44" i="8"/>
  <c r="U44" i="8"/>
  <c r="D44" i="8"/>
  <c r="Y43" i="8"/>
  <c r="X43" i="8"/>
  <c r="W43" i="8"/>
  <c r="V43" i="8"/>
  <c r="U43" i="8"/>
  <c r="D43" i="8"/>
  <c r="Y42" i="8"/>
  <c r="X42" i="8"/>
  <c r="W42" i="8"/>
  <c r="V42" i="8"/>
  <c r="U42" i="8"/>
  <c r="D42" i="8"/>
  <c r="Y41" i="8"/>
  <c r="X41" i="8"/>
  <c r="W41" i="8"/>
  <c r="V41" i="8"/>
  <c r="U41" i="8"/>
  <c r="D41" i="8"/>
  <c r="Y40" i="8"/>
  <c r="X40" i="8"/>
  <c r="W40" i="8"/>
  <c r="V40" i="8"/>
  <c r="U40" i="8"/>
  <c r="D40" i="8"/>
  <c r="Y39" i="8"/>
  <c r="X39" i="8"/>
  <c r="W39" i="8"/>
  <c r="V39" i="8"/>
  <c r="U39" i="8"/>
  <c r="D39" i="8"/>
  <c r="Y38" i="8"/>
  <c r="X38" i="8"/>
  <c r="W38" i="8"/>
  <c r="V38" i="8"/>
  <c r="U38" i="8"/>
  <c r="D38" i="8"/>
  <c r="Y37" i="8"/>
  <c r="X37" i="8"/>
  <c r="W37" i="8"/>
  <c r="V37" i="8"/>
  <c r="U37" i="8"/>
  <c r="D37" i="8"/>
  <c r="Y36" i="8"/>
  <c r="X36" i="8"/>
  <c r="W36" i="8"/>
  <c r="V36" i="8"/>
  <c r="U36" i="8"/>
  <c r="D36" i="8"/>
  <c r="Y35" i="8"/>
  <c r="X35" i="8"/>
  <c r="W35" i="8"/>
  <c r="V35" i="8"/>
  <c r="U35" i="8"/>
  <c r="D35" i="8"/>
  <c r="Y34" i="8"/>
  <c r="X34" i="8"/>
  <c r="W34" i="8"/>
  <c r="V34" i="8"/>
  <c r="U34" i="8"/>
  <c r="D34" i="8"/>
  <c r="Y33" i="8"/>
  <c r="X33" i="8"/>
  <c r="W33" i="8"/>
  <c r="V33" i="8"/>
  <c r="U33" i="8"/>
  <c r="D33" i="8"/>
  <c r="Y32" i="8"/>
  <c r="X32" i="8"/>
  <c r="W32" i="8"/>
  <c r="V32" i="8"/>
  <c r="U32" i="8"/>
  <c r="D32" i="8"/>
  <c r="Y31" i="8"/>
  <c r="X31" i="8"/>
  <c r="W31" i="8"/>
  <c r="V31" i="8"/>
  <c r="U31" i="8"/>
  <c r="D31" i="8"/>
  <c r="X30" i="8"/>
  <c r="D30" i="8"/>
  <c r="Y29" i="8"/>
  <c r="X29" i="8"/>
  <c r="W29" i="8"/>
  <c r="V29" i="8"/>
  <c r="U29" i="8"/>
  <c r="D29" i="8"/>
  <c r="Y28" i="8"/>
  <c r="X28" i="8"/>
  <c r="W28" i="8"/>
  <c r="V28" i="8"/>
  <c r="U28" i="8"/>
  <c r="D28" i="8"/>
  <c r="Y27" i="8"/>
  <c r="X27" i="8"/>
  <c r="W27" i="8"/>
  <c r="V27" i="8"/>
  <c r="U27" i="8"/>
  <c r="D27" i="8"/>
  <c r="Y26" i="8"/>
  <c r="X26" i="8"/>
  <c r="W26" i="8"/>
  <c r="V26" i="8"/>
  <c r="U26" i="8"/>
  <c r="D26" i="8"/>
  <c r="Y25" i="8"/>
  <c r="X25" i="8"/>
  <c r="W25" i="8"/>
  <c r="V25" i="8"/>
  <c r="U25" i="8"/>
  <c r="D25" i="8"/>
  <c r="Y24" i="8"/>
  <c r="X24" i="8"/>
  <c r="W24" i="8"/>
  <c r="V24" i="8"/>
  <c r="U24" i="8"/>
  <c r="D24" i="8"/>
  <c r="Y23" i="8"/>
  <c r="X23" i="8"/>
  <c r="W23" i="8"/>
  <c r="V23" i="8"/>
  <c r="U23" i="8"/>
  <c r="D23" i="8"/>
  <c r="Y22" i="8"/>
  <c r="X22" i="8"/>
  <c r="W22" i="8"/>
  <c r="V22" i="8"/>
  <c r="U22" i="8"/>
  <c r="D22" i="8"/>
  <c r="Y21" i="8"/>
  <c r="X21" i="8"/>
  <c r="W21" i="8"/>
  <c r="V21" i="8"/>
  <c r="U21" i="8"/>
  <c r="D21" i="8"/>
  <c r="Y20" i="8"/>
  <c r="X20" i="8"/>
  <c r="V20" i="8"/>
  <c r="U20" i="8"/>
  <c r="D20" i="8"/>
  <c r="Y19" i="8"/>
  <c r="X19" i="8"/>
  <c r="W19" i="8"/>
  <c r="V19" i="8"/>
  <c r="U19" i="8"/>
  <c r="D19" i="8"/>
  <c r="Y18" i="8"/>
  <c r="X18" i="8"/>
  <c r="W18" i="8"/>
  <c r="V18" i="8"/>
  <c r="U18" i="8"/>
  <c r="D18" i="8"/>
  <c r="Y17" i="8"/>
  <c r="X17" i="8"/>
  <c r="W17" i="8"/>
  <c r="V17" i="8"/>
  <c r="U17" i="8"/>
  <c r="D17" i="8"/>
  <c r="Y16" i="8"/>
  <c r="X16" i="8"/>
  <c r="W16" i="8"/>
  <c r="V16" i="8"/>
  <c r="U16" i="8"/>
  <c r="D16" i="8"/>
  <c r="Y15" i="8"/>
  <c r="X15" i="8"/>
  <c r="W15" i="8"/>
  <c r="V15" i="8"/>
  <c r="U15" i="8"/>
  <c r="D15" i="8"/>
  <c r="Y14" i="8"/>
  <c r="X14" i="8"/>
  <c r="W14" i="8"/>
  <c r="V14" i="8"/>
  <c r="U14" i="8"/>
  <c r="D14" i="8"/>
  <c r="Y13" i="8"/>
  <c r="X13" i="8"/>
  <c r="W13" i="8"/>
  <c r="V13" i="8"/>
  <c r="U13" i="8"/>
  <c r="D13" i="8"/>
  <c r="Y12" i="8"/>
  <c r="X12" i="8"/>
  <c r="W12" i="8"/>
  <c r="V12" i="8"/>
  <c r="U12" i="8"/>
  <c r="D12" i="8"/>
  <c r="Y11" i="8"/>
  <c r="X11" i="8"/>
  <c r="W11" i="8"/>
  <c r="V11" i="8"/>
  <c r="U11" i="8"/>
  <c r="D11" i="8"/>
  <c r="Y10" i="8"/>
  <c r="X10" i="8"/>
  <c r="W10" i="8"/>
  <c r="V10" i="8"/>
  <c r="U10" i="8"/>
  <c r="D10" i="8"/>
  <c r="Y9" i="8"/>
  <c r="X9" i="8"/>
  <c r="W9" i="8"/>
  <c r="V9" i="8"/>
  <c r="U9" i="8"/>
  <c r="D9" i="8"/>
  <c r="Y8" i="8"/>
  <c r="X8" i="8"/>
  <c r="W8" i="8"/>
  <c r="V8" i="8"/>
  <c r="U8" i="8"/>
  <c r="D8" i="8"/>
  <c r="X7" i="8"/>
  <c r="D7" i="8"/>
  <c r="Y6" i="8"/>
  <c r="X6" i="8"/>
  <c r="W6" i="8"/>
  <c r="V6" i="8"/>
  <c r="U6" i="8"/>
  <c r="D6" i="8"/>
  <c r="Y5" i="8"/>
  <c r="X5" i="8"/>
  <c r="W5" i="8"/>
  <c r="V5" i="8"/>
  <c r="U5" i="8"/>
  <c r="D5" i="8"/>
  <c r="U1270" i="8" l="1"/>
  <c r="X1270" i="8"/>
  <c r="V1270" i="8"/>
  <c r="Y1270" i="8"/>
  <c r="W1270" i="8"/>
  <c r="P5" i="1" l="1"/>
  <c r="P6" i="1"/>
  <c r="P7" i="1"/>
  <c r="P8" i="1"/>
  <c r="P9" i="1"/>
  <c r="P10" i="1"/>
  <c r="P11" i="1"/>
  <c r="P12" i="1"/>
  <c r="P13" i="1"/>
  <c r="P14" i="1"/>
  <c r="P15" i="1"/>
  <c r="P16" i="1"/>
  <c r="P17" i="1"/>
  <c r="P18" i="1"/>
  <c r="P19" i="1"/>
  <c r="P20" i="1"/>
  <c r="P21" i="1"/>
  <c r="P22" i="1"/>
  <c r="P23" i="1"/>
  <c r="P24" i="1"/>
  <c r="P25" i="1"/>
  <c r="P26" i="1"/>
  <c r="P27" i="1"/>
  <c r="P28" i="1"/>
  <c r="P29" i="1"/>
  <c r="P30" i="1"/>
  <c r="P31" i="1"/>
  <c r="P32" i="1"/>
  <c r="P33" i="1"/>
  <c r="P34" i="1"/>
  <c r="P35" i="1"/>
  <c r="P36" i="1"/>
  <c r="P37" i="1"/>
  <c r="P38" i="1"/>
  <c r="P39" i="1"/>
  <c r="P40" i="1"/>
  <c r="P41" i="1"/>
  <c r="P42" i="1"/>
  <c r="P43" i="1"/>
  <c r="P44" i="1"/>
  <c r="P45" i="1"/>
  <c r="P46" i="1"/>
  <c r="P47" i="1"/>
  <c r="P48" i="1"/>
  <c r="P49" i="1"/>
  <c r="P50" i="1"/>
  <c r="P51" i="1"/>
  <c r="P52" i="1"/>
  <c r="P53" i="1"/>
  <c r="P54" i="1"/>
  <c r="P55" i="1"/>
  <c r="P4" i="1"/>
  <c r="O5" i="1"/>
  <c r="O6" i="1"/>
  <c r="O7" i="1"/>
  <c r="O8" i="1"/>
  <c r="O9" i="1"/>
  <c r="O10" i="1"/>
  <c r="O11" i="1"/>
  <c r="O12" i="1"/>
  <c r="O13" i="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53" i="1"/>
  <c r="O54" i="1"/>
  <c r="O55" i="1"/>
  <c r="O4" i="1"/>
  <c r="N5" i="1"/>
  <c r="N6" i="1"/>
  <c r="N7" i="1"/>
  <c r="N8" i="1"/>
  <c r="N9" i="1"/>
  <c r="N10" i="1"/>
  <c r="N11" i="1"/>
  <c r="N12" i="1"/>
  <c r="N13" i="1"/>
  <c r="N14" i="1"/>
  <c r="N15" i="1"/>
  <c r="N16" i="1"/>
  <c r="N17" i="1"/>
  <c r="N18" i="1"/>
  <c r="N19" i="1"/>
  <c r="N20" i="1"/>
  <c r="N21" i="1"/>
  <c r="N22" i="1"/>
  <c r="N23" i="1"/>
  <c r="N24" i="1"/>
  <c r="N25" i="1"/>
  <c r="N26" i="1"/>
  <c r="N27" i="1"/>
  <c r="N28" i="1"/>
  <c r="N29" i="1"/>
  <c r="N30" i="1"/>
  <c r="N31" i="1"/>
  <c r="N32" i="1"/>
  <c r="N33" i="1"/>
  <c r="N34" i="1"/>
  <c r="N35" i="1"/>
  <c r="N36" i="1"/>
  <c r="N37" i="1"/>
  <c r="N38" i="1"/>
  <c r="N39" i="1"/>
  <c r="N40" i="1"/>
  <c r="N41" i="1"/>
  <c r="N42" i="1"/>
  <c r="N43" i="1"/>
  <c r="N44" i="1"/>
  <c r="N45" i="1"/>
  <c r="N46" i="1"/>
  <c r="N47" i="1"/>
  <c r="N48" i="1"/>
  <c r="N49" i="1"/>
  <c r="N50" i="1"/>
  <c r="N51" i="1"/>
  <c r="N52" i="1"/>
  <c r="N53" i="1"/>
  <c r="N54" i="1"/>
  <c r="N55" i="1"/>
  <c r="N4" i="1"/>
  <c r="M5" i="1"/>
  <c r="M6" i="1"/>
  <c r="M7" i="1"/>
  <c r="M8" i="1"/>
  <c r="M9" i="1"/>
  <c r="M10" i="1"/>
  <c r="M11" i="1"/>
  <c r="M12" i="1"/>
  <c r="M13" i="1"/>
  <c r="M14" i="1"/>
  <c r="M15" i="1"/>
  <c r="M16" i="1"/>
  <c r="M17" i="1"/>
  <c r="M18" i="1"/>
  <c r="M19" i="1"/>
  <c r="M20" i="1"/>
  <c r="M21" i="1"/>
  <c r="M22" i="1"/>
  <c r="M23" i="1"/>
  <c r="M24" i="1"/>
  <c r="M25" i="1"/>
  <c r="M26" i="1"/>
  <c r="M27" i="1"/>
  <c r="M28" i="1"/>
  <c r="M29" i="1"/>
  <c r="M30" i="1"/>
  <c r="M31" i="1"/>
  <c r="M32" i="1"/>
  <c r="M33" i="1"/>
  <c r="M34" i="1"/>
  <c r="M35" i="1"/>
  <c r="M36" i="1"/>
  <c r="M37" i="1"/>
  <c r="M38" i="1"/>
  <c r="M39" i="1"/>
  <c r="M40" i="1"/>
  <c r="M41" i="1"/>
  <c r="M42" i="1"/>
  <c r="M43" i="1"/>
  <c r="M44" i="1"/>
  <c r="M45" i="1"/>
  <c r="M46" i="1"/>
  <c r="M47" i="1"/>
  <c r="M48" i="1"/>
  <c r="M49" i="1"/>
  <c r="M50" i="1"/>
  <c r="M51" i="1"/>
  <c r="M52" i="1"/>
  <c r="M53" i="1"/>
  <c r="M54" i="1"/>
  <c r="M55" i="1"/>
  <c r="M4" i="1"/>
  <c r="L5" i="1"/>
  <c r="L6" i="1"/>
  <c r="L7" i="1"/>
  <c r="L8" i="1"/>
  <c r="L9" i="1"/>
  <c r="L10" i="1"/>
  <c r="L11" i="1"/>
  <c r="L12" i="1"/>
  <c r="L13" i="1"/>
  <c r="L14" i="1"/>
  <c r="L15" i="1"/>
  <c r="L16" i="1"/>
  <c r="L17" i="1"/>
  <c r="L18" i="1"/>
  <c r="L19" i="1"/>
  <c r="L20" i="1"/>
  <c r="L21" i="1"/>
  <c r="L22" i="1"/>
  <c r="L23" i="1"/>
  <c r="L24" i="1"/>
  <c r="L25" i="1"/>
  <c r="L26" i="1"/>
  <c r="L27" i="1"/>
  <c r="L28" i="1"/>
  <c r="L29" i="1"/>
  <c r="L30" i="1"/>
  <c r="L31" i="1"/>
  <c r="L32" i="1"/>
  <c r="L33" i="1"/>
  <c r="L34" i="1"/>
  <c r="L35" i="1"/>
  <c r="L36" i="1"/>
  <c r="L37" i="1"/>
  <c r="L38" i="1"/>
  <c r="L39" i="1"/>
  <c r="L40" i="1"/>
  <c r="L41" i="1"/>
  <c r="L42" i="1"/>
  <c r="L43" i="1"/>
  <c r="L44" i="1"/>
  <c r="L45" i="1"/>
  <c r="L46" i="1"/>
  <c r="L47" i="1"/>
  <c r="L48" i="1"/>
  <c r="L49" i="1"/>
  <c r="L50" i="1"/>
  <c r="L51" i="1"/>
  <c r="L52" i="1"/>
  <c r="L53" i="1"/>
  <c r="L54" i="1"/>
  <c r="L55" i="1"/>
  <c r="L4" i="1"/>
  <c r="D2" i="7" l="1"/>
  <c r="AF258" i="4" l="1"/>
  <c r="AF276" i="4"/>
  <c r="AF291" i="4"/>
  <c r="AF307" i="4"/>
  <c r="AF323" i="4"/>
  <c r="AF338" i="4"/>
  <c r="AG7" i="5"/>
  <c r="AH7" i="5"/>
  <c r="AI7" i="5"/>
  <c r="AJ7" i="5"/>
  <c r="AK7" i="5"/>
  <c r="AL7" i="5"/>
  <c r="AM7" i="5"/>
  <c r="AN7" i="5"/>
  <c r="AO7" i="5"/>
  <c r="AP7" i="5"/>
  <c r="AQ7" i="5"/>
  <c r="AR7" i="5"/>
  <c r="AS7" i="5"/>
  <c r="AT7" i="5"/>
  <c r="AU7" i="5"/>
  <c r="AV7" i="5"/>
  <c r="AW7" i="5"/>
  <c r="AF7" i="5"/>
  <c r="AF8" i="5"/>
  <c r="AF241" i="4" l="1"/>
  <c r="AF225" i="4"/>
  <c r="AF209" i="4"/>
  <c r="D209" i="4"/>
  <c r="U209" i="4"/>
  <c r="V209" i="4"/>
  <c r="W209" i="4"/>
  <c r="X209" i="4"/>
  <c r="Y209" i="4"/>
  <c r="D210" i="4"/>
  <c r="U210" i="4"/>
  <c r="V210" i="4"/>
  <c r="W210" i="4"/>
  <c r="X210" i="4"/>
  <c r="Y210" i="4"/>
  <c r="D211" i="4"/>
  <c r="U211" i="4"/>
  <c r="V211" i="4"/>
  <c r="W211" i="4"/>
  <c r="X211" i="4"/>
  <c r="Y211" i="4"/>
  <c r="D212" i="4"/>
  <c r="U212" i="4"/>
  <c r="V212" i="4"/>
  <c r="W212" i="4"/>
  <c r="X212" i="4"/>
  <c r="Y212" i="4"/>
  <c r="D213" i="4"/>
  <c r="U213" i="4"/>
  <c r="V213" i="4"/>
  <c r="W213" i="4"/>
  <c r="X213" i="4"/>
  <c r="Y213" i="4"/>
  <c r="D214" i="4"/>
  <c r="U214" i="4"/>
  <c r="V214" i="4"/>
  <c r="W214" i="4"/>
  <c r="X214" i="4"/>
  <c r="Y214" i="4"/>
  <c r="D215" i="4"/>
  <c r="U215" i="4"/>
  <c r="V215" i="4"/>
  <c r="W215" i="4"/>
  <c r="X215" i="4"/>
  <c r="Y215" i="4"/>
  <c r="D216" i="4"/>
  <c r="U216" i="4"/>
  <c r="V216" i="4"/>
  <c r="W216" i="4"/>
  <c r="X216" i="4"/>
  <c r="Y216" i="4"/>
  <c r="D217" i="4"/>
  <c r="U217" i="4"/>
  <c r="V217" i="4"/>
  <c r="W217" i="4"/>
  <c r="X217" i="4"/>
  <c r="Y217" i="4"/>
  <c r="D218" i="4"/>
  <c r="U218" i="4"/>
  <c r="V218" i="4"/>
  <c r="W218" i="4"/>
  <c r="X218" i="4"/>
  <c r="Y218" i="4"/>
  <c r="D219" i="4"/>
  <c r="U219" i="4"/>
  <c r="V219" i="4"/>
  <c r="W219" i="4"/>
  <c r="X219" i="4"/>
  <c r="Y219" i="4"/>
  <c r="D220" i="4"/>
  <c r="U220" i="4"/>
  <c r="V220" i="4"/>
  <c r="W220" i="4"/>
  <c r="X220" i="4"/>
  <c r="Y220" i="4"/>
  <c r="D221" i="4"/>
  <c r="U221" i="4"/>
  <c r="V221" i="4"/>
  <c r="W221" i="4"/>
  <c r="X221" i="4"/>
  <c r="Y221" i="4"/>
  <c r="D222" i="4"/>
  <c r="U222" i="4"/>
  <c r="V222" i="4"/>
  <c r="W222" i="4"/>
  <c r="X222" i="4"/>
  <c r="Y222" i="4"/>
  <c r="D223" i="4"/>
  <c r="U223" i="4"/>
  <c r="V223" i="4"/>
  <c r="W223" i="4"/>
  <c r="X223" i="4"/>
  <c r="Y223" i="4"/>
  <c r="D224" i="4"/>
  <c r="U224" i="4"/>
  <c r="V224" i="4"/>
  <c r="W224" i="4"/>
  <c r="X224" i="4"/>
  <c r="Y224" i="4"/>
  <c r="AF193" i="4"/>
  <c r="AF178" i="4"/>
  <c r="AF146" i="4"/>
  <c r="AF162" i="4"/>
  <c r="AF130" i="4"/>
  <c r="AF114" i="4"/>
  <c r="AF100" i="4"/>
  <c r="AF85" i="4"/>
  <c r="AF37" i="4"/>
  <c r="AF53" i="4"/>
  <c r="AF69" i="4"/>
  <c r="AF21" i="4"/>
  <c r="AF5" i="4"/>
  <c r="S831" i="4"/>
  <c r="R831" i="4"/>
  <c r="Q831" i="4"/>
  <c r="P831" i="4"/>
  <c r="O831" i="4"/>
  <c r="N831" i="4"/>
  <c r="M831" i="4"/>
  <c r="L831" i="4"/>
  <c r="K831" i="4"/>
  <c r="J831" i="4"/>
  <c r="H831" i="4"/>
  <c r="G831" i="4"/>
  <c r="F831" i="4"/>
  <c r="E831" i="4"/>
  <c r="Y830" i="4"/>
  <c r="X830" i="4"/>
  <c r="W830" i="4"/>
  <c r="V830" i="4"/>
  <c r="U830" i="4"/>
  <c r="D830" i="4"/>
  <c r="Y829" i="4"/>
  <c r="X829" i="4"/>
  <c r="W829" i="4"/>
  <c r="V829" i="4"/>
  <c r="U829" i="4"/>
  <c r="D829" i="4"/>
  <c r="Y828" i="4"/>
  <c r="X828" i="4"/>
  <c r="W828" i="4"/>
  <c r="V828" i="4"/>
  <c r="U828" i="4"/>
  <c r="D828" i="4"/>
  <c r="D827" i="4"/>
  <c r="Y826" i="4"/>
  <c r="X826" i="4"/>
  <c r="W826" i="4"/>
  <c r="V826" i="4"/>
  <c r="U826" i="4"/>
  <c r="D826" i="4"/>
  <c r="Y825" i="4"/>
  <c r="X825" i="4"/>
  <c r="W825" i="4"/>
  <c r="V825" i="4"/>
  <c r="U825" i="4"/>
  <c r="D825" i="4"/>
  <c r="Y824" i="4"/>
  <c r="X824" i="4"/>
  <c r="W824" i="4"/>
  <c r="V824" i="4"/>
  <c r="U824" i="4"/>
  <c r="D824" i="4"/>
  <c r="Y823" i="4"/>
  <c r="X823" i="4"/>
  <c r="W823" i="4"/>
  <c r="V823" i="4"/>
  <c r="U823" i="4"/>
  <c r="D823" i="4"/>
  <c r="AJ822" i="4"/>
  <c r="AI822" i="4"/>
  <c r="Y822" i="4"/>
  <c r="X822" i="4"/>
  <c r="W822" i="4"/>
  <c r="V822" i="4"/>
  <c r="U822" i="4"/>
  <c r="D822" i="4"/>
  <c r="Y821" i="4"/>
  <c r="X821" i="4"/>
  <c r="W821" i="4"/>
  <c r="V821" i="4"/>
  <c r="U821" i="4"/>
  <c r="D821" i="4"/>
  <c r="Y820" i="4"/>
  <c r="X820" i="4"/>
  <c r="W820" i="4"/>
  <c r="V820" i="4"/>
  <c r="U820" i="4"/>
  <c r="D820" i="4"/>
  <c r="Y819" i="4"/>
  <c r="X819" i="4"/>
  <c r="W819" i="4"/>
  <c r="V819" i="4"/>
  <c r="U819" i="4"/>
  <c r="D819" i="4"/>
  <c r="Y818" i="4"/>
  <c r="X818" i="4"/>
  <c r="W818" i="4"/>
  <c r="V818" i="4"/>
  <c r="U818" i="4"/>
  <c r="D818" i="4"/>
  <c r="X817" i="4"/>
  <c r="D817" i="4"/>
  <c r="Y816" i="4"/>
  <c r="X816" i="4"/>
  <c r="W816" i="4"/>
  <c r="V816" i="4"/>
  <c r="U816" i="4"/>
  <c r="D816" i="4"/>
  <c r="AJ815" i="4"/>
  <c r="AI815" i="4"/>
  <c r="D815" i="4"/>
  <c r="AJ814" i="4"/>
  <c r="AI814" i="4"/>
  <c r="Y814" i="4"/>
  <c r="X814" i="4"/>
  <c r="W814" i="4"/>
  <c r="V814" i="4"/>
  <c r="U814" i="4"/>
  <c r="D814" i="4"/>
  <c r="AJ813" i="4"/>
  <c r="AI813" i="4"/>
  <c r="Y813" i="4"/>
  <c r="X813" i="4"/>
  <c r="W813" i="4"/>
  <c r="V813" i="4"/>
  <c r="U813" i="4"/>
  <c r="D813" i="4"/>
  <c r="AJ812" i="4"/>
  <c r="AI812" i="4"/>
  <c r="Y812" i="4"/>
  <c r="X812" i="4"/>
  <c r="W812" i="4"/>
  <c r="V812" i="4"/>
  <c r="U812" i="4"/>
  <c r="D812" i="4"/>
  <c r="AJ811" i="4"/>
  <c r="AI811" i="4"/>
  <c r="D811" i="4"/>
  <c r="AJ810" i="4"/>
  <c r="AI810" i="4"/>
  <c r="Y810" i="4"/>
  <c r="X810" i="4"/>
  <c r="W810" i="4"/>
  <c r="V810" i="4"/>
  <c r="U810" i="4"/>
  <c r="D810" i="4"/>
  <c r="AJ809" i="4"/>
  <c r="AI809" i="4"/>
  <c r="Y809" i="4"/>
  <c r="X809" i="4"/>
  <c r="W809" i="4"/>
  <c r="V809" i="4"/>
  <c r="U809" i="4"/>
  <c r="D809" i="4"/>
  <c r="AJ808" i="4"/>
  <c r="AI808" i="4"/>
  <c r="Y808" i="4"/>
  <c r="X808" i="4"/>
  <c r="W808" i="4"/>
  <c r="V808" i="4"/>
  <c r="U808" i="4"/>
  <c r="D808" i="4"/>
  <c r="Y807" i="4"/>
  <c r="X807" i="4"/>
  <c r="W807" i="4"/>
  <c r="V807" i="4"/>
  <c r="U807" i="4"/>
  <c r="D807" i="4"/>
  <c r="Y806" i="4"/>
  <c r="X806" i="4"/>
  <c r="W806" i="4"/>
  <c r="V806" i="4"/>
  <c r="U806" i="4"/>
  <c r="D806" i="4"/>
  <c r="Y805" i="4"/>
  <c r="X805" i="4"/>
  <c r="W805" i="4"/>
  <c r="V805" i="4"/>
  <c r="U805" i="4"/>
  <c r="D805" i="4"/>
  <c r="Y804" i="4"/>
  <c r="X804" i="4"/>
  <c r="W804" i="4"/>
  <c r="V804" i="4"/>
  <c r="U804" i="4"/>
  <c r="D804" i="4"/>
  <c r="Y803" i="4"/>
  <c r="X803" i="4"/>
  <c r="W803" i="4"/>
  <c r="V803" i="4"/>
  <c r="U803" i="4"/>
  <c r="D803" i="4"/>
  <c r="X802" i="4"/>
  <c r="D802" i="4"/>
  <c r="Y801" i="4"/>
  <c r="X801" i="4"/>
  <c r="W801" i="4"/>
  <c r="V801" i="4"/>
  <c r="U801" i="4"/>
  <c r="D801" i="4"/>
  <c r="AJ800" i="4"/>
  <c r="AI800" i="4"/>
  <c r="D800" i="4"/>
  <c r="AJ799" i="4"/>
  <c r="AI799" i="4"/>
  <c r="Y799" i="4"/>
  <c r="X799" i="4"/>
  <c r="W799" i="4"/>
  <c r="V799" i="4"/>
  <c r="U799" i="4"/>
  <c r="D799" i="4"/>
  <c r="AJ798" i="4"/>
  <c r="AI798" i="4"/>
  <c r="D798" i="4"/>
  <c r="AJ797" i="4"/>
  <c r="AI797" i="4"/>
  <c r="Y797" i="4"/>
  <c r="X797" i="4"/>
  <c r="W797" i="4"/>
  <c r="V797" i="4"/>
  <c r="U797" i="4"/>
  <c r="D797" i="4"/>
  <c r="AJ796" i="4"/>
  <c r="AI796" i="4"/>
  <c r="Y796" i="4"/>
  <c r="X796" i="4"/>
  <c r="W796" i="4"/>
  <c r="V796" i="4"/>
  <c r="U796" i="4"/>
  <c r="D796" i="4"/>
  <c r="AJ795" i="4"/>
  <c r="AI795" i="4"/>
  <c r="Y795" i="4"/>
  <c r="X795" i="4"/>
  <c r="W795" i="4"/>
  <c r="V795" i="4"/>
  <c r="U795" i="4"/>
  <c r="D795" i="4"/>
  <c r="AJ794" i="4"/>
  <c r="AI794" i="4"/>
  <c r="Y794" i="4"/>
  <c r="X794" i="4"/>
  <c r="W794" i="4"/>
  <c r="V794" i="4"/>
  <c r="U794" i="4"/>
  <c r="D794" i="4"/>
  <c r="AJ793" i="4"/>
  <c r="AI793" i="4"/>
  <c r="Y793" i="4"/>
  <c r="X793" i="4"/>
  <c r="W793" i="4"/>
  <c r="V793" i="4"/>
  <c r="U793" i="4"/>
  <c r="D793" i="4"/>
  <c r="AJ792" i="4"/>
  <c r="AI792" i="4"/>
  <c r="Y792" i="4"/>
  <c r="X792" i="4"/>
  <c r="W792" i="4"/>
  <c r="V792" i="4"/>
  <c r="U792" i="4"/>
  <c r="D792" i="4"/>
  <c r="Y791" i="4"/>
  <c r="X791" i="4"/>
  <c r="W791" i="4"/>
  <c r="V791" i="4"/>
  <c r="U791" i="4"/>
  <c r="D791" i="4"/>
  <c r="Y790" i="4"/>
  <c r="X790" i="4"/>
  <c r="W790" i="4"/>
  <c r="V790" i="4"/>
  <c r="U790" i="4"/>
  <c r="D790" i="4"/>
  <c r="Y789" i="4"/>
  <c r="X789" i="4"/>
  <c r="W789" i="4"/>
  <c r="V789" i="4"/>
  <c r="U789" i="4"/>
  <c r="D789" i="4"/>
  <c r="Y788" i="4"/>
  <c r="X788" i="4"/>
  <c r="W788" i="4"/>
  <c r="V788" i="4"/>
  <c r="U788" i="4"/>
  <c r="D788" i="4"/>
  <c r="Y787" i="4"/>
  <c r="X787" i="4"/>
  <c r="W787" i="4"/>
  <c r="V787" i="4"/>
  <c r="U787" i="4"/>
  <c r="D787" i="4"/>
  <c r="X786" i="4"/>
  <c r="D786" i="4"/>
  <c r="Y785" i="4"/>
  <c r="X785" i="4"/>
  <c r="W785" i="4"/>
  <c r="V785" i="4"/>
  <c r="U785" i="4"/>
  <c r="D785" i="4"/>
  <c r="AJ784" i="4"/>
  <c r="AI784" i="4"/>
  <c r="D784" i="4"/>
  <c r="AJ783" i="4"/>
  <c r="AI783" i="4"/>
  <c r="Y783" i="4"/>
  <c r="X783" i="4"/>
  <c r="W783" i="4"/>
  <c r="V783" i="4"/>
  <c r="U783" i="4"/>
  <c r="D783" i="4"/>
  <c r="AJ782" i="4"/>
  <c r="AI782" i="4"/>
  <c r="D782" i="4"/>
  <c r="AJ781" i="4"/>
  <c r="AI781" i="4"/>
  <c r="Y781" i="4"/>
  <c r="X781" i="4"/>
  <c r="W781" i="4"/>
  <c r="V781" i="4"/>
  <c r="U781" i="4"/>
  <c r="D781" i="4"/>
  <c r="AJ780" i="4"/>
  <c r="AI780" i="4"/>
  <c r="Y780" i="4"/>
  <c r="X780" i="4"/>
  <c r="W780" i="4"/>
  <c r="V780" i="4"/>
  <c r="U780" i="4"/>
  <c r="D780" i="4"/>
  <c r="AJ779" i="4"/>
  <c r="AI779" i="4"/>
  <c r="Y779" i="4"/>
  <c r="X779" i="4"/>
  <c r="W779" i="4"/>
  <c r="V779" i="4"/>
  <c r="U779" i="4"/>
  <c r="D779" i="4"/>
  <c r="AJ778" i="4"/>
  <c r="AI778" i="4"/>
  <c r="Y778" i="4"/>
  <c r="X778" i="4"/>
  <c r="W778" i="4"/>
  <c r="V778" i="4"/>
  <c r="U778" i="4"/>
  <c r="D778" i="4"/>
  <c r="AJ777" i="4"/>
  <c r="AI777" i="4"/>
  <c r="Y777" i="4"/>
  <c r="X777" i="4"/>
  <c r="W777" i="4"/>
  <c r="V777" i="4"/>
  <c r="U777" i="4"/>
  <c r="D777" i="4"/>
  <c r="AJ776" i="4"/>
  <c r="AI776" i="4"/>
  <c r="Y776" i="4"/>
  <c r="X776" i="4"/>
  <c r="W776" i="4"/>
  <c r="V776" i="4"/>
  <c r="U776" i="4"/>
  <c r="D776" i="4"/>
  <c r="Y775" i="4"/>
  <c r="X775" i="4"/>
  <c r="W775" i="4"/>
  <c r="V775" i="4"/>
  <c r="U775" i="4"/>
  <c r="D775" i="4"/>
  <c r="Y774" i="4"/>
  <c r="X774" i="4"/>
  <c r="W774" i="4"/>
  <c r="V774" i="4"/>
  <c r="U774" i="4"/>
  <c r="D774" i="4"/>
  <c r="Y773" i="4"/>
  <c r="X773" i="4"/>
  <c r="W773" i="4"/>
  <c r="V773" i="4"/>
  <c r="U773" i="4"/>
  <c r="D773" i="4"/>
  <c r="Y772" i="4"/>
  <c r="X772" i="4"/>
  <c r="W772" i="4"/>
  <c r="V772" i="4"/>
  <c r="U772" i="4"/>
  <c r="D772" i="4"/>
  <c r="Y771" i="4"/>
  <c r="X771" i="4"/>
  <c r="W771" i="4"/>
  <c r="V771" i="4"/>
  <c r="U771" i="4"/>
  <c r="D771" i="4"/>
  <c r="X770" i="4"/>
  <c r="D770" i="4"/>
  <c r="Y769" i="4"/>
  <c r="X769" i="4"/>
  <c r="W769" i="4"/>
  <c r="V769" i="4"/>
  <c r="U769" i="4"/>
  <c r="D769" i="4"/>
  <c r="AJ768" i="4"/>
  <c r="AI768" i="4"/>
  <c r="D768" i="4"/>
  <c r="AJ767" i="4"/>
  <c r="AI767" i="4"/>
  <c r="Y767" i="4"/>
  <c r="X767" i="4"/>
  <c r="W767" i="4"/>
  <c r="V767" i="4"/>
  <c r="U767" i="4"/>
  <c r="D767" i="4"/>
  <c r="AJ766" i="4"/>
  <c r="AI766" i="4"/>
  <c r="D766" i="4"/>
  <c r="AJ765" i="4"/>
  <c r="AI765" i="4"/>
  <c r="Y765" i="4"/>
  <c r="X765" i="4"/>
  <c r="W765" i="4"/>
  <c r="V765" i="4"/>
  <c r="U765" i="4"/>
  <c r="D765" i="4"/>
  <c r="AJ764" i="4"/>
  <c r="AI764" i="4"/>
  <c r="Y764" i="4"/>
  <c r="X764" i="4"/>
  <c r="W764" i="4"/>
  <c r="V764" i="4"/>
  <c r="U764" i="4"/>
  <c r="D764" i="4"/>
  <c r="AJ763" i="4"/>
  <c r="AI763" i="4"/>
  <c r="Y763" i="4"/>
  <c r="X763" i="4"/>
  <c r="W763" i="4"/>
  <c r="V763" i="4"/>
  <c r="U763" i="4"/>
  <c r="D763" i="4"/>
  <c r="AJ762" i="4"/>
  <c r="AI762" i="4"/>
  <c r="Y762" i="4"/>
  <c r="X762" i="4"/>
  <c r="W762" i="4"/>
  <c r="V762" i="4"/>
  <c r="U762" i="4"/>
  <c r="D762" i="4"/>
  <c r="AJ761" i="4"/>
  <c r="AI761" i="4"/>
  <c r="Y761" i="4"/>
  <c r="X761" i="4"/>
  <c r="W761" i="4"/>
  <c r="V761" i="4"/>
  <c r="U761" i="4"/>
  <c r="D761" i="4"/>
  <c r="AJ760" i="4"/>
  <c r="AI760" i="4"/>
  <c r="Y760" i="4"/>
  <c r="X760" i="4"/>
  <c r="W760" i="4"/>
  <c r="V760" i="4"/>
  <c r="U760" i="4"/>
  <c r="D760" i="4"/>
  <c r="Y759" i="4"/>
  <c r="X759" i="4"/>
  <c r="W759" i="4"/>
  <c r="V759" i="4"/>
  <c r="U759" i="4"/>
  <c r="D759" i="4"/>
  <c r="Y758" i="4"/>
  <c r="X758" i="4"/>
  <c r="W758" i="4"/>
  <c r="V758" i="4"/>
  <c r="U758" i="4"/>
  <c r="D758" i="4"/>
  <c r="Y757" i="4"/>
  <c r="X757" i="4"/>
  <c r="W757" i="4"/>
  <c r="V757" i="4"/>
  <c r="U757" i="4"/>
  <c r="D757" i="4"/>
  <c r="Y756" i="4"/>
  <c r="X756" i="4"/>
  <c r="W756" i="4"/>
  <c r="V756" i="4"/>
  <c r="U756" i="4"/>
  <c r="D756" i="4"/>
  <c r="Y755" i="4"/>
  <c r="X755" i="4"/>
  <c r="W755" i="4"/>
  <c r="V755" i="4"/>
  <c r="U755" i="4"/>
  <c r="D755" i="4"/>
  <c r="X754" i="4"/>
  <c r="D754" i="4"/>
  <c r="AJ753" i="4"/>
  <c r="AI753" i="4"/>
  <c r="D753" i="4"/>
  <c r="AJ752" i="4"/>
  <c r="AI752" i="4"/>
  <c r="Y752" i="4"/>
  <c r="X752" i="4"/>
  <c r="W752" i="4"/>
  <c r="V752" i="4"/>
  <c r="U752" i="4"/>
  <c r="D752" i="4"/>
  <c r="AJ751" i="4"/>
  <c r="AI751" i="4"/>
  <c r="D751" i="4"/>
  <c r="AJ750" i="4"/>
  <c r="AI750" i="4"/>
  <c r="Y750" i="4"/>
  <c r="X750" i="4"/>
  <c r="W750" i="4"/>
  <c r="V750" i="4"/>
  <c r="U750" i="4"/>
  <c r="D750" i="4"/>
  <c r="AJ749" i="4"/>
  <c r="AI749" i="4"/>
  <c r="Y749" i="4"/>
  <c r="X749" i="4"/>
  <c r="W749" i="4"/>
  <c r="V749" i="4"/>
  <c r="U749" i="4"/>
  <c r="D749" i="4"/>
  <c r="AJ748" i="4"/>
  <c r="AI748" i="4"/>
  <c r="Y748" i="4"/>
  <c r="X748" i="4"/>
  <c r="W748" i="4"/>
  <c r="V748" i="4"/>
  <c r="U748" i="4"/>
  <c r="D748" i="4"/>
  <c r="AJ747" i="4"/>
  <c r="AI747" i="4"/>
  <c r="Y747" i="4"/>
  <c r="X747" i="4"/>
  <c r="W747" i="4"/>
  <c r="V747" i="4"/>
  <c r="U747" i="4"/>
  <c r="D747" i="4"/>
  <c r="AJ746" i="4"/>
  <c r="AI746" i="4"/>
  <c r="Y746" i="4"/>
  <c r="X746" i="4"/>
  <c r="W746" i="4"/>
  <c r="V746" i="4"/>
  <c r="U746" i="4"/>
  <c r="D746" i="4"/>
  <c r="AJ745" i="4"/>
  <c r="AI745" i="4"/>
  <c r="Y745" i="4"/>
  <c r="X745" i="4"/>
  <c r="W745" i="4"/>
  <c r="V745" i="4"/>
  <c r="U745" i="4"/>
  <c r="D745" i="4"/>
  <c r="Y744" i="4"/>
  <c r="X744" i="4"/>
  <c r="W744" i="4"/>
  <c r="V744" i="4"/>
  <c r="U744" i="4"/>
  <c r="D744" i="4"/>
  <c r="Y743" i="4"/>
  <c r="X743" i="4"/>
  <c r="W743" i="4"/>
  <c r="V743" i="4"/>
  <c r="U743" i="4"/>
  <c r="D743" i="4"/>
  <c r="Y742" i="4"/>
  <c r="X742" i="4"/>
  <c r="W742" i="4"/>
  <c r="V742" i="4"/>
  <c r="U742" i="4"/>
  <c r="D742" i="4"/>
  <c r="Y741" i="4"/>
  <c r="X741" i="4"/>
  <c r="W741" i="4"/>
  <c r="V741" i="4"/>
  <c r="U741" i="4"/>
  <c r="D741" i="4"/>
  <c r="Y740" i="4"/>
  <c r="X740" i="4"/>
  <c r="W740" i="4"/>
  <c r="V740" i="4"/>
  <c r="U740" i="4"/>
  <c r="D740" i="4"/>
  <c r="Y739" i="4"/>
  <c r="X739" i="4"/>
  <c r="W739" i="4"/>
  <c r="V739" i="4"/>
  <c r="U739" i="4"/>
  <c r="D739" i="4"/>
  <c r="X738" i="4"/>
  <c r="D738" i="4"/>
  <c r="AJ737" i="4"/>
  <c r="AI737" i="4"/>
  <c r="D737" i="4"/>
  <c r="AJ736" i="4"/>
  <c r="AI736" i="4"/>
  <c r="Y736" i="4"/>
  <c r="X736" i="4"/>
  <c r="W736" i="4"/>
  <c r="V736" i="4"/>
  <c r="U736" i="4"/>
  <c r="D736" i="4"/>
  <c r="AJ735" i="4"/>
  <c r="AI735" i="4"/>
  <c r="D735" i="4"/>
  <c r="AJ734" i="4"/>
  <c r="AI734" i="4"/>
  <c r="Y734" i="4"/>
  <c r="X734" i="4"/>
  <c r="W734" i="4"/>
  <c r="V734" i="4"/>
  <c r="U734" i="4"/>
  <c r="D734" i="4"/>
  <c r="AJ733" i="4"/>
  <c r="AI733" i="4"/>
  <c r="Y733" i="4"/>
  <c r="X733" i="4"/>
  <c r="W733" i="4"/>
  <c r="V733" i="4"/>
  <c r="U733" i="4"/>
  <c r="D733" i="4"/>
  <c r="AJ732" i="4"/>
  <c r="AI732" i="4"/>
  <c r="Y732" i="4"/>
  <c r="X732" i="4"/>
  <c r="W732" i="4"/>
  <c r="V732" i="4"/>
  <c r="U732" i="4"/>
  <c r="D732" i="4"/>
  <c r="AJ731" i="4"/>
  <c r="AI731" i="4"/>
  <c r="Y731" i="4"/>
  <c r="X731" i="4"/>
  <c r="W731" i="4"/>
  <c r="V731" i="4"/>
  <c r="U731" i="4"/>
  <c r="D731" i="4"/>
  <c r="AJ730" i="4"/>
  <c r="AI730" i="4"/>
  <c r="Y730" i="4"/>
  <c r="X730" i="4"/>
  <c r="W730" i="4"/>
  <c r="V730" i="4"/>
  <c r="U730" i="4"/>
  <c r="D730" i="4"/>
  <c r="AJ729" i="4"/>
  <c r="AI729" i="4"/>
  <c r="Y729" i="4"/>
  <c r="X729" i="4"/>
  <c r="W729" i="4"/>
  <c r="V729" i="4"/>
  <c r="U729" i="4"/>
  <c r="D729" i="4"/>
  <c r="Y728" i="4"/>
  <c r="X728" i="4"/>
  <c r="W728" i="4"/>
  <c r="V728" i="4"/>
  <c r="U728" i="4"/>
  <c r="D728" i="4"/>
  <c r="Y727" i="4"/>
  <c r="X727" i="4"/>
  <c r="W727" i="4"/>
  <c r="V727" i="4"/>
  <c r="U727" i="4"/>
  <c r="D727" i="4"/>
  <c r="Y726" i="4"/>
  <c r="X726" i="4"/>
  <c r="W726" i="4"/>
  <c r="V726" i="4"/>
  <c r="U726" i="4"/>
  <c r="D726" i="4"/>
  <c r="Y725" i="4"/>
  <c r="X725" i="4"/>
  <c r="W725" i="4"/>
  <c r="V725" i="4"/>
  <c r="U725" i="4"/>
  <c r="D725" i="4"/>
  <c r="Y724" i="4"/>
  <c r="X724" i="4"/>
  <c r="W724" i="4"/>
  <c r="V724" i="4"/>
  <c r="U724" i="4"/>
  <c r="D724" i="4"/>
  <c r="X723" i="4"/>
  <c r="D723" i="4"/>
  <c r="Y722" i="4"/>
  <c r="X722" i="4"/>
  <c r="W722" i="4"/>
  <c r="V722" i="4"/>
  <c r="U722" i="4"/>
  <c r="D722" i="4"/>
  <c r="AJ721" i="4"/>
  <c r="AI721" i="4"/>
  <c r="D721" i="4"/>
  <c r="AJ720" i="4"/>
  <c r="AI720" i="4"/>
  <c r="Y720" i="4"/>
  <c r="X720" i="4"/>
  <c r="W720" i="4"/>
  <c r="V720" i="4"/>
  <c r="U720" i="4"/>
  <c r="D720" i="4"/>
  <c r="AJ719" i="4"/>
  <c r="AI719" i="4"/>
  <c r="D719" i="4"/>
  <c r="AJ718" i="4"/>
  <c r="AI718" i="4"/>
  <c r="Y718" i="4"/>
  <c r="X718" i="4"/>
  <c r="W718" i="4"/>
  <c r="V718" i="4"/>
  <c r="U718" i="4"/>
  <c r="D718" i="4"/>
  <c r="AJ717" i="4"/>
  <c r="AI717" i="4"/>
  <c r="Y717" i="4"/>
  <c r="X717" i="4"/>
  <c r="W717" i="4"/>
  <c r="V717" i="4"/>
  <c r="U717" i="4"/>
  <c r="D717" i="4"/>
  <c r="AJ716" i="4"/>
  <c r="AI716" i="4"/>
  <c r="Y716" i="4"/>
  <c r="X716" i="4"/>
  <c r="W716" i="4"/>
  <c r="V716" i="4"/>
  <c r="U716" i="4"/>
  <c r="D716" i="4"/>
  <c r="AJ715" i="4"/>
  <c r="AI715" i="4"/>
  <c r="Y715" i="4"/>
  <c r="X715" i="4"/>
  <c r="W715" i="4"/>
  <c r="V715" i="4"/>
  <c r="U715" i="4"/>
  <c r="D715" i="4"/>
  <c r="AJ714" i="4"/>
  <c r="AI714" i="4"/>
  <c r="Y714" i="4"/>
  <c r="X714" i="4"/>
  <c r="W714" i="4"/>
  <c r="V714" i="4"/>
  <c r="U714" i="4"/>
  <c r="D714" i="4"/>
  <c r="AJ713" i="4"/>
  <c r="AI713" i="4"/>
  <c r="Y713" i="4"/>
  <c r="X713" i="4"/>
  <c r="W713" i="4"/>
  <c r="V713" i="4"/>
  <c r="U713" i="4"/>
  <c r="D713" i="4"/>
  <c r="Y712" i="4"/>
  <c r="X712" i="4"/>
  <c r="W712" i="4"/>
  <c r="V712" i="4"/>
  <c r="U712" i="4"/>
  <c r="D712" i="4"/>
  <c r="Y711" i="4"/>
  <c r="X711" i="4"/>
  <c r="W711" i="4"/>
  <c r="V711" i="4"/>
  <c r="U711" i="4"/>
  <c r="Y710" i="4"/>
  <c r="X710" i="4"/>
  <c r="W710" i="4"/>
  <c r="V710" i="4"/>
  <c r="U710" i="4"/>
  <c r="D710" i="4"/>
  <c r="Y709" i="4"/>
  <c r="X709" i="4"/>
  <c r="W709" i="4"/>
  <c r="V709" i="4"/>
  <c r="U709" i="4"/>
  <c r="D709" i="4"/>
  <c r="Y708" i="4"/>
  <c r="X708" i="4"/>
  <c r="W708" i="4"/>
  <c r="V708" i="4"/>
  <c r="U708" i="4"/>
  <c r="D708" i="4"/>
  <c r="Y707" i="4"/>
  <c r="X707" i="4"/>
  <c r="W707" i="4"/>
  <c r="V707" i="4"/>
  <c r="U707" i="4"/>
  <c r="D707" i="4"/>
  <c r="X706" i="4"/>
  <c r="D706" i="4"/>
  <c r="AJ705" i="4"/>
  <c r="AI705" i="4"/>
  <c r="D705" i="4"/>
  <c r="AJ704" i="4"/>
  <c r="AI704" i="4"/>
  <c r="Y704" i="4"/>
  <c r="X704" i="4"/>
  <c r="W704" i="4"/>
  <c r="V704" i="4"/>
  <c r="U704" i="4"/>
  <c r="D704" i="4"/>
  <c r="AJ703" i="4"/>
  <c r="AI703" i="4"/>
  <c r="D703" i="4"/>
  <c r="AJ702" i="4"/>
  <c r="AI702" i="4"/>
  <c r="Y702" i="4"/>
  <c r="X702" i="4"/>
  <c r="W702" i="4"/>
  <c r="V702" i="4"/>
  <c r="U702" i="4"/>
  <c r="D702" i="4"/>
  <c r="AJ701" i="4"/>
  <c r="AI701" i="4"/>
  <c r="Y701" i="4"/>
  <c r="X701" i="4"/>
  <c r="W701" i="4"/>
  <c r="V701" i="4"/>
  <c r="U701" i="4"/>
  <c r="D701" i="4"/>
  <c r="AJ700" i="4"/>
  <c r="AI700" i="4"/>
  <c r="Y700" i="4"/>
  <c r="X700" i="4"/>
  <c r="W700" i="4"/>
  <c r="V700" i="4"/>
  <c r="U700" i="4"/>
  <c r="D700" i="4"/>
  <c r="AJ699" i="4"/>
  <c r="AI699" i="4"/>
  <c r="Y699" i="4"/>
  <c r="X699" i="4"/>
  <c r="W699" i="4"/>
  <c r="V699" i="4"/>
  <c r="U699" i="4"/>
  <c r="D699" i="4"/>
  <c r="AJ698" i="4"/>
  <c r="AI698" i="4"/>
  <c r="Y698" i="4"/>
  <c r="X698" i="4"/>
  <c r="W698" i="4"/>
  <c r="V698" i="4"/>
  <c r="U698" i="4"/>
  <c r="D698" i="4"/>
  <c r="AJ697" i="4"/>
  <c r="AI697" i="4"/>
  <c r="Y697" i="4"/>
  <c r="X697" i="4"/>
  <c r="W697" i="4"/>
  <c r="V697" i="4"/>
  <c r="U697" i="4"/>
  <c r="D697" i="4"/>
  <c r="Y696" i="4"/>
  <c r="X696" i="4"/>
  <c r="W696" i="4"/>
  <c r="V696" i="4"/>
  <c r="U696" i="4"/>
  <c r="D696" i="4"/>
  <c r="Y695" i="4"/>
  <c r="X695" i="4"/>
  <c r="W695" i="4"/>
  <c r="V695" i="4"/>
  <c r="U695" i="4"/>
  <c r="D695" i="4"/>
  <c r="Y694" i="4"/>
  <c r="X694" i="4"/>
  <c r="W694" i="4"/>
  <c r="V694" i="4"/>
  <c r="U694" i="4"/>
  <c r="D694" i="4"/>
  <c r="Y693" i="4"/>
  <c r="X693" i="4"/>
  <c r="W693" i="4"/>
  <c r="V693" i="4"/>
  <c r="U693" i="4"/>
  <c r="D693" i="4"/>
  <c r="Y692" i="4"/>
  <c r="X692" i="4"/>
  <c r="W692" i="4"/>
  <c r="V692" i="4"/>
  <c r="U692" i="4"/>
  <c r="D692" i="4"/>
  <c r="X691" i="4"/>
  <c r="D691" i="4"/>
  <c r="AJ690" i="4"/>
  <c r="AI690" i="4"/>
  <c r="D690" i="4"/>
  <c r="AJ689" i="4"/>
  <c r="AI689" i="4"/>
  <c r="Y689" i="4"/>
  <c r="X689" i="4"/>
  <c r="W689" i="4"/>
  <c r="V689" i="4"/>
  <c r="U689" i="4"/>
  <c r="D689" i="4"/>
  <c r="AJ688" i="4"/>
  <c r="AI688" i="4"/>
  <c r="D688" i="4"/>
  <c r="AJ687" i="4"/>
  <c r="AI687" i="4"/>
  <c r="Y687" i="4"/>
  <c r="X687" i="4"/>
  <c r="W687" i="4"/>
  <c r="V687" i="4"/>
  <c r="U687" i="4"/>
  <c r="D687" i="4"/>
  <c r="AJ686" i="4"/>
  <c r="AI686" i="4"/>
  <c r="Y686" i="4"/>
  <c r="X686" i="4"/>
  <c r="W686" i="4"/>
  <c r="V686" i="4"/>
  <c r="U686" i="4"/>
  <c r="D686" i="4"/>
  <c r="AJ685" i="4"/>
  <c r="AI685" i="4"/>
  <c r="Y685" i="4"/>
  <c r="X685" i="4"/>
  <c r="W685" i="4"/>
  <c r="V685" i="4"/>
  <c r="U685" i="4"/>
  <c r="D685" i="4"/>
  <c r="AJ684" i="4"/>
  <c r="AI684" i="4"/>
  <c r="Y684" i="4"/>
  <c r="X684" i="4"/>
  <c r="W684" i="4"/>
  <c r="V684" i="4"/>
  <c r="U684" i="4"/>
  <c r="D684" i="4"/>
  <c r="AJ683" i="4"/>
  <c r="AI683" i="4"/>
  <c r="Y683" i="4"/>
  <c r="X683" i="4"/>
  <c r="W683" i="4"/>
  <c r="V683" i="4"/>
  <c r="U683" i="4"/>
  <c r="D683" i="4"/>
  <c r="AJ682" i="4"/>
  <c r="AI682" i="4"/>
  <c r="Y682" i="4"/>
  <c r="X682" i="4"/>
  <c r="W682" i="4"/>
  <c r="V682" i="4"/>
  <c r="U682" i="4"/>
  <c r="D682" i="4"/>
  <c r="Y681" i="4"/>
  <c r="X681" i="4"/>
  <c r="W681" i="4"/>
  <c r="V681" i="4"/>
  <c r="U681" i="4"/>
  <c r="D681" i="4"/>
  <c r="Y680" i="4"/>
  <c r="X680" i="4"/>
  <c r="W680" i="4"/>
  <c r="V680" i="4"/>
  <c r="U680" i="4"/>
  <c r="D680" i="4"/>
  <c r="Y679" i="4"/>
  <c r="X679" i="4"/>
  <c r="W679" i="4"/>
  <c r="V679" i="4"/>
  <c r="U679" i="4"/>
  <c r="D679" i="4"/>
  <c r="Y678" i="4"/>
  <c r="X678" i="4"/>
  <c r="W678" i="4"/>
  <c r="V678" i="4"/>
  <c r="U678" i="4"/>
  <c r="D678" i="4"/>
  <c r="Y677" i="4"/>
  <c r="X677" i="4"/>
  <c r="W677" i="4"/>
  <c r="V677" i="4"/>
  <c r="U677" i="4"/>
  <c r="D677" i="4"/>
  <c r="X676" i="4"/>
  <c r="D676" i="4"/>
  <c r="AJ675" i="4"/>
  <c r="AI675" i="4"/>
  <c r="D675" i="4"/>
  <c r="AJ674" i="4"/>
  <c r="AI674" i="4"/>
  <c r="Y674" i="4"/>
  <c r="X674" i="4"/>
  <c r="W674" i="4"/>
  <c r="V674" i="4"/>
  <c r="U674" i="4"/>
  <c r="D674" i="4"/>
  <c r="AJ673" i="4"/>
  <c r="AI673" i="4"/>
  <c r="D673" i="4"/>
  <c r="AJ672" i="4"/>
  <c r="AI672" i="4"/>
  <c r="Y672" i="4"/>
  <c r="X672" i="4"/>
  <c r="W672" i="4"/>
  <c r="V672" i="4"/>
  <c r="U672" i="4"/>
  <c r="D672" i="4"/>
  <c r="AJ671" i="4"/>
  <c r="AI671" i="4"/>
  <c r="Y671" i="4"/>
  <c r="X671" i="4"/>
  <c r="W671" i="4"/>
  <c r="V671" i="4"/>
  <c r="U671" i="4"/>
  <c r="D671" i="4"/>
  <c r="AJ670" i="4"/>
  <c r="AI670" i="4"/>
  <c r="Y670" i="4"/>
  <c r="X670" i="4"/>
  <c r="W670" i="4"/>
  <c r="V670" i="4"/>
  <c r="U670" i="4"/>
  <c r="D670" i="4"/>
  <c r="AJ669" i="4"/>
  <c r="AI669" i="4"/>
  <c r="Y669" i="4"/>
  <c r="X669" i="4"/>
  <c r="W669" i="4"/>
  <c r="V669" i="4"/>
  <c r="U669" i="4"/>
  <c r="D669" i="4"/>
  <c r="AJ668" i="4"/>
  <c r="AI668" i="4"/>
  <c r="Y668" i="4"/>
  <c r="X668" i="4"/>
  <c r="W668" i="4"/>
  <c r="V668" i="4"/>
  <c r="U668" i="4"/>
  <c r="D668" i="4"/>
  <c r="AJ667" i="4"/>
  <c r="AI667" i="4"/>
  <c r="Y667" i="4"/>
  <c r="X667" i="4"/>
  <c r="W667" i="4"/>
  <c r="V667" i="4"/>
  <c r="U667" i="4"/>
  <c r="D667" i="4"/>
  <c r="Y666" i="4"/>
  <c r="X666" i="4"/>
  <c r="W666" i="4"/>
  <c r="V666" i="4"/>
  <c r="U666" i="4"/>
  <c r="D666" i="4"/>
  <c r="AJ665" i="4"/>
  <c r="AI665" i="4"/>
  <c r="D665" i="4"/>
  <c r="Y664" i="4"/>
  <c r="X664" i="4"/>
  <c r="W664" i="4"/>
  <c r="V664" i="4"/>
  <c r="U664" i="4"/>
  <c r="D664" i="4"/>
  <c r="Y663" i="4"/>
  <c r="X663" i="4"/>
  <c r="W663" i="4"/>
  <c r="V663" i="4"/>
  <c r="U663" i="4"/>
  <c r="D663" i="4"/>
  <c r="Y662" i="4"/>
  <c r="X662" i="4"/>
  <c r="W662" i="4"/>
  <c r="V662" i="4"/>
  <c r="U662" i="4"/>
  <c r="D662" i="4"/>
  <c r="Y661" i="4"/>
  <c r="X661" i="4"/>
  <c r="W661" i="4"/>
  <c r="V661" i="4"/>
  <c r="U661" i="4"/>
  <c r="D661" i="4"/>
  <c r="X660" i="4"/>
  <c r="D660" i="4"/>
  <c r="AJ659" i="4"/>
  <c r="AI659" i="4"/>
  <c r="Y659" i="4"/>
  <c r="X659" i="4"/>
  <c r="W659" i="4"/>
  <c r="V659" i="4"/>
  <c r="U659" i="4"/>
  <c r="D659" i="4"/>
  <c r="AJ658" i="4"/>
  <c r="AI658" i="4"/>
  <c r="D658" i="4"/>
  <c r="AJ657" i="4"/>
  <c r="AI657" i="4"/>
  <c r="Y657" i="4"/>
  <c r="X657" i="4"/>
  <c r="W657" i="4"/>
  <c r="V657" i="4"/>
  <c r="U657" i="4"/>
  <c r="D657" i="4"/>
  <c r="AJ656" i="4"/>
  <c r="AI656" i="4"/>
  <c r="Y656" i="4"/>
  <c r="X656" i="4"/>
  <c r="W656" i="4"/>
  <c r="V656" i="4"/>
  <c r="U656" i="4"/>
  <c r="D656" i="4"/>
  <c r="AJ655" i="4"/>
  <c r="AI655" i="4"/>
  <c r="Y655" i="4"/>
  <c r="X655" i="4"/>
  <c r="W655" i="4"/>
  <c r="V655" i="4"/>
  <c r="U655" i="4"/>
  <c r="D655" i="4"/>
  <c r="AJ654" i="4"/>
  <c r="AI654" i="4"/>
  <c r="Y654" i="4"/>
  <c r="X654" i="4"/>
  <c r="W654" i="4"/>
  <c r="V654" i="4"/>
  <c r="U654" i="4"/>
  <c r="D654" i="4"/>
  <c r="AJ653" i="4"/>
  <c r="AI653" i="4"/>
  <c r="Y653" i="4"/>
  <c r="X653" i="4"/>
  <c r="W653" i="4"/>
  <c r="V653" i="4"/>
  <c r="U653" i="4"/>
  <c r="D653" i="4"/>
  <c r="AJ652" i="4"/>
  <c r="AI652" i="4"/>
  <c r="Y652" i="4"/>
  <c r="X652" i="4"/>
  <c r="W652" i="4"/>
  <c r="V652" i="4"/>
  <c r="U652" i="4"/>
  <c r="D652" i="4"/>
  <c r="Y651" i="4"/>
  <c r="X651" i="4"/>
  <c r="W651" i="4"/>
  <c r="V651" i="4"/>
  <c r="U651" i="4"/>
  <c r="D651" i="4"/>
  <c r="Y650" i="4"/>
  <c r="X650" i="4"/>
  <c r="W650" i="4"/>
  <c r="V650" i="4"/>
  <c r="U650" i="4"/>
  <c r="D650" i="4"/>
  <c r="Y649" i="4"/>
  <c r="X649" i="4"/>
  <c r="W649" i="4"/>
  <c r="V649" i="4"/>
  <c r="U649" i="4"/>
  <c r="D649" i="4"/>
  <c r="Y648" i="4"/>
  <c r="X648" i="4"/>
  <c r="W648" i="4"/>
  <c r="V648" i="4"/>
  <c r="U648" i="4"/>
  <c r="D648" i="4"/>
  <c r="Y647" i="4"/>
  <c r="X647" i="4"/>
  <c r="W647" i="4"/>
  <c r="V647" i="4"/>
  <c r="U647" i="4"/>
  <c r="D647" i="4"/>
  <c r="X646" i="4"/>
  <c r="D646" i="4"/>
  <c r="Y645" i="4"/>
  <c r="X645" i="4"/>
  <c r="W645" i="4"/>
  <c r="V645" i="4"/>
  <c r="U645" i="4"/>
  <c r="D645" i="4"/>
  <c r="AJ644" i="4"/>
  <c r="AI644" i="4"/>
  <c r="D644" i="4"/>
  <c r="AJ643" i="4"/>
  <c r="AI643" i="4"/>
  <c r="Y643" i="4"/>
  <c r="X643" i="4"/>
  <c r="W643" i="4"/>
  <c r="V643" i="4"/>
  <c r="U643" i="4"/>
  <c r="D643" i="4"/>
  <c r="AJ642" i="4"/>
  <c r="AI642" i="4"/>
  <c r="D642" i="4"/>
  <c r="AJ641" i="4"/>
  <c r="AI641" i="4"/>
  <c r="Y641" i="4"/>
  <c r="X641" i="4"/>
  <c r="W641" i="4"/>
  <c r="V641" i="4"/>
  <c r="U641" i="4"/>
  <c r="D641" i="4"/>
  <c r="AJ640" i="4"/>
  <c r="AI640" i="4"/>
  <c r="Y640" i="4"/>
  <c r="X640" i="4"/>
  <c r="W640" i="4"/>
  <c r="V640" i="4"/>
  <c r="U640" i="4"/>
  <c r="D640" i="4"/>
  <c r="AJ639" i="4"/>
  <c r="AI639" i="4"/>
  <c r="Y639" i="4"/>
  <c r="X639" i="4"/>
  <c r="W639" i="4"/>
  <c r="V639" i="4"/>
  <c r="U639" i="4"/>
  <c r="D639" i="4"/>
  <c r="AJ638" i="4"/>
  <c r="AI638" i="4"/>
  <c r="Y638" i="4"/>
  <c r="X638" i="4"/>
  <c r="W638" i="4"/>
  <c r="V638" i="4"/>
  <c r="U638" i="4"/>
  <c r="D638" i="4"/>
  <c r="AJ637" i="4"/>
  <c r="AI637" i="4"/>
  <c r="Y637" i="4"/>
  <c r="X637" i="4"/>
  <c r="W637" i="4"/>
  <c r="V637" i="4"/>
  <c r="U637" i="4"/>
  <c r="D637" i="4"/>
  <c r="AJ636" i="4"/>
  <c r="AI636" i="4"/>
  <c r="Y636" i="4"/>
  <c r="X636" i="4"/>
  <c r="W636" i="4"/>
  <c r="V636" i="4"/>
  <c r="U636" i="4"/>
  <c r="D636" i="4"/>
  <c r="Y635" i="4"/>
  <c r="X635" i="4"/>
  <c r="W635" i="4"/>
  <c r="V635" i="4"/>
  <c r="U635" i="4"/>
  <c r="D635" i="4"/>
  <c r="AJ634" i="4"/>
  <c r="AI634" i="4"/>
  <c r="D634" i="4"/>
  <c r="Y633" i="4"/>
  <c r="X633" i="4"/>
  <c r="W633" i="4"/>
  <c r="V633" i="4"/>
  <c r="U633" i="4"/>
  <c r="D633" i="4"/>
  <c r="AJ632" i="4"/>
  <c r="AI632" i="4"/>
  <c r="Y632" i="4"/>
  <c r="X632" i="4"/>
  <c r="W632" i="4"/>
  <c r="V632" i="4"/>
  <c r="U632" i="4"/>
  <c r="D632" i="4"/>
  <c r="AJ631" i="4"/>
  <c r="AI631" i="4"/>
  <c r="D631" i="4"/>
  <c r="AJ630" i="4"/>
  <c r="AI630" i="4"/>
  <c r="Y630" i="4"/>
  <c r="X630" i="4"/>
  <c r="W630" i="4"/>
  <c r="V630" i="4"/>
  <c r="U630" i="4"/>
  <c r="D630" i="4"/>
  <c r="Y629" i="4"/>
  <c r="X629" i="4"/>
  <c r="W629" i="4"/>
  <c r="V629" i="4"/>
  <c r="U629" i="4"/>
  <c r="D629" i="4"/>
  <c r="Y628" i="4"/>
  <c r="X628" i="4"/>
  <c r="W628" i="4"/>
  <c r="V628" i="4"/>
  <c r="U628" i="4"/>
  <c r="D628" i="4"/>
  <c r="Y627" i="4"/>
  <c r="X627" i="4"/>
  <c r="W627" i="4"/>
  <c r="V627" i="4"/>
  <c r="U627" i="4"/>
  <c r="D627" i="4"/>
  <c r="X626" i="4"/>
  <c r="D626" i="4"/>
  <c r="AJ625" i="4"/>
  <c r="AI625" i="4"/>
  <c r="Y625" i="4"/>
  <c r="X625" i="4"/>
  <c r="W625" i="4"/>
  <c r="V625" i="4"/>
  <c r="U625" i="4"/>
  <c r="D625" i="4"/>
  <c r="AJ624" i="4"/>
  <c r="AI624" i="4"/>
  <c r="Y624" i="4"/>
  <c r="X624" i="4"/>
  <c r="W624" i="4"/>
  <c r="V624" i="4"/>
  <c r="U624" i="4"/>
  <c r="D624" i="4"/>
  <c r="AJ623" i="4"/>
  <c r="AI623" i="4"/>
  <c r="Y623" i="4"/>
  <c r="X623" i="4"/>
  <c r="W623" i="4"/>
  <c r="V623" i="4"/>
  <c r="U623" i="4"/>
  <c r="D623" i="4"/>
  <c r="AJ622" i="4"/>
  <c r="AI622" i="4"/>
  <c r="Y622" i="4"/>
  <c r="X622" i="4"/>
  <c r="W622" i="4"/>
  <c r="V622" i="4"/>
  <c r="U622" i="4"/>
  <c r="D622" i="4"/>
  <c r="AJ621" i="4"/>
  <c r="AI621" i="4"/>
  <c r="Y621" i="4"/>
  <c r="X621" i="4"/>
  <c r="W621" i="4"/>
  <c r="V621" i="4"/>
  <c r="U621" i="4"/>
  <c r="D621" i="4"/>
  <c r="Y620" i="4"/>
  <c r="X620" i="4"/>
  <c r="W620" i="4"/>
  <c r="V620" i="4"/>
  <c r="U620" i="4"/>
  <c r="D620" i="4"/>
  <c r="Y619" i="4"/>
  <c r="X619" i="4"/>
  <c r="W619" i="4"/>
  <c r="V619" i="4"/>
  <c r="U619" i="4"/>
  <c r="D619" i="4"/>
  <c r="Y618" i="4"/>
  <c r="X618" i="4"/>
  <c r="W618" i="4"/>
  <c r="V618" i="4"/>
  <c r="U618" i="4"/>
  <c r="D618" i="4"/>
  <c r="AJ617" i="4"/>
  <c r="AI617" i="4"/>
  <c r="D617" i="4"/>
  <c r="AJ616" i="4"/>
  <c r="AI616" i="4"/>
  <c r="Y616" i="4"/>
  <c r="X616" i="4"/>
  <c r="W616" i="4"/>
  <c r="V616" i="4"/>
  <c r="U616" i="4"/>
  <c r="D616" i="4"/>
  <c r="AJ615" i="4"/>
  <c r="AI615" i="4"/>
  <c r="D615" i="4"/>
  <c r="Y614" i="4"/>
  <c r="X614" i="4"/>
  <c r="W614" i="4"/>
  <c r="V614" i="4"/>
  <c r="U614" i="4"/>
  <c r="D614" i="4"/>
  <c r="Y613" i="4"/>
  <c r="X613" i="4"/>
  <c r="W613" i="4"/>
  <c r="V613" i="4"/>
  <c r="U613" i="4"/>
  <c r="D613" i="4"/>
  <c r="Y612" i="4"/>
  <c r="X612" i="4"/>
  <c r="W612" i="4"/>
  <c r="V612" i="4"/>
  <c r="U612" i="4"/>
  <c r="D612" i="4"/>
  <c r="Y611" i="4"/>
  <c r="X611" i="4"/>
  <c r="W611" i="4"/>
  <c r="V611" i="4"/>
  <c r="U611" i="4"/>
  <c r="D611" i="4"/>
  <c r="X610" i="4"/>
  <c r="D610" i="4"/>
  <c r="AJ609" i="4"/>
  <c r="AI609" i="4"/>
  <c r="Y609" i="4"/>
  <c r="X609" i="4"/>
  <c r="W609" i="4"/>
  <c r="V609" i="4"/>
  <c r="U609" i="4"/>
  <c r="D609" i="4"/>
  <c r="AJ608" i="4"/>
  <c r="AI608" i="4"/>
  <c r="Y608" i="4"/>
  <c r="X608" i="4"/>
  <c r="W608" i="4"/>
  <c r="V608" i="4"/>
  <c r="U608" i="4"/>
  <c r="D608" i="4"/>
  <c r="AJ607" i="4"/>
  <c r="AI607" i="4"/>
  <c r="Y607" i="4"/>
  <c r="X607" i="4"/>
  <c r="W607" i="4"/>
  <c r="V607" i="4"/>
  <c r="U607" i="4"/>
  <c r="D607" i="4"/>
  <c r="AJ606" i="4"/>
  <c r="AI606" i="4"/>
  <c r="Y606" i="4"/>
  <c r="X606" i="4"/>
  <c r="W606" i="4"/>
  <c r="V606" i="4"/>
  <c r="U606" i="4"/>
  <c r="D606" i="4"/>
  <c r="AJ605" i="4"/>
  <c r="AI605" i="4"/>
  <c r="Y605" i="4"/>
  <c r="X605" i="4"/>
  <c r="W605" i="4"/>
  <c r="V605" i="4"/>
  <c r="U605" i="4"/>
  <c r="D605" i="4"/>
  <c r="AJ604" i="4"/>
  <c r="AI604" i="4"/>
  <c r="Y604" i="4"/>
  <c r="X604" i="4"/>
  <c r="W604" i="4"/>
  <c r="V604" i="4"/>
  <c r="U604" i="4"/>
  <c r="D604" i="4"/>
  <c r="Y603" i="4"/>
  <c r="X603" i="4"/>
  <c r="W603" i="4"/>
  <c r="V603" i="4"/>
  <c r="U603" i="4"/>
  <c r="D603" i="4"/>
  <c r="Y602" i="4"/>
  <c r="X602" i="4"/>
  <c r="W602" i="4"/>
  <c r="V602" i="4"/>
  <c r="U602" i="4"/>
  <c r="D602" i="4"/>
  <c r="AJ601" i="4"/>
  <c r="AI601" i="4"/>
  <c r="D601" i="4"/>
  <c r="Y600" i="4"/>
  <c r="X600" i="4"/>
  <c r="W600" i="4"/>
  <c r="V600" i="4"/>
  <c r="U600" i="4"/>
  <c r="D600" i="4"/>
  <c r="Y599" i="4"/>
  <c r="X599" i="4"/>
  <c r="W599" i="4"/>
  <c r="V599" i="4"/>
  <c r="U599" i="4"/>
  <c r="D599" i="4"/>
  <c r="Y598" i="4"/>
  <c r="X598" i="4"/>
  <c r="W598" i="4"/>
  <c r="V598" i="4"/>
  <c r="U598" i="4"/>
  <c r="D598" i="4"/>
  <c r="X597" i="4"/>
  <c r="D597" i="4"/>
  <c r="AJ596" i="4"/>
  <c r="AI596" i="4"/>
  <c r="Y596" i="4"/>
  <c r="X596" i="4"/>
  <c r="W596" i="4"/>
  <c r="V596" i="4"/>
  <c r="U596" i="4"/>
  <c r="D596" i="4"/>
  <c r="AJ595" i="4"/>
  <c r="AI595" i="4"/>
  <c r="D595" i="4"/>
  <c r="AJ594" i="4"/>
  <c r="AI594" i="4"/>
  <c r="Y594" i="4"/>
  <c r="X594" i="4"/>
  <c r="W594" i="4"/>
  <c r="V594" i="4"/>
  <c r="U594" i="4"/>
  <c r="D594" i="4"/>
  <c r="AJ593" i="4"/>
  <c r="AI593" i="4"/>
  <c r="Y593" i="4"/>
  <c r="X593" i="4"/>
  <c r="W593" i="4"/>
  <c r="V593" i="4"/>
  <c r="U593" i="4"/>
  <c r="D593" i="4"/>
  <c r="AJ592" i="4"/>
  <c r="AI592" i="4"/>
  <c r="Y592" i="4"/>
  <c r="X592" i="4"/>
  <c r="W592" i="4"/>
  <c r="V592" i="4"/>
  <c r="U592" i="4"/>
  <c r="D592" i="4"/>
  <c r="AJ591" i="4"/>
  <c r="AI591" i="4"/>
  <c r="Y591" i="4"/>
  <c r="X591" i="4"/>
  <c r="W591" i="4"/>
  <c r="V591" i="4"/>
  <c r="U591" i="4"/>
  <c r="D591" i="4"/>
  <c r="AJ590" i="4"/>
  <c r="AI590" i="4"/>
  <c r="Y590" i="4"/>
  <c r="X590" i="4"/>
  <c r="W590" i="4"/>
  <c r="V590" i="4"/>
  <c r="U590" i="4"/>
  <c r="D590" i="4"/>
  <c r="AJ589" i="4"/>
  <c r="AI589" i="4"/>
  <c r="Y589" i="4"/>
  <c r="X589" i="4"/>
  <c r="W589" i="4"/>
  <c r="V589" i="4"/>
  <c r="U589" i="4"/>
  <c r="D589" i="4"/>
  <c r="Y588" i="4"/>
  <c r="X588" i="4"/>
  <c r="W588" i="4"/>
  <c r="V588" i="4"/>
  <c r="U588" i="4"/>
  <c r="D588" i="4"/>
  <c r="AJ587" i="4"/>
  <c r="AI587" i="4"/>
  <c r="D587" i="4"/>
  <c r="AJ586" i="4"/>
  <c r="AI586" i="4"/>
  <c r="Y586" i="4"/>
  <c r="X586" i="4"/>
  <c r="W586" i="4"/>
  <c r="V586" i="4"/>
  <c r="U586" i="4"/>
  <c r="D586" i="4"/>
  <c r="Y585" i="4"/>
  <c r="X585" i="4"/>
  <c r="W585" i="4"/>
  <c r="V585" i="4"/>
  <c r="U585" i="4"/>
  <c r="D585" i="4"/>
  <c r="Y584" i="4"/>
  <c r="X584" i="4"/>
  <c r="W584" i="4"/>
  <c r="V584" i="4"/>
  <c r="U584" i="4"/>
  <c r="D584" i="4"/>
  <c r="Y583" i="4"/>
  <c r="X583" i="4"/>
  <c r="W583" i="4"/>
  <c r="V583" i="4"/>
  <c r="U583" i="4"/>
  <c r="D583" i="4"/>
  <c r="Y582" i="4"/>
  <c r="X582" i="4"/>
  <c r="W582" i="4"/>
  <c r="V582" i="4"/>
  <c r="U582" i="4"/>
  <c r="D582" i="4"/>
  <c r="X581" i="4"/>
  <c r="D581" i="4"/>
  <c r="AJ580" i="4"/>
  <c r="AI580" i="4"/>
  <c r="D580" i="4"/>
  <c r="AJ579" i="4"/>
  <c r="AI579" i="4"/>
  <c r="Y579" i="4"/>
  <c r="X579" i="4"/>
  <c r="W579" i="4"/>
  <c r="V579" i="4"/>
  <c r="U579" i="4"/>
  <c r="D579" i="4"/>
  <c r="AJ578" i="4"/>
  <c r="AI578" i="4"/>
  <c r="Y578" i="4"/>
  <c r="X578" i="4"/>
  <c r="W578" i="4"/>
  <c r="V578" i="4"/>
  <c r="U578" i="4"/>
  <c r="D578" i="4"/>
  <c r="AJ577" i="4"/>
  <c r="AI577" i="4"/>
  <c r="Y577" i="4"/>
  <c r="X577" i="4"/>
  <c r="W577" i="4"/>
  <c r="V577" i="4"/>
  <c r="U577" i="4"/>
  <c r="D577" i="4"/>
  <c r="AJ576" i="4"/>
  <c r="AI576" i="4"/>
  <c r="Y576" i="4"/>
  <c r="X576" i="4"/>
  <c r="W576" i="4"/>
  <c r="V576" i="4"/>
  <c r="U576" i="4"/>
  <c r="D576" i="4"/>
  <c r="AJ575" i="4"/>
  <c r="AI575" i="4"/>
  <c r="Y575" i="4"/>
  <c r="X575" i="4"/>
  <c r="W575" i="4"/>
  <c r="V575" i="4"/>
  <c r="U575" i="4"/>
  <c r="D575" i="4"/>
  <c r="AJ574" i="4"/>
  <c r="AI574" i="4"/>
  <c r="Y574" i="4"/>
  <c r="X574" i="4"/>
  <c r="W574" i="4"/>
  <c r="V574" i="4"/>
  <c r="U574" i="4"/>
  <c r="D574" i="4"/>
  <c r="Y573" i="4"/>
  <c r="X573" i="4"/>
  <c r="W573" i="4"/>
  <c r="V573" i="4"/>
  <c r="U573" i="4"/>
  <c r="D573" i="4"/>
  <c r="Y572" i="4"/>
  <c r="X572" i="4"/>
  <c r="W572" i="4"/>
  <c r="V572" i="4"/>
  <c r="U572" i="4"/>
  <c r="D572" i="4"/>
  <c r="AJ571" i="4"/>
  <c r="AI571" i="4"/>
  <c r="D571" i="4"/>
  <c r="Y570" i="4"/>
  <c r="X570" i="4"/>
  <c r="W570" i="4"/>
  <c r="V570" i="4"/>
  <c r="U570" i="4"/>
  <c r="D570" i="4"/>
  <c r="Y569" i="4"/>
  <c r="X569" i="4"/>
  <c r="W569" i="4"/>
  <c r="V569" i="4"/>
  <c r="U569" i="4"/>
  <c r="D569" i="4"/>
  <c r="Y568" i="4"/>
  <c r="X568" i="4"/>
  <c r="W568" i="4"/>
  <c r="V568" i="4"/>
  <c r="U568" i="4"/>
  <c r="D568" i="4"/>
  <c r="Y567" i="4"/>
  <c r="X567" i="4"/>
  <c r="W567" i="4"/>
  <c r="V567" i="4"/>
  <c r="U567" i="4"/>
  <c r="D567" i="4"/>
  <c r="Y566" i="4"/>
  <c r="X566" i="4"/>
  <c r="W566" i="4"/>
  <c r="V566" i="4"/>
  <c r="U566" i="4"/>
  <c r="D566" i="4"/>
  <c r="X565" i="4"/>
  <c r="D565" i="4"/>
  <c r="AJ564" i="4"/>
  <c r="AI564" i="4"/>
  <c r="Y564" i="4"/>
  <c r="X564" i="4"/>
  <c r="W564" i="4"/>
  <c r="V564" i="4"/>
  <c r="U564" i="4"/>
  <c r="D564" i="4"/>
  <c r="AJ563" i="4"/>
  <c r="AI563" i="4"/>
  <c r="D563" i="4"/>
  <c r="AJ562" i="4"/>
  <c r="AI562" i="4"/>
  <c r="Y562" i="4"/>
  <c r="X562" i="4"/>
  <c r="W562" i="4"/>
  <c r="V562" i="4"/>
  <c r="U562" i="4"/>
  <c r="D562" i="4"/>
  <c r="AJ561" i="4"/>
  <c r="AI561" i="4"/>
  <c r="Y561" i="4"/>
  <c r="X561" i="4"/>
  <c r="W561" i="4"/>
  <c r="V561" i="4"/>
  <c r="U561" i="4"/>
  <c r="D561" i="4"/>
  <c r="AJ560" i="4"/>
  <c r="AI560" i="4"/>
  <c r="Y560" i="4"/>
  <c r="X560" i="4"/>
  <c r="W560" i="4"/>
  <c r="V560" i="4"/>
  <c r="U560" i="4"/>
  <c r="D560" i="4"/>
  <c r="AJ559" i="4"/>
  <c r="AI559" i="4"/>
  <c r="Y559" i="4"/>
  <c r="X559" i="4"/>
  <c r="W559" i="4"/>
  <c r="V559" i="4"/>
  <c r="U559" i="4"/>
  <c r="D559" i="4"/>
  <c r="AJ558" i="4"/>
  <c r="AI558" i="4"/>
  <c r="Y558" i="4"/>
  <c r="X558" i="4"/>
  <c r="W558" i="4"/>
  <c r="V558" i="4"/>
  <c r="U558" i="4"/>
  <c r="D558" i="4"/>
  <c r="AJ557" i="4"/>
  <c r="AI557" i="4"/>
  <c r="Y557" i="4"/>
  <c r="X557" i="4"/>
  <c r="W557" i="4"/>
  <c r="V557" i="4"/>
  <c r="U557" i="4"/>
  <c r="D557" i="4"/>
  <c r="Y556" i="4"/>
  <c r="X556" i="4"/>
  <c r="W556" i="4"/>
  <c r="V556" i="4"/>
  <c r="U556" i="4"/>
  <c r="D556" i="4"/>
  <c r="AJ555" i="4"/>
  <c r="AI555" i="4"/>
  <c r="Y555" i="4"/>
  <c r="X555" i="4"/>
  <c r="W555" i="4"/>
  <c r="V555" i="4"/>
  <c r="U555" i="4"/>
  <c r="D555" i="4"/>
  <c r="Y554" i="4"/>
  <c r="X554" i="4"/>
  <c r="W554" i="4"/>
  <c r="V554" i="4"/>
  <c r="U554" i="4"/>
  <c r="D554" i="4"/>
  <c r="Y553" i="4"/>
  <c r="X553" i="4"/>
  <c r="W553" i="4"/>
  <c r="V553" i="4"/>
  <c r="U553" i="4"/>
  <c r="D553" i="4"/>
  <c r="Y552" i="4"/>
  <c r="X552" i="4"/>
  <c r="W552" i="4"/>
  <c r="V552" i="4"/>
  <c r="U552" i="4"/>
  <c r="D552" i="4"/>
  <c r="Y551" i="4"/>
  <c r="X551" i="4"/>
  <c r="W551" i="4"/>
  <c r="V551" i="4"/>
  <c r="U551" i="4"/>
  <c r="D551" i="4"/>
  <c r="Y550" i="4"/>
  <c r="X550" i="4"/>
  <c r="W550" i="4"/>
  <c r="V550" i="4"/>
  <c r="U550" i="4"/>
  <c r="D550" i="4"/>
  <c r="Y549" i="4"/>
  <c r="X549" i="4"/>
  <c r="W549" i="4"/>
  <c r="V549" i="4"/>
  <c r="U549" i="4"/>
  <c r="D549" i="4"/>
  <c r="AJ548" i="4"/>
  <c r="AI548" i="4"/>
  <c r="Y548" i="4"/>
  <c r="X548" i="4"/>
  <c r="W548" i="4"/>
  <c r="V548" i="4"/>
  <c r="U548" i="4"/>
  <c r="D548" i="4"/>
  <c r="AJ547" i="4"/>
  <c r="AI547" i="4"/>
  <c r="Y547" i="4"/>
  <c r="X547" i="4"/>
  <c r="W547" i="4"/>
  <c r="V547" i="4"/>
  <c r="U547" i="4"/>
  <c r="D547" i="4"/>
  <c r="AJ546" i="4"/>
  <c r="AI546" i="4"/>
  <c r="Y546" i="4"/>
  <c r="X546" i="4"/>
  <c r="W546" i="4"/>
  <c r="V546" i="4"/>
  <c r="U546" i="4"/>
  <c r="D546" i="4"/>
  <c r="AJ545" i="4"/>
  <c r="AI545" i="4"/>
  <c r="Y545" i="4"/>
  <c r="X545" i="4"/>
  <c r="W545" i="4"/>
  <c r="V545" i="4"/>
  <c r="U545" i="4"/>
  <c r="D545" i="4"/>
  <c r="AJ544" i="4"/>
  <c r="AI544" i="4"/>
  <c r="Y544" i="4"/>
  <c r="X544" i="4"/>
  <c r="W544" i="4"/>
  <c r="V544" i="4"/>
  <c r="U544" i="4"/>
  <c r="D544" i="4"/>
  <c r="AJ543" i="4"/>
  <c r="AI543" i="4"/>
  <c r="Y543" i="4"/>
  <c r="X543" i="4"/>
  <c r="W543" i="4"/>
  <c r="V543" i="4"/>
  <c r="U543" i="4"/>
  <c r="D543" i="4"/>
  <c r="AJ542" i="4"/>
  <c r="AI542" i="4"/>
  <c r="Y542" i="4"/>
  <c r="X542" i="4"/>
  <c r="W542" i="4"/>
  <c r="V542" i="4"/>
  <c r="U542" i="4"/>
  <c r="D542" i="4"/>
  <c r="AJ541" i="4"/>
  <c r="AI541" i="4"/>
  <c r="Y541" i="4"/>
  <c r="X541" i="4"/>
  <c r="W541" i="4"/>
  <c r="V541" i="4"/>
  <c r="U541" i="4"/>
  <c r="D541" i="4"/>
  <c r="Y540" i="4"/>
  <c r="X540" i="4"/>
  <c r="W540" i="4"/>
  <c r="V540" i="4"/>
  <c r="U540" i="4"/>
  <c r="D540" i="4"/>
  <c r="AJ539" i="4"/>
  <c r="AI539" i="4"/>
  <c r="Y539" i="4"/>
  <c r="X539" i="4"/>
  <c r="W539" i="4"/>
  <c r="V539" i="4"/>
  <c r="U539" i="4"/>
  <c r="D539" i="4"/>
  <c r="AJ538" i="4"/>
  <c r="AI538" i="4"/>
  <c r="Y538" i="4"/>
  <c r="X538" i="4"/>
  <c r="W538" i="4"/>
  <c r="V538" i="4"/>
  <c r="U538" i="4"/>
  <c r="D538" i="4"/>
  <c r="AJ537" i="4"/>
  <c r="AI537" i="4"/>
  <c r="Y537" i="4"/>
  <c r="X537" i="4"/>
  <c r="W537" i="4"/>
  <c r="V537" i="4"/>
  <c r="U537" i="4"/>
  <c r="D537" i="4"/>
  <c r="AJ536" i="4"/>
  <c r="AI536" i="4"/>
  <c r="Y536" i="4"/>
  <c r="X536" i="4"/>
  <c r="W536" i="4"/>
  <c r="V536" i="4"/>
  <c r="U536" i="4"/>
  <c r="D536" i="4"/>
  <c r="AJ535" i="4"/>
  <c r="AI535" i="4"/>
  <c r="Y535" i="4"/>
  <c r="X535" i="4"/>
  <c r="W535" i="4"/>
  <c r="V535" i="4"/>
  <c r="U535" i="4"/>
  <c r="D535" i="4"/>
  <c r="AJ534" i="4"/>
  <c r="AI534" i="4"/>
  <c r="Y534" i="4"/>
  <c r="X534" i="4"/>
  <c r="W534" i="4"/>
  <c r="V534" i="4"/>
  <c r="U534" i="4"/>
  <c r="D534" i="4"/>
  <c r="AJ533" i="4"/>
  <c r="AI533" i="4"/>
  <c r="Y533" i="4"/>
  <c r="X533" i="4"/>
  <c r="W533" i="4"/>
  <c r="V533" i="4"/>
  <c r="U533" i="4"/>
  <c r="D533" i="4"/>
  <c r="Y532" i="4"/>
  <c r="X532" i="4"/>
  <c r="W532" i="4"/>
  <c r="V532" i="4"/>
  <c r="U532" i="4"/>
  <c r="D532" i="4"/>
  <c r="Y531" i="4"/>
  <c r="X531" i="4"/>
  <c r="W531" i="4"/>
  <c r="V531" i="4"/>
  <c r="U531" i="4"/>
  <c r="D531" i="4"/>
  <c r="Y530" i="4"/>
  <c r="X530" i="4"/>
  <c r="W530" i="4"/>
  <c r="V530" i="4"/>
  <c r="U530" i="4"/>
  <c r="D530" i="4"/>
  <c r="Y529" i="4"/>
  <c r="X529" i="4"/>
  <c r="W529" i="4"/>
  <c r="V529" i="4"/>
  <c r="U529" i="4"/>
  <c r="D529" i="4"/>
  <c r="Y528" i="4"/>
  <c r="X528" i="4"/>
  <c r="W528" i="4"/>
  <c r="V528" i="4"/>
  <c r="U528" i="4"/>
  <c r="D528" i="4"/>
  <c r="Y527" i="4"/>
  <c r="X527" i="4"/>
  <c r="W527" i="4"/>
  <c r="V527" i="4"/>
  <c r="U527" i="4"/>
  <c r="D527" i="4"/>
  <c r="AJ526" i="4"/>
  <c r="AI526" i="4"/>
  <c r="Y526" i="4"/>
  <c r="X526" i="4"/>
  <c r="W526" i="4"/>
  <c r="V526" i="4"/>
  <c r="U526" i="4"/>
  <c r="D526" i="4"/>
  <c r="AJ525" i="4"/>
  <c r="AI525" i="4"/>
  <c r="Y525" i="4"/>
  <c r="X525" i="4"/>
  <c r="W525" i="4"/>
  <c r="V525" i="4"/>
  <c r="U525" i="4"/>
  <c r="D525" i="4"/>
  <c r="Y524" i="4"/>
  <c r="X524" i="4"/>
  <c r="W524" i="4"/>
  <c r="V524" i="4"/>
  <c r="U524" i="4"/>
  <c r="D524" i="4"/>
  <c r="Y523" i="4"/>
  <c r="X523" i="4"/>
  <c r="W523" i="4"/>
  <c r="V523" i="4"/>
  <c r="U523" i="4"/>
  <c r="D523" i="4"/>
  <c r="Y522" i="4"/>
  <c r="X522" i="4"/>
  <c r="W522" i="4"/>
  <c r="V522" i="4"/>
  <c r="U522" i="4"/>
  <c r="D522" i="4"/>
  <c r="Y521" i="4"/>
  <c r="X521" i="4"/>
  <c r="W521" i="4"/>
  <c r="V521" i="4"/>
  <c r="U521" i="4"/>
  <c r="D521" i="4"/>
  <c r="Y520" i="4"/>
  <c r="X520" i="4"/>
  <c r="W520" i="4"/>
  <c r="V520" i="4"/>
  <c r="U520" i="4"/>
  <c r="D520" i="4"/>
  <c r="Y519" i="4"/>
  <c r="X519" i="4"/>
  <c r="W519" i="4"/>
  <c r="V519" i="4"/>
  <c r="U519" i="4"/>
  <c r="D519" i="4"/>
  <c r="AJ518" i="4"/>
  <c r="AI518" i="4"/>
  <c r="Y518" i="4"/>
  <c r="X518" i="4"/>
  <c r="W518" i="4"/>
  <c r="V518" i="4"/>
  <c r="U518" i="4"/>
  <c r="D518" i="4"/>
  <c r="AJ517" i="4"/>
  <c r="AI517" i="4"/>
  <c r="Y517" i="4"/>
  <c r="X517" i="4"/>
  <c r="W517" i="4"/>
  <c r="V517" i="4"/>
  <c r="U517" i="4"/>
  <c r="D517" i="4"/>
  <c r="AJ516" i="4"/>
  <c r="AI516" i="4"/>
  <c r="Y516" i="4"/>
  <c r="X516" i="4"/>
  <c r="W516" i="4"/>
  <c r="V516" i="4"/>
  <c r="U516" i="4"/>
  <c r="D516" i="4"/>
  <c r="AJ515" i="4"/>
  <c r="AI515" i="4"/>
  <c r="Y515" i="4"/>
  <c r="X515" i="4"/>
  <c r="W515" i="4"/>
  <c r="V515" i="4"/>
  <c r="U515" i="4"/>
  <c r="D515" i="4"/>
  <c r="AJ514" i="4"/>
  <c r="AI514" i="4"/>
  <c r="Y514" i="4"/>
  <c r="X514" i="4"/>
  <c r="W514" i="4"/>
  <c r="V514" i="4"/>
  <c r="U514" i="4"/>
  <c r="D514" i="4"/>
  <c r="AJ513" i="4"/>
  <c r="AI513" i="4"/>
  <c r="Y513" i="4"/>
  <c r="X513" i="4"/>
  <c r="W513" i="4"/>
  <c r="V513" i="4"/>
  <c r="U513" i="4"/>
  <c r="D513" i="4"/>
  <c r="AJ512" i="4"/>
  <c r="AI512" i="4"/>
  <c r="Y512" i="4"/>
  <c r="X512" i="4"/>
  <c r="W512" i="4"/>
  <c r="V512" i="4"/>
  <c r="U512" i="4"/>
  <c r="D512" i="4"/>
  <c r="AJ511" i="4"/>
  <c r="AI511" i="4"/>
  <c r="Y511" i="4"/>
  <c r="X511" i="4"/>
  <c r="W511" i="4"/>
  <c r="V511" i="4"/>
  <c r="U511" i="4"/>
  <c r="D511" i="4"/>
  <c r="AJ510" i="4"/>
  <c r="AI510" i="4"/>
  <c r="Y510" i="4"/>
  <c r="X510" i="4"/>
  <c r="W510" i="4"/>
  <c r="V510" i="4"/>
  <c r="U510" i="4"/>
  <c r="D510" i="4"/>
  <c r="Y509" i="4"/>
  <c r="X509" i="4"/>
  <c r="W509" i="4"/>
  <c r="V509" i="4"/>
  <c r="U509" i="4"/>
  <c r="D509" i="4"/>
  <c r="Y508" i="4"/>
  <c r="X508" i="4"/>
  <c r="W508" i="4"/>
  <c r="V508" i="4"/>
  <c r="U508" i="4"/>
  <c r="D508" i="4"/>
  <c r="Y507" i="4"/>
  <c r="X507" i="4"/>
  <c r="W507" i="4"/>
  <c r="V507" i="4"/>
  <c r="U507" i="4"/>
  <c r="D507" i="4"/>
  <c r="Y506" i="4"/>
  <c r="X506" i="4"/>
  <c r="W506" i="4"/>
  <c r="V506" i="4"/>
  <c r="U506" i="4"/>
  <c r="D506" i="4"/>
  <c r="Y505" i="4"/>
  <c r="X505" i="4"/>
  <c r="W505" i="4"/>
  <c r="V505" i="4"/>
  <c r="U505" i="4"/>
  <c r="D505" i="4"/>
  <c r="Y504" i="4"/>
  <c r="X504" i="4"/>
  <c r="W504" i="4"/>
  <c r="V504" i="4"/>
  <c r="U504" i="4"/>
  <c r="D504" i="4"/>
  <c r="AJ503" i="4"/>
  <c r="AI503" i="4"/>
  <c r="Y503" i="4"/>
  <c r="X503" i="4"/>
  <c r="W503" i="4"/>
  <c r="V503" i="4"/>
  <c r="U503" i="4"/>
  <c r="D503" i="4"/>
  <c r="AJ502" i="4"/>
  <c r="AI502" i="4"/>
  <c r="Y502" i="4"/>
  <c r="X502" i="4"/>
  <c r="W502" i="4"/>
  <c r="V502" i="4"/>
  <c r="U502" i="4"/>
  <c r="D502" i="4"/>
  <c r="AJ501" i="4"/>
  <c r="AI501" i="4"/>
  <c r="Y501" i="4"/>
  <c r="X501" i="4"/>
  <c r="W501" i="4"/>
  <c r="V501" i="4"/>
  <c r="U501" i="4"/>
  <c r="D501" i="4"/>
  <c r="AJ500" i="4"/>
  <c r="AI500" i="4"/>
  <c r="Y500" i="4"/>
  <c r="X500" i="4"/>
  <c r="W500" i="4"/>
  <c r="V500" i="4"/>
  <c r="U500" i="4"/>
  <c r="D500" i="4"/>
  <c r="AJ499" i="4"/>
  <c r="AI499" i="4"/>
  <c r="Y499" i="4"/>
  <c r="X499" i="4"/>
  <c r="W499" i="4"/>
  <c r="V499" i="4"/>
  <c r="U499" i="4"/>
  <c r="D499" i="4"/>
  <c r="AJ498" i="4"/>
  <c r="AI498" i="4"/>
  <c r="Y498" i="4"/>
  <c r="X498" i="4"/>
  <c r="W498" i="4"/>
  <c r="V498" i="4"/>
  <c r="U498" i="4"/>
  <c r="D498" i="4"/>
  <c r="AJ497" i="4"/>
  <c r="AI497" i="4"/>
  <c r="Y497" i="4"/>
  <c r="X497" i="4"/>
  <c r="W497" i="4"/>
  <c r="V497" i="4"/>
  <c r="U497" i="4"/>
  <c r="D497" i="4"/>
  <c r="AJ496" i="4"/>
  <c r="AI496" i="4"/>
  <c r="Y496" i="4"/>
  <c r="X496" i="4"/>
  <c r="W496" i="4"/>
  <c r="V496" i="4"/>
  <c r="U496" i="4"/>
  <c r="D496" i="4"/>
  <c r="AJ495" i="4"/>
  <c r="AI495" i="4"/>
  <c r="Y495" i="4"/>
  <c r="X495" i="4"/>
  <c r="W495" i="4"/>
  <c r="V495" i="4"/>
  <c r="U495" i="4"/>
  <c r="D495" i="4"/>
  <c r="Y494" i="4"/>
  <c r="X494" i="4"/>
  <c r="W494" i="4"/>
  <c r="V494" i="4"/>
  <c r="U494" i="4"/>
  <c r="D494" i="4"/>
  <c r="Y493" i="4"/>
  <c r="X493" i="4"/>
  <c r="W493" i="4"/>
  <c r="V493" i="4"/>
  <c r="U493" i="4"/>
  <c r="D493" i="4"/>
  <c r="Y492" i="4"/>
  <c r="X492" i="4"/>
  <c r="W492" i="4"/>
  <c r="V492" i="4"/>
  <c r="U492" i="4"/>
  <c r="D492" i="4"/>
  <c r="Y491" i="4"/>
  <c r="X491" i="4"/>
  <c r="W491" i="4"/>
  <c r="V491" i="4"/>
  <c r="U491" i="4"/>
  <c r="D491" i="4"/>
  <c r="Y490" i="4"/>
  <c r="X490" i="4"/>
  <c r="W490" i="4"/>
  <c r="V490" i="4"/>
  <c r="U490" i="4"/>
  <c r="D490" i="4"/>
  <c r="Y489" i="4"/>
  <c r="X489" i="4"/>
  <c r="W489" i="4"/>
  <c r="V489" i="4"/>
  <c r="U489" i="4"/>
  <c r="D489" i="4"/>
  <c r="AJ488" i="4"/>
  <c r="AI488" i="4"/>
  <c r="Y488" i="4"/>
  <c r="X488" i="4"/>
  <c r="W488" i="4"/>
  <c r="V488" i="4"/>
  <c r="U488" i="4"/>
  <c r="D488" i="4"/>
  <c r="AJ487" i="4"/>
  <c r="AI487" i="4"/>
  <c r="Y487" i="4"/>
  <c r="X487" i="4"/>
  <c r="W487" i="4"/>
  <c r="V487" i="4"/>
  <c r="U487" i="4"/>
  <c r="D487" i="4"/>
  <c r="AJ486" i="4"/>
  <c r="AI486" i="4"/>
  <c r="Y486" i="4"/>
  <c r="X486" i="4"/>
  <c r="W486" i="4"/>
  <c r="V486" i="4"/>
  <c r="U486" i="4"/>
  <c r="D486" i="4"/>
  <c r="AJ485" i="4"/>
  <c r="AI485" i="4"/>
  <c r="Y485" i="4"/>
  <c r="X485" i="4"/>
  <c r="W485" i="4"/>
  <c r="V485" i="4"/>
  <c r="U485" i="4"/>
  <c r="D485" i="4"/>
  <c r="AJ484" i="4"/>
  <c r="AI484" i="4"/>
  <c r="Y484" i="4"/>
  <c r="X484" i="4"/>
  <c r="W484" i="4"/>
  <c r="V484" i="4"/>
  <c r="U484" i="4"/>
  <c r="D484" i="4"/>
  <c r="AJ483" i="4"/>
  <c r="AI483" i="4"/>
  <c r="Y483" i="4"/>
  <c r="X483" i="4"/>
  <c r="W483" i="4"/>
  <c r="V483" i="4"/>
  <c r="U483" i="4"/>
  <c r="D483" i="4"/>
  <c r="AJ482" i="4"/>
  <c r="AI482" i="4"/>
  <c r="Y482" i="4"/>
  <c r="X482" i="4"/>
  <c r="W482" i="4"/>
  <c r="V482" i="4"/>
  <c r="U482" i="4"/>
  <c r="D482" i="4"/>
  <c r="AJ481" i="4"/>
  <c r="AI481" i="4"/>
  <c r="Y481" i="4"/>
  <c r="X481" i="4"/>
  <c r="W481" i="4"/>
  <c r="V481" i="4"/>
  <c r="U481" i="4"/>
  <c r="D481" i="4"/>
  <c r="AJ480" i="4"/>
  <c r="AI480" i="4"/>
  <c r="Y480" i="4"/>
  <c r="X480" i="4"/>
  <c r="W480" i="4"/>
  <c r="V480" i="4"/>
  <c r="U480" i="4"/>
  <c r="D480" i="4"/>
  <c r="Y479" i="4"/>
  <c r="X479" i="4"/>
  <c r="W479" i="4"/>
  <c r="V479" i="4"/>
  <c r="U479" i="4"/>
  <c r="D479" i="4"/>
  <c r="Y478" i="4"/>
  <c r="X478" i="4"/>
  <c r="W478" i="4"/>
  <c r="V478" i="4"/>
  <c r="U478" i="4"/>
  <c r="D478" i="4"/>
  <c r="Y477" i="4"/>
  <c r="X477" i="4"/>
  <c r="W477" i="4"/>
  <c r="V477" i="4"/>
  <c r="U477" i="4"/>
  <c r="D477" i="4"/>
  <c r="Y476" i="4"/>
  <c r="X476" i="4"/>
  <c r="W476" i="4"/>
  <c r="V476" i="4"/>
  <c r="U476" i="4"/>
  <c r="D476" i="4"/>
  <c r="Y475" i="4"/>
  <c r="X475" i="4"/>
  <c r="W475" i="4"/>
  <c r="V475" i="4"/>
  <c r="U475" i="4"/>
  <c r="D475" i="4"/>
  <c r="Y474" i="4"/>
  <c r="X474" i="4"/>
  <c r="W474" i="4"/>
  <c r="V474" i="4"/>
  <c r="U474" i="4"/>
  <c r="D474" i="4"/>
  <c r="Y473" i="4"/>
  <c r="X473" i="4"/>
  <c r="W473" i="4"/>
  <c r="V473" i="4"/>
  <c r="U473" i="4"/>
  <c r="D473" i="4"/>
  <c r="Y472" i="4"/>
  <c r="X472" i="4"/>
  <c r="W472" i="4"/>
  <c r="V472" i="4"/>
  <c r="U472" i="4"/>
  <c r="D472" i="4"/>
  <c r="Y471" i="4"/>
  <c r="X471" i="4"/>
  <c r="W471" i="4"/>
  <c r="V471" i="4"/>
  <c r="U471" i="4"/>
  <c r="D471" i="4"/>
  <c r="AJ470" i="4"/>
  <c r="AI470" i="4"/>
  <c r="Y470" i="4"/>
  <c r="X470" i="4"/>
  <c r="W470" i="4"/>
  <c r="V470" i="4"/>
  <c r="U470" i="4"/>
  <c r="D470" i="4"/>
  <c r="AJ469" i="4"/>
  <c r="AI469" i="4"/>
  <c r="Y469" i="4"/>
  <c r="X469" i="4"/>
  <c r="W469" i="4"/>
  <c r="V469" i="4"/>
  <c r="U469" i="4"/>
  <c r="D469" i="4"/>
  <c r="AJ468" i="4"/>
  <c r="AI468" i="4"/>
  <c r="Y468" i="4"/>
  <c r="X468" i="4"/>
  <c r="W468" i="4"/>
  <c r="V468" i="4"/>
  <c r="U468" i="4"/>
  <c r="D468" i="4"/>
  <c r="AJ467" i="4"/>
  <c r="AI467" i="4"/>
  <c r="Y467" i="4"/>
  <c r="X467" i="4"/>
  <c r="W467" i="4"/>
  <c r="V467" i="4"/>
  <c r="U467" i="4"/>
  <c r="D467" i="4"/>
  <c r="AJ466" i="4"/>
  <c r="AI466" i="4"/>
  <c r="Y466" i="4"/>
  <c r="X466" i="4"/>
  <c r="W466" i="4"/>
  <c r="V466" i="4"/>
  <c r="U466" i="4"/>
  <c r="D466" i="4"/>
  <c r="AJ465" i="4"/>
  <c r="AI465" i="4"/>
  <c r="Y465" i="4"/>
  <c r="X465" i="4"/>
  <c r="W465" i="4"/>
  <c r="V465" i="4"/>
  <c r="U465" i="4"/>
  <c r="D465" i="4"/>
  <c r="AJ464" i="4"/>
  <c r="AI464" i="4"/>
  <c r="Y464" i="4"/>
  <c r="X464" i="4"/>
  <c r="W464" i="4"/>
  <c r="V464" i="4"/>
  <c r="U464" i="4"/>
  <c r="D464" i="4"/>
  <c r="AJ463" i="4"/>
  <c r="AI463" i="4"/>
  <c r="Y463" i="4"/>
  <c r="X463" i="4"/>
  <c r="W463" i="4"/>
  <c r="V463" i="4"/>
  <c r="U463" i="4"/>
  <c r="D463" i="4"/>
  <c r="AJ462" i="4"/>
  <c r="AI462" i="4"/>
  <c r="Y462" i="4"/>
  <c r="X462" i="4"/>
  <c r="W462" i="4"/>
  <c r="V462" i="4"/>
  <c r="U462" i="4"/>
  <c r="D462" i="4"/>
  <c r="Y461" i="4"/>
  <c r="X461" i="4"/>
  <c r="W461" i="4"/>
  <c r="V461" i="4"/>
  <c r="U461" i="4"/>
  <c r="D461" i="4"/>
  <c r="Y460" i="4"/>
  <c r="X460" i="4"/>
  <c r="W460" i="4"/>
  <c r="V460" i="4"/>
  <c r="U460" i="4"/>
  <c r="D460" i="4"/>
  <c r="Y459" i="4"/>
  <c r="X459" i="4"/>
  <c r="W459" i="4"/>
  <c r="V459" i="4"/>
  <c r="U459" i="4"/>
  <c r="D459" i="4"/>
  <c r="Y458" i="4"/>
  <c r="X458" i="4"/>
  <c r="W458" i="4"/>
  <c r="V458" i="4"/>
  <c r="U458" i="4"/>
  <c r="D458" i="4"/>
  <c r="Y457" i="4"/>
  <c r="X457" i="4"/>
  <c r="W457" i="4"/>
  <c r="V457" i="4"/>
  <c r="U457" i="4"/>
  <c r="D457" i="4"/>
  <c r="Y456" i="4"/>
  <c r="X456" i="4"/>
  <c r="W456" i="4"/>
  <c r="V456" i="4"/>
  <c r="U456" i="4"/>
  <c r="D456" i="4"/>
  <c r="AJ455" i="4"/>
  <c r="AI455" i="4"/>
  <c r="Y455" i="4"/>
  <c r="X455" i="4"/>
  <c r="W455" i="4"/>
  <c r="V455" i="4"/>
  <c r="U455" i="4"/>
  <c r="D455" i="4"/>
  <c r="AJ454" i="4"/>
  <c r="AI454" i="4"/>
  <c r="Y454" i="4"/>
  <c r="X454" i="4"/>
  <c r="W454" i="4"/>
  <c r="V454" i="4"/>
  <c r="U454" i="4"/>
  <c r="D454" i="4"/>
  <c r="AJ453" i="4"/>
  <c r="AI453" i="4"/>
  <c r="Y453" i="4"/>
  <c r="X453" i="4"/>
  <c r="W453" i="4"/>
  <c r="V453" i="4"/>
  <c r="U453" i="4"/>
  <c r="D453" i="4"/>
  <c r="AJ452" i="4"/>
  <c r="AI452" i="4"/>
  <c r="Y452" i="4"/>
  <c r="X452" i="4"/>
  <c r="W452" i="4"/>
  <c r="V452" i="4"/>
  <c r="U452" i="4"/>
  <c r="D452" i="4"/>
  <c r="AJ451" i="4"/>
  <c r="AI451" i="4"/>
  <c r="Y451" i="4"/>
  <c r="X451" i="4"/>
  <c r="W451" i="4"/>
  <c r="V451" i="4"/>
  <c r="U451" i="4"/>
  <c r="D451" i="4"/>
  <c r="AJ450" i="4"/>
  <c r="AI450" i="4"/>
  <c r="Y450" i="4"/>
  <c r="X450" i="4"/>
  <c r="W450" i="4"/>
  <c r="V450" i="4"/>
  <c r="U450" i="4"/>
  <c r="D450" i="4"/>
  <c r="AJ449" i="4"/>
  <c r="AI449" i="4"/>
  <c r="Y449" i="4"/>
  <c r="X449" i="4"/>
  <c r="W449" i="4"/>
  <c r="V449" i="4"/>
  <c r="U449" i="4"/>
  <c r="D449" i="4"/>
  <c r="AJ448" i="4"/>
  <c r="AI448" i="4"/>
  <c r="Y448" i="4"/>
  <c r="X448" i="4"/>
  <c r="W448" i="4"/>
  <c r="V448" i="4"/>
  <c r="U448" i="4"/>
  <c r="D448" i="4"/>
  <c r="AJ447" i="4"/>
  <c r="AI447" i="4"/>
  <c r="Y447" i="4"/>
  <c r="X447" i="4"/>
  <c r="W447" i="4"/>
  <c r="V447" i="4"/>
  <c r="U447" i="4"/>
  <c r="D447" i="4"/>
  <c r="Y446" i="4"/>
  <c r="X446" i="4"/>
  <c r="W446" i="4"/>
  <c r="V446" i="4"/>
  <c r="U446" i="4"/>
  <c r="D446" i="4"/>
  <c r="Y445" i="4"/>
  <c r="X445" i="4"/>
  <c r="W445" i="4"/>
  <c r="V445" i="4"/>
  <c r="U445" i="4"/>
  <c r="D445" i="4"/>
  <c r="AJ444" i="4"/>
  <c r="AI444" i="4"/>
  <c r="Y444" i="4"/>
  <c r="X444" i="4"/>
  <c r="W444" i="4"/>
  <c r="V444" i="4"/>
  <c r="U444" i="4"/>
  <c r="D444" i="4"/>
  <c r="AJ443" i="4"/>
  <c r="AI443" i="4"/>
  <c r="Y443" i="4"/>
  <c r="X443" i="4"/>
  <c r="W443" i="4"/>
  <c r="V443" i="4"/>
  <c r="U443" i="4"/>
  <c r="D443" i="4"/>
  <c r="AJ442" i="4"/>
  <c r="AI442" i="4"/>
  <c r="Y442" i="4"/>
  <c r="X442" i="4"/>
  <c r="W442" i="4"/>
  <c r="V442" i="4"/>
  <c r="U442" i="4"/>
  <c r="D442" i="4"/>
  <c r="AJ441" i="4"/>
  <c r="AI441" i="4"/>
  <c r="Y441" i="4"/>
  <c r="X441" i="4"/>
  <c r="W441" i="4"/>
  <c r="V441" i="4"/>
  <c r="U441" i="4"/>
  <c r="D441" i="4"/>
  <c r="AJ440" i="4"/>
  <c r="AI440" i="4"/>
  <c r="Y440" i="4"/>
  <c r="X440" i="4"/>
  <c r="W440" i="4"/>
  <c r="V440" i="4"/>
  <c r="U440" i="4"/>
  <c r="D440" i="4"/>
  <c r="Y439" i="4"/>
  <c r="X439" i="4"/>
  <c r="W439" i="4"/>
  <c r="V439" i="4"/>
  <c r="U439" i="4"/>
  <c r="D439" i="4"/>
  <c r="Y438" i="4"/>
  <c r="X438" i="4"/>
  <c r="W438" i="4"/>
  <c r="V438" i="4"/>
  <c r="U438" i="4"/>
  <c r="D438" i="4"/>
  <c r="Y437" i="4"/>
  <c r="X437" i="4"/>
  <c r="W437" i="4"/>
  <c r="V437" i="4"/>
  <c r="U437" i="4"/>
  <c r="D437" i="4"/>
  <c r="Y436" i="4"/>
  <c r="X436" i="4"/>
  <c r="W436" i="4"/>
  <c r="V436" i="4"/>
  <c r="U436" i="4"/>
  <c r="D436" i="4"/>
  <c r="AJ435" i="4"/>
  <c r="AI435" i="4"/>
  <c r="Y435" i="4"/>
  <c r="X435" i="4"/>
  <c r="W435" i="4"/>
  <c r="V435" i="4"/>
  <c r="U435" i="4"/>
  <c r="D435" i="4"/>
  <c r="AJ434" i="4"/>
  <c r="AI434" i="4"/>
  <c r="Y434" i="4"/>
  <c r="X434" i="4"/>
  <c r="W434" i="4"/>
  <c r="V434" i="4"/>
  <c r="U434" i="4"/>
  <c r="D434" i="4"/>
  <c r="AJ433" i="4"/>
  <c r="AI433" i="4"/>
  <c r="Y433" i="4"/>
  <c r="X433" i="4"/>
  <c r="W433" i="4"/>
  <c r="V433" i="4"/>
  <c r="U433" i="4"/>
  <c r="D433" i="4"/>
  <c r="AJ432" i="4"/>
  <c r="AI432" i="4"/>
  <c r="Y432" i="4"/>
  <c r="X432" i="4"/>
  <c r="W432" i="4"/>
  <c r="V432" i="4"/>
  <c r="U432" i="4"/>
  <c r="D432" i="4"/>
  <c r="Y431" i="4"/>
  <c r="X431" i="4"/>
  <c r="W431" i="4"/>
  <c r="V431" i="4"/>
  <c r="U431" i="4"/>
  <c r="D431" i="4"/>
  <c r="Y430" i="4"/>
  <c r="X430" i="4"/>
  <c r="W430" i="4"/>
  <c r="V430" i="4"/>
  <c r="U430" i="4"/>
  <c r="D430" i="4"/>
  <c r="AJ429" i="4"/>
  <c r="AI429" i="4"/>
  <c r="Y429" i="4"/>
  <c r="X429" i="4"/>
  <c r="W429" i="4"/>
  <c r="V429" i="4"/>
  <c r="U429" i="4"/>
  <c r="D429" i="4"/>
  <c r="AJ428" i="4"/>
  <c r="AI428" i="4"/>
  <c r="Y428" i="4"/>
  <c r="X428" i="4"/>
  <c r="W428" i="4"/>
  <c r="V428" i="4"/>
  <c r="U428" i="4"/>
  <c r="D428" i="4"/>
  <c r="AJ427" i="4"/>
  <c r="AI427" i="4"/>
  <c r="Y427" i="4"/>
  <c r="X427" i="4"/>
  <c r="W427" i="4"/>
  <c r="V427" i="4"/>
  <c r="U427" i="4"/>
  <c r="D427" i="4"/>
  <c r="AJ426" i="4"/>
  <c r="AI426" i="4"/>
  <c r="Y426" i="4"/>
  <c r="X426" i="4"/>
  <c r="W426" i="4"/>
  <c r="V426" i="4"/>
  <c r="U426" i="4"/>
  <c r="D426" i="4"/>
  <c r="AJ425" i="4"/>
  <c r="AI425" i="4"/>
  <c r="Y425" i="4"/>
  <c r="X425" i="4"/>
  <c r="W425" i="4"/>
  <c r="V425" i="4"/>
  <c r="U425" i="4"/>
  <c r="D425" i="4"/>
  <c r="Y424" i="4"/>
  <c r="X424" i="4"/>
  <c r="W424" i="4"/>
  <c r="V424" i="4"/>
  <c r="U424" i="4"/>
  <c r="D424" i="4"/>
  <c r="Y423" i="4"/>
  <c r="X423" i="4"/>
  <c r="W423" i="4"/>
  <c r="V423" i="4"/>
  <c r="U423" i="4"/>
  <c r="D423" i="4"/>
  <c r="Y422" i="4"/>
  <c r="X422" i="4"/>
  <c r="W422" i="4"/>
  <c r="V422" i="4"/>
  <c r="U422" i="4"/>
  <c r="D422" i="4"/>
  <c r="Y421" i="4"/>
  <c r="X421" i="4"/>
  <c r="W421" i="4"/>
  <c r="V421" i="4"/>
  <c r="U421" i="4"/>
  <c r="D421" i="4"/>
  <c r="Y420" i="4"/>
  <c r="X420" i="4"/>
  <c r="W420" i="4"/>
  <c r="V420" i="4"/>
  <c r="U420" i="4"/>
  <c r="D420" i="4"/>
  <c r="AJ419" i="4"/>
  <c r="AI419" i="4"/>
  <c r="Y419" i="4"/>
  <c r="X419" i="4"/>
  <c r="W419" i="4"/>
  <c r="V419" i="4"/>
  <c r="U419" i="4"/>
  <c r="D419" i="4"/>
  <c r="AJ418" i="4"/>
  <c r="AI418" i="4"/>
  <c r="Y418" i="4"/>
  <c r="X418" i="4"/>
  <c r="W418" i="4"/>
  <c r="V418" i="4"/>
  <c r="U418" i="4"/>
  <c r="D418" i="4"/>
  <c r="AJ417" i="4"/>
  <c r="AI417" i="4"/>
  <c r="Y417" i="4"/>
  <c r="X417" i="4"/>
  <c r="W417" i="4"/>
  <c r="V417" i="4"/>
  <c r="U417" i="4"/>
  <c r="D417" i="4"/>
  <c r="AJ416" i="4"/>
  <c r="AI416" i="4"/>
  <c r="Y416" i="4"/>
  <c r="X416" i="4"/>
  <c r="W416" i="4"/>
  <c r="V416" i="4"/>
  <c r="U416" i="4"/>
  <c r="D416" i="4"/>
  <c r="Y415" i="4"/>
  <c r="X415" i="4"/>
  <c r="W415" i="4"/>
  <c r="V415" i="4"/>
  <c r="U415" i="4"/>
  <c r="D415" i="4"/>
  <c r="Y414" i="4"/>
  <c r="X414" i="4"/>
  <c r="W414" i="4"/>
  <c r="V414" i="4"/>
  <c r="U414" i="4"/>
  <c r="D414" i="4"/>
  <c r="Y413" i="4"/>
  <c r="X413" i="4"/>
  <c r="W413" i="4"/>
  <c r="V413" i="4"/>
  <c r="U413" i="4"/>
  <c r="D413" i="4"/>
  <c r="AJ412" i="4"/>
  <c r="AI412" i="4"/>
  <c r="Y412" i="4"/>
  <c r="X412" i="4"/>
  <c r="W412" i="4"/>
  <c r="V412" i="4"/>
  <c r="U412" i="4"/>
  <c r="D412" i="4"/>
  <c r="AJ411" i="4"/>
  <c r="AI411" i="4"/>
  <c r="Y411" i="4"/>
  <c r="X411" i="4"/>
  <c r="W411" i="4"/>
  <c r="V411" i="4"/>
  <c r="U411" i="4"/>
  <c r="D411" i="4"/>
  <c r="Y410" i="4"/>
  <c r="X410" i="4"/>
  <c r="W410" i="4"/>
  <c r="V410" i="4"/>
  <c r="U410" i="4"/>
  <c r="D410" i="4"/>
  <c r="Y409" i="4"/>
  <c r="X409" i="4"/>
  <c r="W409" i="4"/>
  <c r="V409" i="4"/>
  <c r="U409" i="4"/>
  <c r="D409" i="4"/>
  <c r="Y408" i="4"/>
  <c r="X408" i="4"/>
  <c r="W408" i="4"/>
  <c r="V408" i="4"/>
  <c r="U408" i="4"/>
  <c r="D408" i="4"/>
  <c r="Y407" i="4"/>
  <c r="X407" i="4"/>
  <c r="W407" i="4"/>
  <c r="V407" i="4"/>
  <c r="U407" i="4"/>
  <c r="D407" i="4"/>
  <c r="AJ406" i="4"/>
  <c r="AI406" i="4"/>
  <c r="Y406" i="4"/>
  <c r="X406" i="4"/>
  <c r="W406" i="4"/>
  <c r="V406" i="4"/>
  <c r="U406" i="4"/>
  <c r="D406" i="4"/>
  <c r="AJ405" i="4"/>
  <c r="AI405" i="4"/>
  <c r="Y405" i="4"/>
  <c r="X405" i="4"/>
  <c r="W405" i="4"/>
  <c r="V405" i="4"/>
  <c r="U405" i="4"/>
  <c r="D405" i="4"/>
  <c r="AJ404" i="4"/>
  <c r="AI404" i="4"/>
  <c r="Y404" i="4"/>
  <c r="X404" i="4"/>
  <c r="W404" i="4"/>
  <c r="V404" i="4"/>
  <c r="U404" i="4"/>
  <c r="D404" i="4"/>
  <c r="AJ403" i="4"/>
  <c r="AI403" i="4"/>
  <c r="Y403" i="4"/>
  <c r="X403" i="4"/>
  <c r="W403" i="4"/>
  <c r="V403" i="4"/>
  <c r="U403" i="4"/>
  <c r="D403" i="4"/>
  <c r="AJ402" i="4"/>
  <c r="AI402" i="4"/>
  <c r="Y402" i="4"/>
  <c r="X402" i="4"/>
  <c r="W402" i="4"/>
  <c r="V402" i="4"/>
  <c r="U402" i="4"/>
  <c r="D402" i="4"/>
  <c r="AJ401" i="4"/>
  <c r="AI401" i="4"/>
  <c r="Y401" i="4"/>
  <c r="X401" i="4"/>
  <c r="W401" i="4"/>
  <c r="V401" i="4"/>
  <c r="U401" i="4"/>
  <c r="D401" i="4"/>
  <c r="AJ400" i="4"/>
  <c r="AI400" i="4"/>
  <c r="Y400" i="4"/>
  <c r="X400" i="4"/>
  <c r="W400" i="4"/>
  <c r="V400" i="4"/>
  <c r="U400" i="4"/>
  <c r="D400" i="4"/>
  <c r="Y399" i="4"/>
  <c r="X399" i="4"/>
  <c r="W399" i="4"/>
  <c r="V399" i="4"/>
  <c r="U399" i="4"/>
  <c r="D399" i="4"/>
  <c r="Y398" i="4"/>
  <c r="X398" i="4"/>
  <c r="W398" i="4"/>
  <c r="V398" i="4"/>
  <c r="U398" i="4"/>
  <c r="D398" i="4"/>
  <c r="Y397" i="4"/>
  <c r="X397" i="4"/>
  <c r="W397" i="4"/>
  <c r="V397" i="4"/>
  <c r="U397" i="4"/>
  <c r="D397" i="4"/>
  <c r="AJ396" i="4"/>
  <c r="AI396" i="4"/>
  <c r="Y396" i="4"/>
  <c r="X396" i="4"/>
  <c r="W396" i="4"/>
  <c r="V396" i="4"/>
  <c r="U396" i="4"/>
  <c r="D396" i="4"/>
  <c r="Y395" i="4"/>
  <c r="X395" i="4"/>
  <c r="W395" i="4"/>
  <c r="V395" i="4"/>
  <c r="U395" i="4"/>
  <c r="D395" i="4"/>
  <c r="Y394" i="4"/>
  <c r="X394" i="4"/>
  <c r="W394" i="4"/>
  <c r="V394" i="4"/>
  <c r="U394" i="4"/>
  <c r="D394" i="4"/>
  <c r="Y393" i="4"/>
  <c r="X393" i="4"/>
  <c r="W393" i="4"/>
  <c r="V393" i="4"/>
  <c r="U393" i="4"/>
  <c r="D393" i="4"/>
  <c r="Y392" i="4"/>
  <c r="X392" i="4"/>
  <c r="W392" i="4"/>
  <c r="V392" i="4"/>
  <c r="U392" i="4"/>
  <c r="D392" i="4"/>
  <c r="AJ391" i="4"/>
  <c r="AI391" i="4"/>
  <c r="Y391" i="4"/>
  <c r="X391" i="4"/>
  <c r="W391" i="4"/>
  <c r="V391" i="4"/>
  <c r="U391" i="4"/>
  <c r="D391" i="4"/>
  <c r="AJ390" i="4"/>
  <c r="AI390" i="4"/>
  <c r="Y390" i="4"/>
  <c r="X390" i="4"/>
  <c r="W390" i="4"/>
  <c r="V390" i="4"/>
  <c r="U390" i="4"/>
  <c r="D390" i="4"/>
  <c r="AJ389" i="4"/>
  <c r="AI389" i="4"/>
  <c r="Y389" i="4"/>
  <c r="X389" i="4"/>
  <c r="W389" i="4"/>
  <c r="V389" i="4"/>
  <c r="U389" i="4"/>
  <c r="D389" i="4"/>
  <c r="AJ388" i="4"/>
  <c r="AI388" i="4"/>
  <c r="Y388" i="4"/>
  <c r="X388" i="4"/>
  <c r="W388" i="4"/>
  <c r="V388" i="4"/>
  <c r="U388" i="4"/>
  <c r="D388" i="4"/>
  <c r="AJ387" i="4"/>
  <c r="AI387" i="4"/>
  <c r="Y387" i="4"/>
  <c r="X387" i="4"/>
  <c r="W387" i="4"/>
  <c r="V387" i="4"/>
  <c r="U387" i="4"/>
  <c r="D387" i="4"/>
  <c r="AJ386" i="4"/>
  <c r="AI386" i="4"/>
  <c r="Y386" i="4"/>
  <c r="X386" i="4"/>
  <c r="W386" i="4"/>
  <c r="V386" i="4"/>
  <c r="U386" i="4"/>
  <c r="D386" i="4"/>
  <c r="AJ385" i="4"/>
  <c r="AI385" i="4"/>
  <c r="Y385" i="4"/>
  <c r="X385" i="4"/>
  <c r="W385" i="4"/>
  <c r="V385" i="4"/>
  <c r="U385" i="4"/>
  <c r="D385" i="4"/>
  <c r="AJ384" i="4"/>
  <c r="AI384" i="4"/>
  <c r="Y384" i="4"/>
  <c r="X384" i="4"/>
  <c r="W384" i="4"/>
  <c r="V384" i="4"/>
  <c r="U384" i="4"/>
  <c r="D384" i="4"/>
  <c r="Y383" i="4"/>
  <c r="X383" i="4"/>
  <c r="W383" i="4"/>
  <c r="V383" i="4"/>
  <c r="U383" i="4"/>
  <c r="D383" i="4"/>
  <c r="Y382" i="4"/>
  <c r="X382" i="4"/>
  <c r="W382" i="4"/>
  <c r="V382" i="4"/>
  <c r="U382" i="4"/>
  <c r="D382" i="4"/>
  <c r="AJ381" i="4"/>
  <c r="AI381" i="4"/>
  <c r="Y381" i="4"/>
  <c r="X381" i="4"/>
  <c r="W381" i="4"/>
  <c r="V381" i="4"/>
  <c r="U381" i="4"/>
  <c r="D381" i="4"/>
  <c r="Y380" i="4"/>
  <c r="X380" i="4"/>
  <c r="W380" i="4"/>
  <c r="V380" i="4"/>
  <c r="U380" i="4"/>
  <c r="D380" i="4"/>
  <c r="Y379" i="4"/>
  <c r="X379" i="4"/>
  <c r="W379" i="4"/>
  <c r="V379" i="4"/>
  <c r="U379" i="4"/>
  <c r="D379" i="4"/>
  <c r="Y378" i="4"/>
  <c r="X378" i="4"/>
  <c r="W378" i="4"/>
  <c r="V378" i="4"/>
  <c r="U378" i="4"/>
  <c r="D378" i="4"/>
  <c r="AJ377" i="4"/>
  <c r="AI377" i="4"/>
  <c r="Y377" i="4"/>
  <c r="X377" i="4"/>
  <c r="W377" i="4"/>
  <c r="V377" i="4"/>
  <c r="U377" i="4"/>
  <c r="D377" i="4"/>
  <c r="Y376" i="4"/>
  <c r="X376" i="4"/>
  <c r="W376" i="4"/>
  <c r="V376" i="4"/>
  <c r="U376" i="4"/>
  <c r="D376" i="4"/>
  <c r="AJ375" i="4"/>
  <c r="AI375" i="4"/>
  <c r="Y375" i="4"/>
  <c r="X375" i="4"/>
  <c r="W375" i="4"/>
  <c r="V375" i="4"/>
  <c r="U375" i="4"/>
  <c r="D375" i="4"/>
  <c r="AJ374" i="4"/>
  <c r="AI374" i="4"/>
  <c r="Y374" i="4"/>
  <c r="X374" i="4"/>
  <c r="W374" i="4"/>
  <c r="V374" i="4"/>
  <c r="U374" i="4"/>
  <c r="D374" i="4"/>
  <c r="AJ373" i="4"/>
  <c r="AI373" i="4"/>
  <c r="Y373" i="4"/>
  <c r="X373" i="4"/>
  <c r="W373" i="4"/>
  <c r="V373" i="4"/>
  <c r="U373" i="4"/>
  <c r="D373" i="4"/>
  <c r="AJ372" i="4"/>
  <c r="AI372" i="4"/>
  <c r="Y372" i="4"/>
  <c r="X372" i="4"/>
  <c r="W372" i="4"/>
  <c r="V372" i="4"/>
  <c r="U372" i="4"/>
  <c r="D372" i="4"/>
  <c r="AJ371" i="4"/>
  <c r="AI371" i="4"/>
  <c r="Y371" i="4"/>
  <c r="X371" i="4"/>
  <c r="W371" i="4"/>
  <c r="V371" i="4"/>
  <c r="U371" i="4"/>
  <c r="D371" i="4"/>
  <c r="AJ370" i="4"/>
  <c r="AI370" i="4"/>
  <c r="Y370" i="4"/>
  <c r="X370" i="4"/>
  <c r="W370" i="4"/>
  <c r="V370" i="4"/>
  <c r="U370" i="4"/>
  <c r="D370" i="4"/>
  <c r="AJ369" i="4"/>
  <c r="AI369" i="4"/>
  <c r="Y369" i="4"/>
  <c r="X369" i="4"/>
  <c r="W369" i="4"/>
  <c r="V369" i="4"/>
  <c r="U369" i="4"/>
  <c r="D369" i="4"/>
  <c r="AJ368" i="4"/>
  <c r="AI368" i="4"/>
  <c r="Y368" i="4"/>
  <c r="X368" i="4"/>
  <c r="W368" i="4"/>
  <c r="V368" i="4"/>
  <c r="U368" i="4"/>
  <c r="D368" i="4"/>
  <c r="Y367" i="4"/>
  <c r="X367" i="4"/>
  <c r="W367" i="4"/>
  <c r="V367" i="4"/>
  <c r="U367" i="4"/>
  <c r="D367" i="4"/>
  <c r="Y366" i="4"/>
  <c r="X366" i="4"/>
  <c r="W366" i="4"/>
  <c r="V366" i="4"/>
  <c r="U366" i="4"/>
  <c r="D366" i="4"/>
  <c r="Y365" i="4"/>
  <c r="X365" i="4"/>
  <c r="W365" i="4"/>
  <c r="V365" i="4"/>
  <c r="U365" i="4"/>
  <c r="D365" i="4"/>
  <c r="Y364" i="4"/>
  <c r="X364" i="4"/>
  <c r="W364" i="4"/>
  <c r="V364" i="4"/>
  <c r="U364" i="4"/>
  <c r="D364" i="4"/>
  <c r="Y363" i="4"/>
  <c r="X363" i="4"/>
  <c r="W363" i="4"/>
  <c r="V363" i="4"/>
  <c r="U363" i="4"/>
  <c r="D363" i="4"/>
  <c r="Y362" i="4"/>
  <c r="X362" i="4"/>
  <c r="W362" i="4"/>
  <c r="V362" i="4"/>
  <c r="U362" i="4"/>
  <c r="D362" i="4"/>
  <c r="Y361" i="4"/>
  <c r="X361" i="4"/>
  <c r="W361" i="4"/>
  <c r="V361" i="4"/>
  <c r="U361" i="4"/>
  <c r="D361" i="4"/>
  <c r="AJ360" i="4"/>
  <c r="AI360" i="4"/>
  <c r="Y360" i="4"/>
  <c r="X360" i="4"/>
  <c r="W360" i="4"/>
  <c r="V360" i="4"/>
  <c r="U360" i="4"/>
  <c r="D360" i="4"/>
  <c r="AJ359" i="4"/>
  <c r="AI359" i="4"/>
  <c r="Y359" i="4"/>
  <c r="X359" i="4"/>
  <c r="W359" i="4"/>
  <c r="V359" i="4"/>
  <c r="U359" i="4"/>
  <c r="D359" i="4"/>
  <c r="AJ358" i="4"/>
  <c r="AI358" i="4"/>
  <c r="Y358" i="4"/>
  <c r="X358" i="4"/>
  <c r="W358" i="4"/>
  <c r="V358" i="4"/>
  <c r="U358" i="4"/>
  <c r="D358" i="4"/>
  <c r="AJ357" i="4"/>
  <c r="AI357" i="4"/>
  <c r="Y357" i="4"/>
  <c r="X357" i="4"/>
  <c r="W357" i="4"/>
  <c r="V357" i="4"/>
  <c r="U357" i="4"/>
  <c r="D357" i="4"/>
  <c r="AJ356" i="4"/>
  <c r="AI356" i="4"/>
  <c r="Y356" i="4"/>
  <c r="X356" i="4"/>
  <c r="W356" i="4"/>
  <c r="V356" i="4"/>
  <c r="U356" i="4"/>
  <c r="D356" i="4"/>
  <c r="AJ355" i="4"/>
  <c r="AI355" i="4"/>
  <c r="Y355" i="4"/>
  <c r="X355" i="4"/>
  <c r="W355" i="4"/>
  <c r="V355" i="4"/>
  <c r="U355" i="4"/>
  <c r="D355" i="4"/>
  <c r="AJ354" i="4"/>
  <c r="AI354" i="4"/>
  <c r="Y354" i="4"/>
  <c r="X354" i="4"/>
  <c r="W354" i="4"/>
  <c r="V354" i="4"/>
  <c r="U354" i="4"/>
  <c r="D354" i="4"/>
  <c r="AJ353" i="4"/>
  <c r="AI353" i="4"/>
  <c r="Y353" i="4"/>
  <c r="X353" i="4"/>
  <c r="W353" i="4"/>
  <c r="V353" i="4"/>
  <c r="U353" i="4"/>
  <c r="D353" i="4"/>
  <c r="Y352" i="4"/>
  <c r="X352" i="4"/>
  <c r="W352" i="4"/>
  <c r="V352" i="4"/>
  <c r="U352" i="4"/>
  <c r="D352" i="4"/>
  <c r="Y351" i="4"/>
  <c r="X351" i="4"/>
  <c r="W351" i="4"/>
  <c r="V351" i="4"/>
  <c r="U351" i="4"/>
  <c r="D351" i="4"/>
  <c r="Y350" i="4"/>
  <c r="X350" i="4"/>
  <c r="W350" i="4"/>
  <c r="V350" i="4"/>
  <c r="U350" i="4"/>
  <c r="D350" i="4"/>
  <c r="AJ349" i="4"/>
  <c r="AI349" i="4"/>
  <c r="Y349" i="4"/>
  <c r="X349" i="4"/>
  <c r="W349" i="4"/>
  <c r="V349" i="4"/>
  <c r="U349" i="4"/>
  <c r="D349" i="4"/>
  <c r="Y348" i="4"/>
  <c r="X348" i="4"/>
  <c r="W348" i="4"/>
  <c r="V348" i="4"/>
  <c r="U348" i="4"/>
  <c r="D348" i="4"/>
  <c r="Y347" i="4"/>
  <c r="X347" i="4"/>
  <c r="W347" i="4"/>
  <c r="V347" i="4"/>
  <c r="U347" i="4"/>
  <c r="D347" i="4"/>
  <c r="Y346" i="4"/>
  <c r="X346" i="4"/>
  <c r="W346" i="4"/>
  <c r="V346" i="4"/>
  <c r="U346" i="4"/>
  <c r="D346" i="4"/>
  <c r="Y345" i="4"/>
  <c r="X345" i="4"/>
  <c r="W345" i="4"/>
  <c r="V345" i="4"/>
  <c r="U345" i="4"/>
  <c r="D345" i="4"/>
  <c r="AJ344" i="4"/>
  <c r="AI344" i="4"/>
  <c r="Y344" i="4"/>
  <c r="X344" i="4"/>
  <c r="W344" i="4"/>
  <c r="V344" i="4"/>
  <c r="U344" i="4"/>
  <c r="D344" i="4"/>
  <c r="AJ343" i="4"/>
  <c r="AI343" i="4"/>
  <c r="Y343" i="4"/>
  <c r="X343" i="4"/>
  <c r="W343" i="4"/>
  <c r="V343" i="4"/>
  <c r="U343" i="4"/>
  <c r="D343" i="4"/>
  <c r="AJ342" i="4"/>
  <c r="AI342" i="4"/>
  <c r="Y342" i="4"/>
  <c r="X342" i="4"/>
  <c r="W342" i="4"/>
  <c r="V342" i="4"/>
  <c r="U342" i="4"/>
  <c r="D342" i="4"/>
  <c r="AJ341" i="4"/>
  <c r="AI341" i="4"/>
  <c r="Y341" i="4"/>
  <c r="X341" i="4"/>
  <c r="W341" i="4"/>
  <c r="V341" i="4"/>
  <c r="U341" i="4"/>
  <c r="D341" i="4"/>
  <c r="AJ340" i="4"/>
  <c r="AI340" i="4"/>
  <c r="Y340" i="4"/>
  <c r="X340" i="4"/>
  <c r="W340" i="4"/>
  <c r="V340" i="4"/>
  <c r="U340" i="4"/>
  <c r="D340" i="4"/>
  <c r="AJ339" i="4"/>
  <c r="AI339" i="4"/>
  <c r="Y339" i="4"/>
  <c r="X339" i="4"/>
  <c r="W339" i="4"/>
  <c r="V339" i="4"/>
  <c r="U339" i="4"/>
  <c r="D339" i="4"/>
  <c r="AJ338" i="4"/>
  <c r="AI338" i="4"/>
  <c r="Y338" i="4"/>
  <c r="X338" i="4"/>
  <c r="W338" i="4"/>
  <c r="V338" i="4"/>
  <c r="U338" i="4"/>
  <c r="D338" i="4"/>
  <c r="AJ337" i="4"/>
  <c r="AI337" i="4"/>
  <c r="Y337" i="4"/>
  <c r="X337" i="4"/>
  <c r="W337" i="4"/>
  <c r="V337" i="4"/>
  <c r="U337" i="4"/>
  <c r="D337" i="4"/>
  <c r="Y336" i="4"/>
  <c r="X336" i="4"/>
  <c r="W336" i="4"/>
  <c r="V336" i="4"/>
  <c r="U336" i="4"/>
  <c r="D336" i="4"/>
  <c r="Y335" i="4"/>
  <c r="X335" i="4"/>
  <c r="W335" i="4"/>
  <c r="V335" i="4"/>
  <c r="U335" i="4"/>
  <c r="D335" i="4"/>
  <c r="AJ334" i="4"/>
  <c r="AI334" i="4"/>
  <c r="Y334" i="4"/>
  <c r="X334" i="4"/>
  <c r="W334" i="4"/>
  <c r="V334" i="4"/>
  <c r="U334" i="4"/>
  <c r="D334" i="4"/>
  <c r="Y333" i="4"/>
  <c r="X333" i="4"/>
  <c r="W333" i="4"/>
  <c r="V333" i="4"/>
  <c r="U333" i="4"/>
  <c r="D333" i="4"/>
  <c r="Y332" i="4"/>
  <c r="X332" i="4"/>
  <c r="W332" i="4"/>
  <c r="V332" i="4"/>
  <c r="U332" i="4"/>
  <c r="D332" i="4"/>
  <c r="Y331" i="4"/>
  <c r="X331" i="4"/>
  <c r="W331" i="4"/>
  <c r="V331" i="4"/>
  <c r="U331" i="4"/>
  <c r="D331" i="4"/>
  <c r="Y330" i="4"/>
  <c r="X330" i="4"/>
  <c r="W330" i="4"/>
  <c r="V330" i="4"/>
  <c r="U330" i="4"/>
  <c r="D330" i="4"/>
  <c r="AJ329" i="4"/>
  <c r="AI329" i="4"/>
  <c r="Y329" i="4"/>
  <c r="X329" i="4"/>
  <c r="W329" i="4"/>
  <c r="V329" i="4"/>
  <c r="U329" i="4"/>
  <c r="D329" i="4"/>
  <c r="AJ328" i="4"/>
  <c r="AI328" i="4"/>
  <c r="Y328" i="4"/>
  <c r="X328" i="4"/>
  <c r="W328" i="4"/>
  <c r="V328" i="4"/>
  <c r="U328" i="4"/>
  <c r="D328" i="4"/>
  <c r="AJ327" i="4"/>
  <c r="AI327" i="4"/>
  <c r="Y327" i="4"/>
  <c r="X327" i="4"/>
  <c r="W327" i="4"/>
  <c r="V327" i="4"/>
  <c r="U327" i="4"/>
  <c r="D327" i="4"/>
  <c r="AJ326" i="4"/>
  <c r="AI326" i="4"/>
  <c r="Y326" i="4"/>
  <c r="X326" i="4"/>
  <c r="W326" i="4"/>
  <c r="V326" i="4"/>
  <c r="U326" i="4"/>
  <c r="D326" i="4"/>
  <c r="AJ325" i="4"/>
  <c r="AI325" i="4"/>
  <c r="Y325" i="4"/>
  <c r="X325" i="4"/>
  <c r="W325" i="4"/>
  <c r="V325" i="4"/>
  <c r="U325" i="4"/>
  <c r="D325" i="4"/>
  <c r="AJ324" i="4"/>
  <c r="AI324" i="4"/>
  <c r="Y324" i="4"/>
  <c r="X324" i="4"/>
  <c r="W324" i="4"/>
  <c r="V324" i="4"/>
  <c r="U324" i="4"/>
  <c r="D324" i="4"/>
  <c r="AJ323" i="4"/>
  <c r="AI323" i="4"/>
  <c r="Y323" i="4"/>
  <c r="X323" i="4"/>
  <c r="W323" i="4"/>
  <c r="V323" i="4"/>
  <c r="U323" i="4"/>
  <c r="D323" i="4"/>
  <c r="AJ322" i="4"/>
  <c r="AI322" i="4"/>
  <c r="Y322" i="4"/>
  <c r="X322" i="4"/>
  <c r="W322" i="4"/>
  <c r="V322" i="4"/>
  <c r="U322" i="4"/>
  <c r="D322" i="4"/>
  <c r="Y321" i="4"/>
  <c r="X321" i="4"/>
  <c r="W321" i="4"/>
  <c r="V321" i="4"/>
  <c r="U321" i="4"/>
  <c r="D321" i="4"/>
  <c r="Y320" i="4"/>
  <c r="X320" i="4"/>
  <c r="W320" i="4"/>
  <c r="V320" i="4"/>
  <c r="U320" i="4"/>
  <c r="D320" i="4"/>
  <c r="AJ319" i="4"/>
  <c r="AI319" i="4"/>
  <c r="Y319" i="4"/>
  <c r="X319" i="4"/>
  <c r="W319" i="4"/>
  <c r="V319" i="4"/>
  <c r="U319" i="4"/>
  <c r="D319" i="4"/>
  <c r="AJ318" i="4"/>
  <c r="AI318" i="4"/>
  <c r="Y318" i="4"/>
  <c r="X318" i="4"/>
  <c r="W318" i="4"/>
  <c r="V318" i="4"/>
  <c r="U318" i="4"/>
  <c r="D318" i="4"/>
  <c r="AJ317" i="4"/>
  <c r="AI317" i="4"/>
  <c r="Y317" i="4"/>
  <c r="X317" i="4"/>
  <c r="W317" i="4"/>
  <c r="V317" i="4"/>
  <c r="U317" i="4"/>
  <c r="D317" i="4"/>
  <c r="AJ316" i="4"/>
  <c r="AI316" i="4"/>
  <c r="Y316" i="4"/>
  <c r="X316" i="4"/>
  <c r="W316" i="4"/>
  <c r="V316" i="4"/>
  <c r="U316" i="4"/>
  <c r="D316" i="4"/>
  <c r="AJ315" i="4"/>
  <c r="AI315" i="4"/>
  <c r="Y315" i="4"/>
  <c r="X315" i="4"/>
  <c r="W315" i="4"/>
  <c r="V315" i="4"/>
  <c r="U315" i="4"/>
  <c r="D315" i="4"/>
  <c r="AJ314" i="4"/>
  <c r="AI314" i="4"/>
  <c r="Y314" i="4"/>
  <c r="X314" i="4"/>
  <c r="W314" i="4"/>
  <c r="V314" i="4"/>
  <c r="U314" i="4"/>
  <c r="AJ313" i="4"/>
  <c r="AI313" i="4"/>
  <c r="Y313" i="4"/>
  <c r="X313" i="4"/>
  <c r="W313" i="4"/>
  <c r="V313" i="4"/>
  <c r="U313" i="4"/>
  <c r="AJ312" i="4"/>
  <c r="AI312" i="4"/>
  <c r="Y312" i="4"/>
  <c r="X312" i="4"/>
  <c r="W312" i="4"/>
  <c r="V312" i="4"/>
  <c r="U312" i="4"/>
  <c r="AJ311" i="4"/>
  <c r="AI311" i="4"/>
  <c r="Y311" i="4"/>
  <c r="X311" i="4"/>
  <c r="W311" i="4"/>
  <c r="V311" i="4"/>
  <c r="U311" i="4"/>
  <c r="AJ310" i="4"/>
  <c r="AI310" i="4"/>
  <c r="Y310" i="4"/>
  <c r="X310" i="4"/>
  <c r="W310" i="4"/>
  <c r="V310" i="4"/>
  <c r="U310" i="4"/>
  <c r="AJ309" i="4"/>
  <c r="AI309" i="4"/>
  <c r="Y309" i="4"/>
  <c r="X309" i="4"/>
  <c r="W309" i="4"/>
  <c r="V309" i="4"/>
  <c r="U309" i="4"/>
  <c r="D309" i="4"/>
  <c r="AJ308" i="4"/>
  <c r="AI308" i="4"/>
  <c r="Y308" i="4"/>
  <c r="X308" i="4"/>
  <c r="W308" i="4"/>
  <c r="V308" i="4"/>
  <c r="U308" i="4"/>
  <c r="D308" i="4"/>
  <c r="AJ307" i="4"/>
  <c r="AI307" i="4"/>
  <c r="Y307" i="4"/>
  <c r="X307" i="4"/>
  <c r="W307" i="4"/>
  <c r="V307" i="4"/>
  <c r="U307" i="4"/>
  <c r="D307" i="4"/>
  <c r="AJ306" i="4"/>
  <c r="AI306" i="4"/>
  <c r="Y306" i="4"/>
  <c r="X306" i="4"/>
  <c r="W306" i="4"/>
  <c r="V306" i="4"/>
  <c r="U306" i="4"/>
  <c r="D306" i="4"/>
  <c r="Y305" i="4"/>
  <c r="X305" i="4"/>
  <c r="W305" i="4"/>
  <c r="V305" i="4"/>
  <c r="U305" i="4"/>
  <c r="D305" i="4"/>
  <c r="Y304" i="4"/>
  <c r="X304" i="4"/>
  <c r="W304" i="4"/>
  <c r="V304" i="4"/>
  <c r="U304" i="4"/>
  <c r="D304" i="4"/>
  <c r="AJ303" i="4"/>
  <c r="AI303" i="4"/>
  <c r="Y303" i="4"/>
  <c r="X303" i="4"/>
  <c r="W303" i="4"/>
  <c r="V303" i="4"/>
  <c r="U303" i="4"/>
  <c r="D303" i="4"/>
  <c r="AJ302" i="4"/>
  <c r="AI302" i="4"/>
  <c r="Y302" i="4"/>
  <c r="X302" i="4"/>
  <c r="W302" i="4"/>
  <c r="V302" i="4"/>
  <c r="U302" i="4"/>
  <c r="D302" i="4"/>
  <c r="AJ301" i="4"/>
  <c r="AI301" i="4"/>
  <c r="Y301" i="4"/>
  <c r="X301" i="4"/>
  <c r="W301" i="4"/>
  <c r="V301" i="4"/>
  <c r="U301" i="4"/>
  <c r="D301" i="4"/>
  <c r="AJ300" i="4"/>
  <c r="AI300" i="4"/>
  <c r="Y300" i="4"/>
  <c r="X300" i="4"/>
  <c r="W300" i="4"/>
  <c r="V300" i="4"/>
  <c r="U300" i="4"/>
  <c r="D300" i="4"/>
  <c r="Y299" i="4"/>
  <c r="X299" i="4"/>
  <c r="W299" i="4"/>
  <c r="V299" i="4"/>
  <c r="U299" i="4"/>
  <c r="D299" i="4"/>
  <c r="AJ298" i="4"/>
  <c r="AI298" i="4"/>
  <c r="Y298" i="4"/>
  <c r="X298" i="4"/>
  <c r="W298" i="4"/>
  <c r="V298" i="4"/>
  <c r="U298" i="4"/>
  <c r="D298" i="4"/>
  <c r="Y297" i="4"/>
  <c r="X297" i="4"/>
  <c r="W297" i="4"/>
  <c r="V297" i="4"/>
  <c r="U297" i="4"/>
  <c r="D297" i="4"/>
  <c r="AJ296" i="4"/>
  <c r="AI296" i="4"/>
  <c r="Y296" i="4"/>
  <c r="X296" i="4"/>
  <c r="W296" i="4"/>
  <c r="V296" i="4"/>
  <c r="U296" i="4"/>
  <c r="D296" i="4"/>
  <c r="Y295" i="4"/>
  <c r="X295" i="4"/>
  <c r="W295" i="4"/>
  <c r="V295" i="4"/>
  <c r="U295" i="4"/>
  <c r="D295" i="4"/>
  <c r="Y294" i="4"/>
  <c r="X294" i="4"/>
  <c r="W294" i="4"/>
  <c r="V294" i="4"/>
  <c r="U294" i="4"/>
  <c r="D294" i="4"/>
  <c r="AJ293" i="4"/>
  <c r="AI293" i="4"/>
  <c r="Y293" i="4"/>
  <c r="X293" i="4"/>
  <c r="W293" i="4"/>
  <c r="V293" i="4"/>
  <c r="U293" i="4"/>
  <c r="D293" i="4"/>
  <c r="Y292" i="4"/>
  <c r="X292" i="4"/>
  <c r="W292" i="4"/>
  <c r="V292" i="4"/>
  <c r="U292" i="4"/>
  <c r="D292" i="4"/>
  <c r="AJ291" i="4"/>
  <c r="AI291" i="4"/>
  <c r="Y291" i="4"/>
  <c r="X291" i="4"/>
  <c r="W291" i="4"/>
  <c r="V291" i="4"/>
  <c r="U291" i="4"/>
  <c r="D291" i="4"/>
  <c r="AJ290" i="4"/>
  <c r="AI290" i="4"/>
  <c r="Y290" i="4"/>
  <c r="X290" i="4"/>
  <c r="W290" i="4"/>
  <c r="V290" i="4"/>
  <c r="U290" i="4"/>
  <c r="D290" i="4"/>
  <c r="Y289" i="4"/>
  <c r="X289" i="4"/>
  <c r="W289" i="4"/>
  <c r="V289" i="4"/>
  <c r="U289" i="4"/>
  <c r="D289" i="4"/>
  <c r="Y288" i="4"/>
  <c r="X288" i="4"/>
  <c r="W288" i="4"/>
  <c r="V288" i="4"/>
  <c r="U288" i="4"/>
  <c r="D288" i="4"/>
  <c r="Y287" i="4"/>
  <c r="X287" i="4"/>
  <c r="W287" i="4"/>
  <c r="V287" i="4"/>
  <c r="U287" i="4"/>
  <c r="D287" i="4"/>
  <c r="AJ286" i="4"/>
  <c r="AI286" i="4"/>
  <c r="Y286" i="4"/>
  <c r="X286" i="4"/>
  <c r="W286" i="4"/>
  <c r="V286" i="4"/>
  <c r="U286" i="4"/>
  <c r="D286" i="4"/>
  <c r="Y285" i="4"/>
  <c r="X285" i="4"/>
  <c r="W285" i="4"/>
  <c r="V285" i="4"/>
  <c r="U285" i="4"/>
  <c r="D285" i="4"/>
  <c r="Y284" i="4"/>
  <c r="X284" i="4"/>
  <c r="W284" i="4"/>
  <c r="V284" i="4"/>
  <c r="U284" i="4"/>
  <c r="D284" i="4"/>
  <c r="Y283" i="4"/>
  <c r="X283" i="4"/>
  <c r="W283" i="4"/>
  <c r="V283" i="4"/>
  <c r="U283" i="4"/>
  <c r="D283" i="4"/>
  <c r="AJ282" i="4"/>
  <c r="AI282" i="4"/>
  <c r="Y282" i="4"/>
  <c r="X282" i="4"/>
  <c r="W282" i="4"/>
  <c r="V282" i="4"/>
  <c r="U282" i="4"/>
  <c r="D282" i="4"/>
  <c r="AJ281" i="4"/>
  <c r="AI281" i="4"/>
  <c r="Y281" i="4"/>
  <c r="X281" i="4"/>
  <c r="W281" i="4"/>
  <c r="V281" i="4"/>
  <c r="U281" i="4"/>
  <c r="D281" i="4"/>
  <c r="AJ280" i="4"/>
  <c r="AI280" i="4"/>
  <c r="Y280" i="4"/>
  <c r="X280" i="4"/>
  <c r="W280" i="4"/>
  <c r="V280" i="4"/>
  <c r="U280" i="4"/>
  <c r="D280" i="4"/>
  <c r="AJ279" i="4"/>
  <c r="AI279" i="4"/>
  <c r="Y279" i="4"/>
  <c r="X279" i="4"/>
  <c r="W279" i="4"/>
  <c r="V279" i="4"/>
  <c r="U279" i="4"/>
  <c r="D279" i="4"/>
  <c r="AJ278" i="4"/>
  <c r="AI278" i="4"/>
  <c r="Y278" i="4"/>
  <c r="X278" i="4"/>
  <c r="W278" i="4"/>
  <c r="V278" i="4"/>
  <c r="U278" i="4"/>
  <c r="D278" i="4"/>
  <c r="AJ277" i="4"/>
  <c r="AI277" i="4"/>
  <c r="Y277" i="4"/>
  <c r="X277" i="4"/>
  <c r="W277" i="4"/>
  <c r="V277" i="4"/>
  <c r="U277" i="4"/>
  <c r="D277" i="4"/>
  <c r="AJ276" i="4"/>
  <c r="AI276" i="4"/>
  <c r="Y276" i="4"/>
  <c r="X276" i="4"/>
  <c r="W276" i="4"/>
  <c r="V276" i="4"/>
  <c r="U276" i="4"/>
  <c r="D276" i="4"/>
  <c r="AJ275" i="4"/>
  <c r="AI275" i="4"/>
  <c r="Y275" i="4"/>
  <c r="X275" i="4"/>
  <c r="W275" i="4"/>
  <c r="V275" i="4"/>
  <c r="U275" i="4"/>
  <c r="D275" i="4"/>
  <c r="Y274" i="4"/>
  <c r="X274" i="4"/>
  <c r="W274" i="4"/>
  <c r="V274" i="4"/>
  <c r="U274" i="4"/>
  <c r="D274" i="4"/>
  <c r="Y273" i="4"/>
  <c r="X273" i="4"/>
  <c r="W273" i="4"/>
  <c r="V273" i="4"/>
  <c r="U273" i="4"/>
  <c r="D273" i="4"/>
  <c r="Y272" i="4"/>
  <c r="X272" i="4"/>
  <c r="W272" i="4"/>
  <c r="V272" i="4"/>
  <c r="U272" i="4"/>
  <c r="D272" i="4"/>
  <c r="Y271" i="4"/>
  <c r="X271" i="4"/>
  <c r="W271" i="4"/>
  <c r="V271" i="4"/>
  <c r="U271" i="4"/>
  <c r="D271" i="4"/>
  <c r="Y270" i="4"/>
  <c r="X270" i="4"/>
  <c r="W270" i="4"/>
  <c r="V270" i="4"/>
  <c r="U270" i="4"/>
  <c r="D270" i="4"/>
  <c r="Y269" i="4"/>
  <c r="X269" i="4"/>
  <c r="W269" i="4"/>
  <c r="V269" i="4"/>
  <c r="U269" i="4"/>
  <c r="D269" i="4"/>
  <c r="Y268" i="4"/>
  <c r="X268" i="4"/>
  <c r="W268" i="4"/>
  <c r="V268" i="4"/>
  <c r="U268" i="4"/>
  <c r="D268" i="4"/>
  <c r="Y267" i="4"/>
  <c r="X267" i="4"/>
  <c r="W267" i="4"/>
  <c r="V267" i="4"/>
  <c r="U267" i="4"/>
  <c r="D267" i="4"/>
  <c r="Y266" i="4"/>
  <c r="X266" i="4"/>
  <c r="W266" i="4"/>
  <c r="V266" i="4"/>
  <c r="U266" i="4"/>
  <c r="D266" i="4"/>
  <c r="AJ265" i="4"/>
  <c r="AI265" i="4"/>
  <c r="Y265" i="4"/>
  <c r="X265" i="4"/>
  <c r="W265" i="4"/>
  <c r="V265" i="4"/>
  <c r="U265" i="4"/>
  <c r="D265" i="4"/>
  <c r="AJ264" i="4"/>
  <c r="AI264" i="4"/>
  <c r="Y264" i="4"/>
  <c r="X264" i="4"/>
  <c r="W264" i="4"/>
  <c r="V264" i="4"/>
  <c r="U264" i="4"/>
  <c r="D264" i="4"/>
  <c r="AJ263" i="4"/>
  <c r="AI263" i="4"/>
  <c r="Y263" i="4"/>
  <c r="X263" i="4"/>
  <c r="W263" i="4"/>
  <c r="V263" i="4"/>
  <c r="U263" i="4"/>
  <c r="D263" i="4"/>
  <c r="AJ262" i="4"/>
  <c r="AI262" i="4"/>
  <c r="Y262" i="4"/>
  <c r="X262" i="4"/>
  <c r="W262" i="4"/>
  <c r="V262" i="4"/>
  <c r="U262" i="4"/>
  <c r="D262" i="4"/>
  <c r="AJ261" i="4"/>
  <c r="AI261" i="4"/>
  <c r="Y261" i="4"/>
  <c r="X261" i="4"/>
  <c r="W261" i="4"/>
  <c r="V261" i="4"/>
  <c r="U261" i="4"/>
  <c r="D261" i="4"/>
  <c r="AJ260" i="4"/>
  <c r="AI260" i="4"/>
  <c r="Y260" i="4"/>
  <c r="X260" i="4"/>
  <c r="W260" i="4"/>
  <c r="V260" i="4"/>
  <c r="U260" i="4"/>
  <c r="D260" i="4"/>
  <c r="AJ259" i="4"/>
  <c r="AI259" i="4"/>
  <c r="Y259" i="4"/>
  <c r="X259" i="4"/>
  <c r="W259" i="4"/>
  <c r="V259" i="4"/>
  <c r="U259" i="4"/>
  <c r="D259" i="4"/>
  <c r="AJ258" i="4"/>
  <c r="AI258" i="4"/>
  <c r="Y258" i="4"/>
  <c r="X258" i="4"/>
  <c r="W258" i="4"/>
  <c r="V258" i="4"/>
  <c r="U258" i="4"/>
  <c r="D258" i="4"/>
  <c r="AJ257" i="4"/>
  <c r="AI257" i="4"/>
  <c r="Y257" i="4"/>
  <c r="X257" i="4"/>
  <c r="W257" i="4"/>
  <c r="V257" i="4"/>
  <c r="U257" i="4"/>
  <c r="D257" i="4"/>
  <c r="Y256" i="4"/>
  <c r="X256" i="4"/>
  <c r="W256" i="4"/>
  <c r="V256" i="4"/>
  <c r="U256" i="4"/>
  <c r="D256" i="4"/>
  <c r="Y255" i="4"/>
  <c r="X255" i="4"/>
  <c r="W255" i="4"/>
  <c r="V255" i="4"/>
  <c r="U255" i="4"/>
  <c r="D255" i="4"/>
  <c r="Y254" i="4"/>
  <c r="X254" i="4"/>
  <c r="W254" i="4"/>
  <c r="V254" i="4"/>
  <c r="U254" i="4"/>
  <c r="D254" i="4"/>
  <c r="Y253" i="4"/>
  <c r="X253" i="4"/>
  <c r="W253" i="4"/>
  <c r="V253" i="4"/>
  <c r="U253" i="4"/>
  <c r="D253" i="4"/>
  <c r="Y252" i="4"/>
  <c r="X252" i="4"/>
  <c r="W252" i="4"/>
  <c r="V252" i="4"/>
  <c r="U252" i="4"/>
  <c r="D252" i="4"/>
  <c r="AJ251" i="4"/>
  <c r="AI251" i="4"/>
  <c r="Y251" i="4"/>
  <c r="X251" i="4"/>
  <c r="W251" i="4"/>
  <c r="V251" i="4"/>
  <c r="U251" i="4"/>
  <c r="D251" i="4"/>
  <c r="Y250" i="4"/>
  <c r="X250" i="4"/>
  <c r="W250" i="4"/>
  <c r="V250" i="4"/>
  <c r="U250" i="4"/>
  <c r="D250" i="4"/>
  <c r="AJ249" i="4"/>
  <c r="AI249" i="4"/>
  <c r="Y249" i="4"/>
  <c r="X249" i="4"/>
  <c r="W249" i="4"/>
  <c r="V249" i="4"/>
  <c r="U249" i="4"/>
  <c r="D249" i="4"/>
  <c r="AJ248" i="4"/>
  <c r="AI248" i="4"/>
  <c r="Y248" i="4"/>
  <c r="X248" i="4"/>
  <c r="W248" i="4"/>
  <c r="V248" i="4"/>
  <c r="U248" i="4"/>
  <c r="D248" i="4"/>
  <c r="Y247" i="4"/>
  <c r="X247" i="4"/>
  <c r="W247" i="4"/>
  <c r="V247" i="4"/>
  <c r="U247" i="4"/>
  <c r="D247" i="4"/>
  <c r="AJ246" i="4"/>
  <c r="AI246" i="4"/>
  <c r="Y246" i="4"/>
  <c r="X246" i="4"/>
  <c r="W246" i="4"/>
  <c r="V246" i="4"/>
  <c r="U246" i="4"/>
  <c r="D246" i="4"/>
  <c r="AJ245" i="4"/>
  <c r="AI245" i="4"/>
  <c r="Y245" i="4"/>
  <c r="X245" i="4"/>
  <c r="W245" i="4"/>
  <c r="V245" i="4"/>
  <c r="U245" i="4"/>
  <c r="D245" i="4"/>
  <c r="AJ244" i="4"/>
  <c r="AI244" i="4"/>
  <c r="Y244" i="4"/>
  <c r="X244" i="4"/>
  <c r="W244" i="4"/>
  <c r="V244" i="4"/>
  <c r="U244" i="4"/>
  <c r="D244" i="4"/>
  <c r="AJ243" i="4"/>
  <c r="AI243" i="4"/>
  <c r="Y243" i="4"/>
  <c r="X243" i="4"/>
  <c r="W243" i="4"/>
  <c r="V243" i="4"/>
  <c r="U243" i="4"/>
  <c r="D243" i="4"/>
  <c r="Y242" i="4"/>
  <c r="X242" i="4"/>
  <c r="W242" i="4"/>
  <c r="V242" i="4"/>
  <c r="U242" i="4"/>
  <c r="D242" i="4"/>
  <c r="AJ241" i="4"/>
  <c r="AI241" i="4"/>
  <c r="Y241" i="4"/>
  <c r="X241" i="4"/>
  <c r="W241" i="4"/>
  <c r="V241" i="4"/>
  <c r="U241" i="4"/>
  <c r="D241" i="4"/>
  <c r="AJ240" i="4"/>
  <c r="AI240" i="4"/>
  <c r="Y240" i="4"/>
  <c r="X240" i="4"/>
  <c r="W240" i="4"/>
  <c r="V240" i="4"/>
  <c r="U240" i="4"/>
  <c r="D240" i="4"/>
  <c r="AJ239" i="4"/>
  <c r="AI239" i="4"/>
  <c r="Y239" i="4"/>
  <c r="X239" i="4"/>
  <c r="W239" i="4"/>
  <c r="V239" i="4"/>
  <c r="U239" i="4"/>
  <c r="D239" i="4"/>
  <c r="Y238" i="4"/>
  <c r="X238" i="4"/>
  <c r="W238" i="4"/>
  <c r="V238" i="4"/>
  <c r="U238" i="4"/>
  <c r="D238" i="4"/>
  <c r="AJ237" i="4"/>
  <c r="AI237" i="4"/>
  <c r="Y237" i="4"/>
  <c r="X237" i="4"/>
  <c r="W237" i="4"/>
  <c r="V237" i="4"/>
  <c r="U237" i="4"/>
  <c r="D237" i="4"/>
  <c r="Y236" i="4"/>
  <c r="X236" i="4"/>
  <c r="W236" i="4"/>
  <c r="V236" i="4"/>
  <c r="U236" i="4"/>
  <c r="D236" i="4"/>
  <c r="Y235" i="4"/>
  <c r="X235" i="4"/>
  <c r="W235" i="4"/>
  <c r="V235" i="4"/>
  <c r="U235" i="4"/>
  <c r="D235" i="4"/>
  <c r="Y234" i="4"/>
  <c r="X234" i="4"/>
  <c r="W234" i="4"/>
  <c r="V234" i="4"/>
  <c r="U234" i="4"/>
  <c r="D234" i="4"/>
  <c r="Y233" i="4"/>
  <c r="X233" i="4"/>
  <c r="W233" i="4"/>
  <c r="V233" i="4"/>
  <c r="U233" i="4"/>
  <c r="D233" i="4"/>
  <c r="Y232" i="4"/>
  <c r="X232" i="4"/>
  <c r="W232" i="4"/>
  <c r="V232" i="4"/>
  <c r="U232" i="4"/>
  <c r="D232" i="4"/>
  <c r="AJ231" i="4"/>
  <c r="AI231" i="4"/>
  <c r="Y231" i="4"/>
  <c r="X231" i="4"/>
  <c r="W231" i="4"/>
  <c r="V231" i="4"/>
  <c r="U231" i="4"/>
  <c r="D231" i="4"/>
  <c r="AJ230" i="4"/>
  <c r="AI230" i="4"/>
  <c r="Y230" i="4"/>
  <c r="X230" i="4"/>
  <c r="W230" i="4"/>
  <c r="V230" i="4"/>
  <c r="U230" i="4"/>
  <c r="D230" i="4"/>
  <c r="AJ229" i="4"/>
  <c r="AI229" i="4"/>
  <c r="Y229" i="4"/>
  <c r="X229" i="4"/>
  <c r="W229" i="4"/>
  <c r="V229" i="4"/>
  <c r="U229" i="4"/>
  <c r="D229" i="4"/>
  <c r="AJ228" i="4"/>
  <c r="AI228" i="4"/>
  <c r="Y228" i="4"/>
  <c r="X228" i="4"/>
  <c r="W228" i="4"/>
  <c r="V228" i="4"/>
  <c r="U228" i="4"/>
  <c r="D228" i="4"/>
  <c r="AJ227" i="4"/>
  <c r="AI227" i="4"/>
  <c r="Y227" i="4"/>
  <c r="X227" i="4"/>
  <c r="W227" i="4"/>
  <c r="V227" i="4"/>
  <c r="U227" i="4"/>
  <c r="D227" i="4"/>
  <c r="AJ226" i="4"/>
  <c r="AI226" i="4"/>
  <c r="Y226" i="4"/>
  <c r="X226" i="4"/>
  <c r="W226" i="4"/>
  <c r="V226" i="4"/>
  <c r="U226" i="4"/>
  <c r="D226" i="4"/>
  <c r="AJ225" i="4"/>
  <c r="AI225" i="4"/>
  <c r="Y225" i="4"/>
  <c r="X225" i="4"/>
  <c r="W225" i="4"/>
  <c r="V225" i="4"/>
  <c r="U225" i="4"/>
  <c r="D225" i="4"/>
  <c r="AJ224" i="4"/>
  <c r="AI224" i="4"/>
  <c r="AJ221" i="4"/>
  <c r="AI221" i="4"/>
  <c r="AJ218" i="4"/>
  <c r="AI218" i="4"/>
  <c r="AJ215" i="4"/>
  <c r="AI215" i="4"/>
  <c r="AJ214" i="4"/>
  <c r="AI214" i="4"/>
  <c r="AJ212" i="4"/>
  <c r="AI212" i="4"/>
  <c r="AJ211" i="4"/>
  <c r="AI211" i="4"/>
  <c r="AJ210" i="4"/>
  <c r="AI210" i="4"/>
  <c r="AJ209" i="4"/>
  <c r="AI209" i="4"/>
  <c r="AJ208" i="4"/>
  <c r="AI208" i="4"/>
  <c r="Y208" i="4"/>
  <c r="X208" i="4"/>
  <c r="W208" i="4"/>
  <c r="V208" i="4"/>
  <c r="U208" i="4"/>
  <c r="D208" i="4"/>
  <c r="AJ207" i="4"/>
  <c r="AI207" i="4"/>
  <c r="Y207" i="4"/>
  <c r="X207" i="4"/>
  <c r="W207" i="4"/>
  <c r="V207" i="4"/>
  <c r="U207" i="4"/>
  <c r="D207" i="4"/>
  <c r="Y206" i="4"/>
  <c r="X206" i="4"/>
  <c r="W206" i="4"/>
  <c r="V206" i="4"/>
  <c r="U206" i="4"/>
  <c r="D206" i="4"/>
  <c r="AJ205" i="4"/>
  <c r="AI205" i="4"/>
  <c r="Y205" i="4"/>
  <c r="X205" i="4"/>
  <c r="W205" i="4"/>
  <c r="V205" i="4"/>
  <c r="U205" i="4"/>
  <c r="D205" i="4"/>
  <c r="AJ204" i="4"/>
  <c r="AI204" i="4"/>
  <c r="Y204" i="4"/>
  <c r="X204" i="4"/>
  <c r="W204" i="4"/>
  <c r="V204" i="4"/>
  <c r="U204" i="4"/>
  <c r="D204" i="4"/>
  <c r="AJ203" i="4"/>
  <c r="AI203" i="4"/>
  <c r="Y203" i="4"/>
  <c r="X203" i="4"/>
  <c r="W203" i="4"/>
  <c r="V203" i="4"/>
  <c r="U203" i="4"/>
  <c r="D203" i="4"/>
  <c r="AJ202" i="4"/>
  <c r="AI202" i="4"/>
  <c r="Y202" i="4"/>
  <c r="X202" i="4"/>
  <c r="W202" i="4"/>
  <c r="V202" i="4"/>
  <c r="U202" i="4"/>
  <c r="D202" i="4"/>
  <c r="AJ201" i="4"/>
  <c r="AI201" i="4"/>
  <c r="Y201" i="4"/>
  <c r="X201" i="4"/>
  <c r="W201" i="4"/>
  <c r="V201" i="4"/>
  <c r="U201" i="4"/>
  <c r="D201" i="4"/>
  <c r="AJ200" i="4"/>
  <c r="AI200" i="4"/>
  <c r="Y200" i="4"/>
  <c r="X200" i="4"/>
  <c r="W200" i="4"/>
  <c r="V200" i="4"/>
  <c r="U200" i="4"/>
  <c r="D200" i="4"/>
  <c r="AJ199" i="4"/>
  <c r="AI199" i="4"/>
  <c r="Y199" i="4"/>
  <c r="X199" i="4"/>
  <c r="W199" i="4"/>
  <c r="V199" i="4"/>
  <c r="U199" i="4"/>
  <c r="D199" i="4"/>
  <c r="AJ198" i="4"/>
  <c r="AI198" i="4"/>
  <c r="Y198" i="4"/>
  <c r="X198" i="4"/>
  <c r="W198" i="4"/>
  <c r="V198" i="4"/>
  <c r="U198" i="4"/>
  <c r="D198" i="4"/>
  <c r="AJ197" i="4"/>
  <c r="AI197" i="4"/>
  <c r="Y197" i="4"/>
  <c r="X197" i="4"/>
  <c r="W197" i="4"/>
  <c r="V197" i="4"/>
  <c r="U197" i="4"/>
  <c r="D197" i="4"/>
  <c r="AJ196" i="4"/>
  <c r="AI196" i="4"/>
  <c r="Y196" i="4"/>
  <c r="X196" i="4"/>
  <c r="W196" i="4"/>
  <c r="V196" i="4"/>
  <c r="U196" i="4"/>
  <c r="D196" i="4"/>
  <c r="AJ195" i="4"/>
  <c r="AI195" i="4"/>
  <c r="Y195" i="4"/>
  <c r="X195" i="4"/>
  <c r="W195" i="4"/>
  <c r="V195" i="4"/>
  <c r="U195" i="4"/>
  <c r="D195" i="4"/>
  <c r="AJ194" i="4"/>
  <c r="AI194" i="4"/>
  <c r="Y194" i="4"/>
  <c r="X194" i="4"/>
  <c r="W194" i="4"/>
  <c r="V194" i="4"/>
  <c r="U194" i="4"/>
  <c r="D194" i="4"/>
  <c r="AJ193" i="4"/>
  <c r="AI193" i="4"/>
  <c r="Y193" i="4"/>
  <c r="X193" i="4"/>
  <c r="W193" i="4"/>
  <c r="V193" i="4"/>
  <c r="U193" i="4"/>
  <c r="D193" i="4"/>
  <c r="AJ192" i="4"/>
  <c r="AI192" i="4"/>
  <c r="Y192" i="4"/>
  <c r="X192" i="4"/>
  <c r="W192" i="4"/>
  <c r="V192" i="4"/>
  <c r="U192" i="4"/>
  <c r="D192" i="4"/>
  <c r="AJ191" i="4"/>
  <c r="AI191" i="4"/>
  <c r="Y191" i="4"/>
  <c r="X191" i="4"/>
  <c r="W191" i="4"/>
  <c r="V191" i="4"/>
  <c r="U191" i="4"/>
  <c r="D191" i="4"/>
  <c r="Y190" i="4"/>
  <c r="X190" i="4"/>
  <c r="W190" i="4"/>
  <c r="V190" i="4"/>
  <c r="U190" i="4"/>
  <c r="D190" i="4"/>
  <c r="AJ189" i="4"/>
  <c r="AI189" i="4"/>
  <c r="Y189" i="4"/>
  <c r="X189" i="4"/>
  <c r="W189" i="4"/>
  <c r="V189" i="4"/>
  <c r="U189" i="4"/>
  <c r="D189" i="4"/>
  <c r="AJ188" i="4"/>
  <c r="AI188" i="4"/>
  <c r="Y188" i="4"/>
  <c r="X188" i="4"/>
  <c r="W188" i="4"/>
  <c r="V188" i="4"/>
  <c r="U188" i="4"/>
  <c r="D188" i="4"/>
  <c r="AJ187" i="4"/>
  <c r="AI187" i="4"/>
  <c r="Y187" i="4"/>
  <c r="X187" i="4"/>
  <c r="W187" i="4"/>
  <c r="V187" i="4"/>
  <c r="U187" i="4"/>
  <c r="D187" i="4"/>
  <c r="AJ186" i="4"/>
  <c r="AI186" i="4"/>
  <c r="Y186" i="4"/>
  <c r="X186" i="4"/>
  <c r="W186" i="4"/>
  <c r="V186" i="4"/>
  <c r="U186" i="4"/>
  <c r="D186" i="4"/>
  <c r="AJ185" i="4"/>
  <c r="AI185" i="4"/>
  <c r="Y185" i="4"/>
  <c r="X185" i="4"/>
  <c r="W185" i="4"/>
  <c r="V185" i="4"/>
  <c r="U185" i="4"/>
  <c r="D185" i="4"/>
  <c r="AJ184" i="4"/>
  <c r="AI184" i="4"/>
  <c r="Y184" i="4"/>
  <c r="X184" i="4"/>
  <c r="W184" i="4"/>
  <c r="V184" i="4"/>
  <c r="U184" i="4"/>
  <c r="D184" i="4"/>
  <c r="AJ183" i="4"/>
  <c r="AI183" i="4"/>
  <c r="Y183" i="4"/>
  <c r="X183" i="4"/>
  <c r="W183" i="4"/>
  <c r="V183" i="4"/>
  <c r="U183" i="4"/>
  <c r="D183" i="4"/>
  <c r="AJ182" i="4"/>
  <c r="AI182" i="4"/>
  <c r="Y182" i="4"/>
  <c r="X182" i="4"/>
  <c r="W182" i="4"/>
  <c r="V182" i="4"/>
  <c r="U182" i="4"/>
  <c r="D182" i="4"/>
  <c r="AJ181" i="4"/>
  <c r="AI181" i="4"/>
  <c r="Y181" i="4"/>
  <c r="X181" i="4"/>
  <c r="W181" i="4"/>
  <c r="V181" i="4"/>
  <c r="U181" i="4"/>
  <c r="D181" i="4"/>
  <c r="AJ180" i="4"/>
  <c r="AI180" i="4"/>
  <c r="Y180" i="4"/>
  <c r="X180" i="4"/>
  <c r="W180" i="4"/>
  <c r="V180" i="4"/>
  <c r="U180" i="4"/>
  <c r="D180" i="4"/>
  <c r="AJ179" i="4"/>
  <c r="AI179" i="4"/>
  <c r="Y179" i="4"/>
  <c r="X179" i="4"/>
  <c r="W179" i="4"/>
  <c r="V179" i="4"/>
  <c r="U179" i="4"/>
  <c r="D179" i="4"/>
  <c r="AJ178" i="4"/>
  <c r="AI178" i="4"/>
  <c r="Y178" i="4"/>
  <c r="X178" i="4"/>
  <c r="W178" i="4"/>
  <c r="V178" i="4"/>
  <c r="U178" i="4"/>
  <c r="D178" i="4"/>
  <c r="AJ177" i="4"/>
  <c r="AI177" i="4"/>
  <c r="Y177" i="4"/>
  <c r="X177" i="4"/>
  <c r="W177" i="4"/>
  <c r="V177" i="4"/>
  <c r="U177" i="4"/>
  <c r="D177" i="4"/>
  <c r="AJ176" i="4"/>
  <c r="AI176" i="4"/>
  <c r="Y176" i="4"/>
  <c r="X176" i="4"/>
  <c r="W176" i="4"/>
  <c r="V176" i="4"/>
  <c r="U176" i="4"/>
  <c r="D176" i="4"/>
  <c r="Y175" i="4"/>
  <c r="X175" i="4"/>
  <c r="W175" i="4"/>
  <c r="V175" i="4"/>
  <c r="U175" i="4"/>
  <c r="D175" i="4"/>
  <c r="Y174" i="4"/>
  <c r="X174" i="4"/>
  <c r="W174" i="4"/>
  <c r="V174" i="4"/>
  <c r="U174" i="4"/>
  <c r="D174" i="4"/>
  <c r="AJ173" i="4"/>
  <c r="AI173" i="4"/>
  <c r="Y173" i="4"/>
  <c r="X173" i="4"/>
  <c r="W173" i="4"/>
  <c r="V173" i="4"/>
  <c r="U173" i="4"/>
  <c r="D173" i="4"/>
  <c r="AJ172" i="4"/>
  <c r="AI172" i="4"/>
  <c r="Y172" i="4"/>
  <c r="X172" i="4"/>
  <c r="W172" i="4"/>
  <c r="V172" i="4"/>
  <c r="U172" i="4"/>
  <c r="D172" i="4"/>
  <c r="AJ171" i="4"/>
  <c r="AI171" i="4"/>
  <c r="Y171" i="4"/>
  <c r="X171" i="4"/>
  <c r="W171" i="4"/>
  <c r="V171" i="4"/>
  <c r="U171" i="4"/>
  <c r="D171" i="4"/>
  <c r="AJ170" i="4"/>
  <c r="AI170" i="4"/>
  <c r="Y170" i="4"/>
  <c r="X170" i="4"/>
  <c r="W170" i="4"/>
  <c r="V170" i="4"/>
  <c r="U170" i="4"/>
  <c r="D170" i="4"/>
  <c r="AJ169" i="4"/>
  <c r="AI169" i="4"/>
  <c r="Y169" i="4"/>
  <c r="X169" i="4"/>
  <c r="W169" i="4"/>
  <c r="V169" i="4"/>
  <c r="U169" i="4"/>
  <c r="D169" i="4"/>
  <c r="AJ168" i="4"/>
  <c r="AI168" i="4"/>
  <c r="Y168" i="4"/>
  <c r="X168" i="4"/>
  <c r="W168" i="4"/>
  <c r="V168" i="4"/>
  <c r="U168" i="4"/>
  <c r="D168" i="4"/>
  <c r="AJ167" i="4"/>
  <c r="AI167" i="4"/>
  <c r="Y167" i="4"/>
  <c r="X167" i="4"/>
  <c r="W167" i="4"/>
  <c r="V167" i="4"/>
  <c r="U167" i="4"/>
  <c r="D167" i="4"/>
  <c r="AJ166" i="4"/>
  <c r="AI166" i="4"/>
  <c r="Y166" i="4"/>
  <c r="X166" i="4"/>
  <c r="W166" i="4"/>
  <c r="V166" i="4"/>
  <c r="U166" i="4"/>
  <c r="D166" i="4"/>
  <c r="AJ165" i="4"/>
  <c r="AI165" i="4"/>
  <c r="Y165" i="4"/>
  <c r="X165" i="4"/>
  <c r="W165" i="4"/>
  <c r="V165" i="4"/>
  <c r="U165" i="4"/>
  <c r="D165" i="4"/>
  <c r="AJ164" i="4"/>
  <c r="AI164" i="4"/>
  <c r="Y164" i="4"/>
  <c r="X164" i="4"/>
  <c r="W164" i="4"/>
  <c r="V164" i="4"/>
  <c r="U164" i="4"/>
  <c r="D164" i="4"/>
  <c r="AJ163" i="4"/>
  <c r="AI163" i="4"/>
  <c r="Y163" i="4"/>
  <c r="X163" i="4"/>
  <c r="W163" i="4"/>
  <c r="V163" i="4"/>
  <c r="U163" i="4"/>
  <c r="D163" i="4"/>
  <c r="AJ162" i="4"/>
  <c r="AI162" i="4"/>
  <c r="Y162" i="4"/>
  <c r="X162" i="4"/>
  <c r="W162" i="4"/>
  <c r="V162" i="4"/>
  <c r="U162" i="4"/>
  <c r="D162" i="4"/>
  <c r="AJ161" i="4"/>
  <c r="AI161" i="4"/>
  <c r="Y161" i="4"/>
  <c r="X161" i="4"/>
  <c r="W161" i="4"/>
  <c r="V161" i="4"/>
  <c r="U161" i="4"/>
  <c r="D161" i="4"/>
  <c r="AJ160" i="4"/>
  <c r="AI160" i="4"/>
  <c r="Y160" i="4"/>
  <c r="X160" i="4"/>
  <c r="W160" i="4"/>
  <c r="V160" i="4"/>
  <c r="U160" i="4"/>
  <c r="D160" i="4"/>
  <c r="Y159" i="4"/>
  <c r="X159" i="4"/>
  <c r="W159" i="4"/>
  <c r="V159" i="4"/>
  <c r="U159" i="4"/>
  <c r="D159" i="4"/>
  <c r="Y158" i="4"/>
  <c r="X158" i="4"/>
  <c r="W158" i="4"/>
  <c r="V158" i="4"/>
  <c r="U158" i="4"/>
  <c r="D158" i="4"/>
  <c r="AJ157" i="4"/>
  <c r="AI157" i="4"/>
  <c r="Y157" i="4"/>
  <c r="X157" i="4"/>
  <c r="W157" i="4"/>
  <c r="V157" i="4"/>
  <c r="U157" i="4"/>
  <c r="D157" i="4"/>
  <c r="AJ156" i="4"/>
  <c r="AI156" i="4"/>
  <c r="Y156" i="4"/>
  <c r="X156" i="4"/>
  <c r="W156" i="4"/>
  <c r="V156" i="4"/>
  <c r="U156" i="4"/>
  <c r="D156" i="4"/>
  <c r="AJ155" i="4"/>
  <c r="AI155" i="4"/>
  <c r="Y155" i="4"/>
  <c r="X155" i="4"/>
  <c r="W155" i="4"/>
  <c r="V155" i="4"/>
  <c r="U155" i="4"/>
  <c r="D155" i="4"/>
  <c r="AJ154" i="4"/>
  <c r="AI154" i="4"/>
  <c r="Y154" i="4"/>
  <c r="X154" i="4"/>
  <c r="W154" i="4"/>
  <c r="V154" i="4"/>
  <c r="U154" i="4"/>
  <c r="D154" i="4"/>
  <c r="AJ153" i="4"/>
  <c r="AI153" i="4"/>
  <c r="Y153" i="4"/>
  <c r="X153" i="4"/>
  <c r="W153" i="4"/>
  <c r="V153" i="4"/>
  <c r="U153" i="4"/>
  <c r="D153" i="4"/>
  <c r="AJ152" i="4"/>
  <c r="AI152" i="4"/>
  <c r="Y152" i="4"/>
  <c r="X152" i="4"/>
  <c r="W152" i="4"/>
  <c r="V152" i="4"/>
  <c r="U152" i="4"/>
  <c r="D152" i="4"/>
  <c r="AJ151" i="4"/>
  <c r="AI151" i="4"/>
  <c r="Y151" i="4"/>
  <c r="X151" i="4"/>
  <c r="W151" i="4"/>
  <c r="V151" i="4"/>
  <c r="U151" i="4"/>
  <c r="D151" i="4"/>
  <c r="AJ150" i="4"/>
  <c r="AI150" i="4"/>
  <c r="Y150" i="4"/>
  <c r="X150" i="4"/>
  <c r="W150" i="4"/>
  <c r="V150" i="4"/>
  <c r="U150" i="4"/>
  <c r="D150" i="4"/>
  <c r="AJ149" i="4"/>
  <c r="AI149" i="4"/>
  <c r="Y149" i="4"/>
  <c r="X149" i="4"/>
  <c r="W149" i="4"/>
  <c r="V149" i="4"/>
  <c r="U149" i="4"/>
  <c r="D149" i="4"/>
  <c r="AJ148" i="4"/>
  <c r="AI148" i="4"/>
  <c r="Y148" i="4"/>
  <c r="X148" i="4"/>
  <c r="W148" i="4"/>
  <c r="V148" i="4"/>
  <c r="U148" i="4"/>
  <c r="D148" i="4"/>
  <c r="AJ147" i="4"/>
  <c r="AI147" i="4"/>
  <c r="Y147" i="4"/>
  <c r="X147" i="4"/>
  <c r="W147" i="4"/>
  <c r="V147" i="4"/>
  <c r="U147" i="4"/>
  <c r="D147" i="4"/>
  <c r="AJ146" i="4"/>
  <c r="AI146" i="4"/>
  <c r="Y146" i="4"/>
  <c r="X146" i="4"/>
  <c r="W146" i="4"/>
  <c r="V146" i="4"/>
  <c r="U146" i="4"/>
  <c r="D146" i="4"/>
  <c r="AJ145" i="4"/>
  <c r="AI145" i="4"/>
  <c r="Y145" i="4"/>
  <c r="X145" i="4"/>
  <c r="W145" i="4"/>
  <c r="V145" i="4"/>
  <c r="U145" i="4"/>
  <c r="D145" i="4"/>
  <c r="Y144" i="4"/>
  <c r="X144" i="4"/>
  <c r="W144" i="4"/>
  <c r="V144" i="4"/>
  <c r="U144" i="4"/>
  <c r="D144" i="4"/>
  <c r="Y143" i="4"/>
  <c r="X143" i="4"/>
  <c r="W143" i="4"/>
  <c r="V143" i="4"/>
  <c r="U143" i="4"/>
  <c r="D143" i="4"/>
  <c r="AJ142" i="4"/>
  <c r="AI142" i="4"/>
  <c r="Y142" i="4"/>
  <c r="X142" i="4"/>
  <c r="W142" i="4"/>
  <c r="V142" i="4"/>
  <c r="U142" i="4"/>
  <c r="D142" i="4"/>
  <c r="AJ141" i="4"/>
  <c r="AI141" i="4"/>
  <c r="Y141" i="4"/>
  <c r="X141" i="4"/>
  <c r="W141" i="4"/>
  <c r="V141" i="4"/>
  <c r="U141" i="4"/>
  <c r="D141" i="4"/>
  <c r="AJ140" i="4"/>
  <c r="AI140" i="4"/>
  <c r="Y140" i="4"/>
  <c r="X140" i="4"/>
  <c r="W140" i="4"/>
  <c r="V140" i="4"/>
  <c r="U140" i="4"/>
  <c r="D140" i="4"/>
  <c r="Y139" i="4"/>
  <c r="X139" i="4"/>
  <c r="W139" i="4"/>
  <c r="V139" i="4"/>
  <c r="U139" i="4"/>
  <c r="D139" i="4"/>
  <c r="Y138" i="4"/>
  <c r="X138" i="4"/>
  <c r="W138" i="4"/>
  <c r="V138" i="4"/>
  <c r="U138" i="4"/>
  <c r="D138" i="4"/>
  <c r="Y137" i="4"/>
  <c r="X137" i="4"/>
  <c r="W137" i="4"/>
  <c r="V137" i="4"/>
  <c r="U137" i="4"/>
  <c r="D137" i="4"/>
  <c r="Y136" i="4"/>
  <c r="X136" i="4"/>
  <c r="W136" i="4"/>
  <c r="V136" i="4"/>
  <c r="U136" i="4"/>
  <c r="D136" i="4"/>
  <c r="AJ135" i="4"/>
  <c r="AI135" i="4"/>
  <c r="Y135" i="4"/>
  <c r="X135" i="4"/>
  <c r="W135" i="4"/>
  <c r="V135" i="4"/>
  <c r="U135" i="4"/>
  <c r="D135" i="4"/>
  <c r="AJ134" i="4"/>
  <c r="AI134" i="4"/>
  <c r="Y134" i="4"/>
  <c r="X134" i="4"/>
  <c r="W134" i="4"/>
  <c r="V134" i="4"/>
  <c r="U134" i="4"/>
  <c r="D134" i="4"/>
  <c r="AJ133" i="4"/>
  <c r="AI133" i="4"/>
  <c r="Y133" i="4"/>
  <c r="X133" i="4"/>
  <c r="W133" i="4"/>
  <c r="V133" i="4"/>
  <c r="U133" i="4"/>
  <c r="D133" i="4"/>
  <c r="AJ132" i="4"/>
  <c r="AI132" i="4"/>
  <c r="Y132" i="4"/>
  <c r="X132" i="4"/>
  <c r="W132" i="4"/>
  <c r="V132" i="4"/>
  <c r="U132" i="4"/>
  <c r="D132" i="4"/>
  <c r="AJ131" i="4"/>
  <c r="AI131" i="4"/>
  <c r="Y131" i="4"/>
  <c r="X131" i="4"/>
  <c r="W131" i="4"/>
  <c r="V131" i="4"/>
  <c r="U131" i="4"/>
  <c r="D131" i="4"/>
  <c r="AJ130" i="4"/>
  <c r="AI130" i="4"/>
  <c r="Y130" i="4"/>
  <c r="X130" i="4"/>
  <c r="W130" i="4"/>
  <c r="V130" i="4"/>
  <c r="U130" i="4"/>
  <c r="D130" i="4"/>
  <c r="Y129" i="4"/>
  <c r="X129" i="4"/>
  <c r="W129" i="4"/>
  <c r="V129" i="4"/>
  <c r="U129" i="4"/>
  <c r="D129" i="4"/>
  <c r="Y128" i="4"/>
  <c r="X128" i="4"/>
  <c r="W128" i="4"/>
  <c r="V128" i="4"/>
  <c r="U128" i="4"/>
  <c r="D128" i="4"/>
  <c r="Y127" i="4"/>
  <c r="X127" i="4"/>
  <c r="W127" i="4"/>
  <c r="V127" i="4"/>
  <c r="U127" i="4"/>
  <c r="D127" i="4"/>
  <c r="AJ126" i="4"/>
  <c r="AI126" i="4"/>
  <c r="Y126" i="4"/>
  <c r="X126" i="4"/>
  <c r="W126" i="4"/>
  <c r="V126" i="4"/>
  <c r="U126" i="4"/>
  <c r="D126" i="4"/>
  <c r="AJ125" i="4"/>
  <c r="AI125" i="4"/>
  <c r="Y125" i="4"/>
  <c r="X125" i="4"/>
  <c r="W125" i="4"/>
  <c r="V125" i="4"/>
  <c r="U125" i="4"/>
  <c r="D125" i="4"/>
  <c r="AJ124" i="4"/>
  <c r="AI124" i="4"/>
  <c r="Y124" i="4"/>
  <c r="X124" i="4"/>
  <c r="W124" i="4"/>
  <c r="V124" i="4"/>
  <c r="U124" i="4"/>
  <c r="D124" i="4"/>
  <c r="AJ123" i="4"/>
  <c r="AI123" i="4"/>
  <c r="Y123" i="4"/>
  <c r="X123" i="4"/>
  <c r="W123" i="4"/>
  <c r="V123" i="4"/>
  <c r="U123" i="4"/>
  <c r="D123" i="4"/>
  <c r="AJ122" i="4"/>
  <c r="AI122" i="4"/>
  <c r="Y122" i="4"/>
  <c r="X122" i="4"/>
  <c r="W122" i="4"/>
  <c r="V122" i="4"/>
  <c r="U122" i="4"/>
  <c r="D122" i="4"/>
  <c r="AJ121" i="4"/>
  <c r="AI121" i="4"/>
  <c r="Y121" i="4"/>
  <c r="X121" i="4"/>
  <c r="W121" i="4"/>
  <c r="V121" i="4"/>
  <c r="U121" i="4"/>
  <c r="D121" i="4"/>
  <c r="AJ120" i="4"/>
  <c r="AI120" i="4"/>
  <c r="Y120" i="4"/>
  <c r="X120" i="4"/>
  <c r="W120" i="4"/>
  <c r="V120" i="4"/>
  <c r="U120" i="4"/>
  <c r="D120" i="4"/>
  <c r="AJ119" i="4"/>
  <c r="AI119" i="4"/>
  <c r="Y119" i="4"/>
  <c r="X119" i="4"/>
  <c r="W119" i="4"/>
  <c r="V119" i="4"/>
  <c r="U119" i="4"/>
  <c r="D119" i="4"/>
  <c r="AJ118" i="4"/>
  <c r="AI118" i="4"/>
  <c r="Y118" i="4"/>
  <c r="X118" i="4"/>
  <c r="W118" i="4"/>
  <c r="V118" i="4"/>
  <c r="U118" i="4"/>
  <c r="D118" i="4"/>
  <c r="AJ117" i="4"/>
  <c r="AI117" i="4"/>
  <c r="Y117" i="4"/>
  <c r="X117" i="4"/>
  <c r="W117" i="4"/>
  <c r="V117" i="4"/>
  <c r="U117" i="4"/>
  <c r="D117" i="4"/>
  <c r="AJ116" i="4"/>
  <c r="AI116" i="4"/>
  <c r="Y116" i="4"/>
  <c r="X116" i="4"/>
  <c r="W116" i="4"/>
  <c r="V116" i="4"/>
  <c r="U116" i="4"/>
  <c r="D116" i="4"/>
  <c r="AJ115" i="4"/>
  <c r="AI115" i="4"/>
  <c r="Y115" i="4"/>
  <c r="X115" i="4"/>
  <c r="W115" i="4"/>
  <c r="V115" i="4"/>
  <c r="U115" i="4"/>
  <c r="D115" i="4"/>
  <c r="AJ114" i="4"/>
  <c r="AI114" i="4"/>
  <c r="Y114" i="4"/>
  <c r="X114" i="4"/>
  <c r="W114" i="4"/>
  <c r="V114" i="4"/>
  <c r="U114" i="4"/>
  <c r="D114" i="4"/>
  <c r="AJ113" i="4"/>
  <c r="AI113" i="4"/>
  <c r="Y113" i="4"/>
  <c r="X113" i="4"/>
  <c r="W113" i="4"/>
  <c r="V113" i="4"/>
  <c r="U113" i="4"/>
  <c r="D113" i="4"/>
  <c r="Y112" i="4"/>
  <c r="X112" i="4"/>
  <c r="W112" i="4"/>
  <c r="V112" i="4"/>
  <c r="U112" i="4"/>
  <c r="D112" i="4"/>
  <c r="AJ111" i="4"/>
  <c r="AI111" i="4"/>
  <c r="Y111" i="4"/>
  <c r="X111" i="4"/>
  <c r="W111" i="4"/>
  <c r="V111" i="4"/>
  <c r="U111" i="4"/>
  <c r="D111" i="4"/>
  <c r="AJ110" i="4"/>
  <c r="AI110" i="4"/>
  <c r="Y110" i="4"/>
  <c r="X110" i="4"/>
  <c r="W110" i="4"/>
  <c r="V110" i="4"/>
  <c r="U110" i="4"/>
  <c r="D110" i="4"/>
  <c r="AJ109" i="4"/>
  <c r="AI109" i="4"/>
  <c r="Y109" i="4"/>
  <c r="X109" i="4"/>
  <c r="W109" i="4"/>
  <c r="V109" i="4"/>
  <c r="U109" i="4"/>
  <c r="D109" i="4"/>
  <c r="AJ108" i="4"/>
  <c r="AI108" i="4"/>
  <c r="Y108" i="4"/>
  <c r="X108" i="4"/>
  <c r="W108" i="4"/>
  <c r="V108" i="4"/>
  <c r="U108" i="4"/>
  <c r="D108" i="4"/>
  <c r="AJ107" i="4"/>
  <c r="AI107" i="4"/>
  <c r="Y107" i="4"/>
  <c r="X107" i="4"/>
  <c r="W107" i="4"/>
  <c r="V107" i="4"/>
  <c r="U107" i="4"/>
  <c r="D107" i="4"/>
  <c r="AJ106" i="4"/>
  <c r="AI106" i="4"/>
  <c r="Y106" i="4"/>
  <c r="X106" i="4"/>
  <c r="W106" i="4"/>
  <c r="V106" i="4"/>
  <c r="U106" i="4"/>
  <c r="D106" i="4"/>
  <c r="AJ105" i="4"/>
  <c r="AI105" i="4"/>
  <c r="Y105" i="4"/>
  <c r="X105" i="4"/>
  <c r="W105" i="4"/>
  <c r="V105" i="4"/>
  <c r="U105" i="4"/>
  <c r="D105" i="4"/>
  <c r="AJ104" i="4"/>
  <c r="AI104" i="4"/>
  <c r="Y104" i="4"/>
  <c r="X104" i="4"/>
  <c r="W104" i="4"/>
  <c r="V104" i="4"/>
  <c r="U104" i="4"/>
  <c r="D104" i="4"/>
  <c r="AJ103" i="4"/>
  <c r="AI103" i="4"/>
  <c r="Y103" i="4"/>
  <c r="X103" i="4"/>
  <c r="W103" i="4"/>
  <c r="V103" i="4"/>
  <c r="U103" i="4"/>
  <c r="D103" i="4"/>
  <c r="AJ102" i="4"/>
  <c r="AI102" i="4"/>
  <c r="Y102" i="4"/>
  <c r="X102" i="4"/>
  <c r="W102" i="4"/>
  <c r="V102" i="4"/>
  <c r="U102" i="4"/>
  <c r="D102" i="4"/>
  <c r="AJ101" i="4"/>
  <c r="AI101" i="4"/>
  <c r="Y101" i="4"/>
  <c r="X101" i="4"/>
  <c r="W101" i="4"/>
  <c r="V101" i="4"/>
  <c r="U101" i="4"/>
  <c r="D101" i="4"/>
  <c r="AJ100" i="4"/>
  <c r="AI100" i="4"/>
  <c r="Y100" i="4"/>
  <c r="X100" i="4"/>
  <c r="W100" i="4"/>
  <c r="V100" i="4"/>
  <c r="U100" i="4"/>
  <c r="D100" i="4"/>
  <c r="AJ99" i="4"/>
  <c r="AI99" i="4"/>
  <c r="Y99" i="4"/>
  <c r="X99" i="4"/>
  <c r="W99" i="4"/>
  <c r="V99" i="4"/>
  <c r="U99" i="4"/>
  <c r="D99" i="4"/>
  <c r="Y98" i="4"/>
  <c r="X98" i="4"/>
  <c r="W98" i="4"/>
  <c r="V98" i="4"/>
  <c r="U98" i="4"/>
  <c r="D98" i="4"/>
  <c r="AJ97" i="4"/>
  <c r="AI97" i="4"/>
  <c r="Y97" i="4"/>
  <c r="X97" i="4"/>
  <c r="W97" i="4"/>
  <c r="V97" i="4"/>
  <c r="U97" i="4"/>
  <c r="D97" i="4"/>
  <c r="AJ96" i="4"/>
  <c r="AI96" i="4"/>
  <c r="Y96" i="4"/>
  <c r="X96" i="4"/>
  <c r="W96" i="4"/>
  <c r="V96" i="4"/>
  <c r="U96" i="4"/>
  <c r="D96" i="4"/>
  <c r="AJ95" i="4"/>
  <c r="AI95" i="4"/>
  <c r="Y95" i="4"/>
  <c r="X95" i="4"/>
  <c r="W95" i="4"/>
  <c r="V95" i="4"/>
  <c r="U95" i="4"/>
  <c r="D95" i="4"/>
  <c r="AJ94" i="4"/>
  <c r="AI94" i="4"/>
  <c r="Y94" i="4"/>
  <c r="X94" i="4"/>
  <c r="W94" i="4"/>
  <c r="V94" i="4"/>
  <c r="U94" i="4"/>
  <c r="D94" i="4"/>
  <c r="AJ93" i="4"/>
  <c r="AI93" i="4"/>
  <c r="Y93" i="4"/>
  <c r="X93" i="4"/>
  <c r="W93" i="4"/>
  <c r="V93" i="4"/>
  <c r="U93" i="4"/>
  <c r="D93" i="4"/>
  <c r="AJ92" i="4"/>
  <c r="AI92" i="4"/>
  <c r="Y92" i="4"/>
  <c r="X92" i="4"/>
  <c r="W92" i="4"/>
  <c r="V92" i="4"/>
  <c r="U92" i="4"/>
  <c r="D92" i="4"/>
  <c r="AJ91" i="4"/>
  <c r="AI91" i="4"/>
  <c r="Y91" i="4"/>
  <c r="X91" i="4"/>
  <c r="W91" i="4"/>
  <c r="V91" i="4"/>
  <c r="U91" i="4"/>
  <c r="D91" i="4"/>
  <c r="AJ90" i="4"/>
  <c r="AI90" i="4"/>
  <c r="Y90" i="4"/>
  <c r="X90" i="4"/>
  <c r="W90" i="4"/>
  <c r="V90" i="4"/>
  <c r="U90" i="4"/>
  <c r="D90" i="4"/>
  <c r="AJ89" i="4"/>
  <c r="AI89" i="4"/>
  <c r="Y89" i="4"/>
  <c r="X89" i="4"/>
  <c r="W89" i="4"/>
  <c r="V89" i="4"/>
  <c r="U89" i="4"/>
  <c r="D89" i="4"/>
  <c r="AJ88" i="4"/>
  <c r="AI88" i="4"/>
  <c r="Y88" i="4"/>
  <c r="X88" i="4"/>
  <c r="W88" i="4"/>
  <c r="V88" i="4"/>
  <c r="U88" i="4"/>
  <c r="D88" i="4"/>
  <c r="AJ87" i="4"/>
  <c r="AI87" i="4"/>
  <c r="Y87" i="4"/>
  <c r="X87" i="4"/>
  <c r="W87" i="4"/>
  <c r="V87" i="4"/>
  <c r="U87" i="4"/>
  <c r="D87" i="4"/>
  <c r="AJ86" i="4"/>
  <c r="AI86" i="4"/>
  <c r="Y86" i="4"/>
  <c r="X86" i="4"/>
  <c r="W86" i="4"/>
  <c r="V86" i="4"/>
  <c r="U86" i="4"/>
  <c r="D86" i="4"/>
  <c r="AJ85" i="4"/>
  <c r="AI85" i="4"/>
  <c r="Y85" i="4"/>
  <c r="X85" i="4"/>
  <c r="W85" i="4"/>
  <c r="V85" i="4"/>
  <c r="U85" i="4"/>
  <c r="D85" i="4"/>
  <c r="AJ84" i="4"/>
  <c r="AI84" i="4"/>
  <c r="Y84" i="4"/>
  <c r="X84" i="4"/>
  <c r="W84" i="4"/>
  <c r="V84" i="4"/>
  <c r="U84" i="4"/>
  <c r="D84" i="4"/>
  <c r="Y83" i="4"/>
  <c r="X83" i="4"/>
  <c r="W83" i="4"/>
  <c r="V83" i="4"/>
  <c r="U83" i="4"/>
  <c r="D83" i="4"/>
  <c r="Y82" i="4"/>
  <c r="X82" i="4"/>
  <c r="W82" i="4"/>
  <c r="V82" i="4"/>
  <c r="U82" i="4"/>
  <c r="D82" i="4"/>
  <c r="Y81" i="4"/>
  <c r="X81" i="4"/>
  <c r="W81" i="4"/>
  <c r="V81" i="4"/>
  <c r="U81" i="4"/>
  <c r="D81" i="4"/>
  <c r="AJ80" i="4"/>
  <c r="AI80" i="4"/>
  <c r="Y80" i="4"/>
  <c r="X80" i="4"/>
  <c r="W80" i="4"/>
  <c r="V80" i="4"/>
  <c r="U80" i="4"/>
  <c r="D80" i="4"/>
  <c r="AJ79" i="4"/>
  <c r="AI79" i="4"/>
  <c r="Y79" i="4"/>
  <c r="X79" i="4"/>
  <c r="W79" i="4"/>
  <c r="V79" i="4"/>
  <c r="U79" i="4"/>
  <c r="D79" i="4"/>
  <c r="AJ78" i="4"/>
  <c r="AI78" i="4"/>
  <c r="Y78" i="4"/>
  <c r="X78" i="4"/>
  <c r="W78" i="4"/>
  <c r="V78" i="4"/>
  <c r="U78" i="4"/>
  <c r="D78" i="4"/>
  <c r="AJ77" i="4"/>
  <c r="AI77" i="4"/>
  <c r="Y77" i="4"/>
  <c r="X77" i="4"/>
  <c r="W77" i="4"/>
  <c r="V77" i="4"/>
  <c r="U77" i="4"/>
  <c r="D77" i="4"/>
  <c r="AJ76" i="4"/>
  <c r="AI76" i="4"/>
  <c r="Y76" i="4"/>
  <c r="X76" i="4"/>
  <c r="W76" i="4"/>
  <c r="V76" i="4"/>
  <c r="U76" i="4"/>
  <c r="D76" i="4"/>
  <c r="AJ75" i="4"/>
  <c r="AI75" i="4"/>
  <c r="Y75" i="4"/>
  <c r="X75" i="4"/>
  <c r="W75" i="4"/>
  <c r="V75" i="4"/>
  <c r="U75" i="4"/>
  <c r="D75" i="4"/>
  <c r="AJ74" i="4"/>
  <c r="AI74" i="4"/>
  <c r="Y74" i="4"/>
  <c r="X74" i="4"/>
  <c r="W74" i="4"/>
  <c r="V74" i="4"/>
  <c r="U74" i="4"/>
  <c r="D74" i="4"/>
  <c r="AJ73" i="4"/>
  <c r="AI73" i="4"/>
  <c r="Y73" i="4"/>
  <c r="X73" i="4"/>
  <c r="W73" i="4"/>
  <c r="V73" i="4"/>
  <c r="U73" i="4"/>
  <c r="D73" i="4"/>
  <c r="AJ72" i="4"/>
  <c r="AI72" i="4"/>
  <c r="Y72" i="4"/>
  <c r="X72" i="4"/>
  <c r="W72" i="4"/>
  <c r="V72" i="4"/>
  <c r="U72" i="4"/>
  <c r="D72" i="4"/>
  <c r="AJ71" i="4"/>
  <c r="AI71" i="4"/>
  <c r="Y71" i="4"/>
  <c r="X71" i="4"/>
  <c r="W71" i="4"/>
  <c r="V71" i="4"/>
  <c r="U71" i="4"/>
  <c r="D71" i="4"/>
  <c r="AJ70" i="4"/>
  <c r="AI70" i="4"/>
  <c r="Y70" i="4"/>
  <c r="X70" i="4"/>
  <c r="W70" i="4"/>
  <c r="V70" i="4"/>
  <c r="U70" i="4"/>
  <c r="D70" i="4"/>
  <c r="AJ69" i="4"/>
  <c r="AI69" i="4"/>
  <c r="Y69" i="4"/>
  <c r="X69" i="4"/>
  <c r="W69" i="4"/>
  <c r="V69" i="4"/>
  <c r="U69" i="4"/>
  <c r="D69" i="4"/>
  <c r="AJ68" i="4"/>
  <c r="AI68" i="4"/>
  <c r="Y68" i="4"/>
  <c r="X68" i="4"/>
  <c r="W68" i="4"/>
  <c r="V68" i="4"/>
  <c r="U68" i="4"/>
  <c r="D68" i="4"/>
  <c r="Y67" i="4"/>
  <c r="X67" i="4"/>
  <c r="W67" i="4"/>
  <c r="V67" i="4"/>
  <c r="U67" i="4"/>
  <c r="D67" i="4"/>
  <c r="Y66" i="4"/>
  <c r="X66" i="4"/>
  <c r="W66" i="4"/>
  <c r="V66" i="4"/>
  <c r="U66" i="4"/>
  <c r="D66" i="4"/>
  <c r="AJ65" i="4"/>
  <c r="AI65" i="4"/>
  <c r="Y65" i="4"/>
  <c r="X65" i="4"/>
  <c r="W65" i="4"/>
  <c r="V65" i="4"/>
  <c r="U65" i="4"/>
  <c r="D65" i="4"/>
  <c r="AJ64" i="4"/>
  <c r="AI64" i="4"/>
  <c r="Y64" i="4"/>
  <c r="X64" i="4"/>
  <c r="W64" i="4"/>
  <c r="V64" i="4"/>
  <c r="U64" i="4"/>
  <c r="D64" i="4"/>
  <c r="AJ63" i="4"/>
  <c r="AI63" i="4"/>
  <c r="Y63" i="4"/>
  <c r="X63" i="4"/>
  <c r="W63" i="4"/>
  <c r="V63" i="4"/>
  <c r="U63" i="4"/>
  <c r="D63" i="4"/>
  <c r="AJ62" i="4"/>
  <c r="AI62" i="4"/>
  <c r="Y62" i="4"/>
  <c r="X62" i="4"/>
  <c r="W62" i="4"/>
  <c r="V62" i="4"/>
  <c r="U62" i="4"/>
  <c r="D62" i="4"/>
  <c r="AJ61" i="4"/>
  <c r="AI61" i="4"/>
  <c r="Y61" i="4"/>
  <c r="X61" i="4"/>
  <c r="W61" i="4"/>
  <c r="V61" i="4"/>
  <c r="U61" i="4"/>
  <c r="D61" i="4"/>
  <c r="AJ60" i="4"/>
  <c r="AI60" i="4"/>
  <c r="Y60" i="4"/>
  <c r="X60" i="4"/>
  <c r="W60" i="4"/>
  <c r="V60" i="4"/>
  <c r="U60" i="4"/>
  <c r="D60" i="4"/>
  <c r="AJ59" i="4"/>
  <c r="AI59" i="4"/>
  <c r="Y59" i="4"/>
  <c r="X59" i="4"/>
  <c r="W59" i="4"/>
  <c r="V59" i="4"/>
  <c r="U59" i="4"/>
  <c r="D59" i="4"/>
  <c r="AJ58" i="4"/>
  <c r="AI58" i="4"/>
  <c r="Y58" i="4"/>
  <c r="X58" i="4"/>
  <c r="W58" i="4"/>
  <c r="V58" i="4"/>
  <c r="U58" i="4"/>
  <c r="D58" i="4"/>
  <c r="AJ57" i="4"/>
  <c r="AI57" i="4"/>
  <c r="Y57" i="4"/>
  <c r="X57" i="4"/>
  <c r="W57" i="4"/>
  <c r="V57" i="4"/>
  <c r="U57" i="4"/>
  <c r="D57" i="4"/>
  <c r="AJ56" i="4"/>
  <c r="AI56" i="4"/>
  <c r="Y56" i="4"/>
  <c r="X56" i="4"/>
  <c r="W56" i="4"/>
  <c r="V56" i="4"/>
  <c r="U56" i="4"/>
  <c r="D56" i="4"/>
  <c r="AJ55" i="4"/>
  <c r="AI55" i="4"/>
  <c r="Y55" i="4"/>
  <c r="X55" i="4"/>
  <c r="W55" i="4"/>
  <c r="V55" i="4"/>
  <c r="U55" i="4"/>
  <c r="D55" i="4"/>
  <c r="AJ54" i="4"/>
  <c r="AI54" i="4"/>
  <c r="Y54" i="4"/>
  <c r="X54" i="4"/>
  <c r="W54" i="4"/>
  <c r="V54" i="4"/>
  <c r="U54" i="4"/>
  <c r="D54" i="4"/>
  <c r="AJ53" i="4"/>
  <c r="AI53" i="4"/>
  <c r="Y53" i="4"/>
  <c r="X53" i="4"/>
  <c r="W53" i="4"/>
  <c r="V53" i="4"/>
  <c r="U53" i="4"/>
  <c r="D53" i="4"/>
  <c r="AJ52" i="4"/>
  <c r="AI52" i="4"/>
  <c r="Y52" i="4"/>
  <c r="X52" i="4"/>
  <c r="W52" i="4"/>
  <c r="V52" i="4"/>
  <c r="U52" i="4"/>
  <c r="D52" i="4"/>
  <c r="Y51" i="4"/>
  <c r="X51" i="4"/>
  <c r="W51" i="4"/>
  <c r="V51" i="4"/>
  <c r="U51" i="4"/>
  <c r="D51" i="4"/>
  <c r="Y50" i="4"/>
  <c r="X50" i="4"/>
  <c r="W50" i="4"/>
  <c r="V50" i="4"/>
  <c r="U50" i="4"/>
  <c r="D50" i="4"/>
  <c r="AJ49" i="4"/>
  <c r="AI49" i="4"/>
  <c r="Y49" i="4"/>
  <c r="X49" i="4"/>
  <c r="W49" i="4"/>
  <c r="V49" i="4"/>
  <c r="U49" i="4"/>
  <c r="D49" i="4"/>
  <c r="AJ48" i="4"/>
  <c r="AI48" i="4"/>
  <c r="Y48" i="4"/>
  <c r="X48" i="4"/>
  <c r="W48" i="4"/>
  <c r="V48" i="4"/>
  <c r="U48" i="4"/>
  <c r="D48" i="4"/>
  <c r="AJ47" i="4"/>
  <c r="AI47" i="4"/>
  <c r="Y47" i="4"/>
  <c r="X47" i="4"/>
  <c r="W47" i="4"/>
  <c r="V47" i="4"/>
  <c r="U47" i="4"/>
  <c r="D47" i="4"/>
  <c r="AJ46" i="4"/>
  <c r="AI46" i="4"/>
  <c r="Y46" i="4"/>
  <c r="X46" i="4"/>
  <c r="W46" i="4"/>
  <c r="V46" i="4"/>
  <c r="U46" i="4"/>
  <c r="D46" i="4"/>
  <c r="AJ45" i="4"/>
  <c r="AI45" i="4"/>
  <c r="Y45" i="4"/>
  <c r="X45" i="4"/>
  <c r="W45" i="4"/>
  <c r="V45" i="4"/>
  <c r="U45" i="4"/>
  <c r="D45" i="4"/>
  <c r="AJ44" i="4"/>
  <c r="AI44" i="4"/>
  <c r="Y44" i="4"/>
  <c r="X44" i="4"/>
  <c r="W44" i="4"/>
  <c r="V44" i="4"/>
  <c r="U44" i="4"/>
  <c r="D44" i="4"/>
  <c r="AJ43" i="4"/>
  <c r="AI43" i="4"/>
  <c r="Y43" i="4"/>
  <c r="X43" i="4"/>
  <c r="W43" i="4"/>
  <c r="V43" i="4"/>
  <c r="U43" i="4"/>
  <c r="D43" i="4"/>
  <c r="AJ42" i="4"/>
  <c r="AI42" i="4"/>
  <c r="Y42" i="4"/>
  <c r="X42" i="4"/>
  <c r="W42" i="4"/>
  <c r="V42" i="4"/>
  <c r="U42" i="4"/>
  <c r="D42" i="4"/>
  <c r="AJ41" i="4"/>
  <c r="AI41" i="4"/>
  <c r="Y41" i="4"/>
  <c r="X41" i="4"/>
  <c r="W41" i="4"/>
  <c r="V41" i="4"/>
  <c r="U41" i="4"/>
  <c r="D41" i="4"/>
  <c r="AJ40" i="4"/>
  <c r="AI40" i="4"/>
  <c r="Y40" i="4"/>
  <c r="X40" i="4"/>
  <c r="W40" i="4"/>
  <c r="V40" i="4"/>
  <c r="U40" i="4"/>
  <c r="D40" i="4"/>
  <c r="AJ39" i="4"/>
  <c r="AI39" i="4"/>
  <c r="Y39" i="4"/>
  <c r="X39" i="4"/>
  <c r="W39" i="4"/>
  <c r="V39" i="4"/>
  <c r="U39" i="4"/>
  <c r="D39" i="4"/>
  <c r="AJ38" i="4"/>
  <c r="AI38" i="4"/>
  <c r="Y38" i="4"/>
  <c r="X38" i="4"/>
  <c r="W38" i="4"/>
  <c r="V38" i="4"/>
  <c r="U38" i="4"/>
  <c r="D38" i="4"/>
  <c r="AJ37" i="4"/>
  <c r="AI37" i="4"/>
  <c r="Y37" i="4"/>
  <c r="X37" i="4"/>
  <c r="W37" i="4"/>
  <c r="V37" i="4"/>
  <c r="U37" i="4"/>
  <c r="D37" i="4"/>
  <c r="AJ36" i="4"/>
  <c r="AI36" i="4"/>
  <c r="Y36" i="4"/>
  <c r="X36" i="4"/>
  <c r="W36" i="4"/>
  <c r="V36" i="4"/>
  <c r="U36" i="4"/>
  <c r="D36" i="4"/>
  <c r="Y35" i="4"/>
  <c r="X35" i="4"/>
  <c r="W35" i="4"/>
  <c r="V35" i="4"/>
  <c r="U35" i="4"/>
  <c r="D35" i="4"/>
  <c r="Y34" i="4"/>
  <c r="X34" i="4"/>
  <c r="W34" i="4"/>
  <c r="V34" i="4"/>
  <c r="U34" i="4"/>
  <c r="D34" i="4"/>
  <c r="AJ33" i="4"/>
  <c r="AI33" i="4"/>
  <c r="Y33" i="4"/>
  <c r="X33" i="4"/>
  <c r="W33" i="4"/>
  <c r="V33" i="4"/>
  <c r="U33" i="4"/>
  <c r="D33" i="4"/>
  <c r="AJ32" i="4"/>
  <c r="AI32" i="4"/>
  <c r="Y32" i="4"/>
  <c r="X32" i="4"/>
  <c r="W32" i="4"/>
  <c r="V32" i="4"/>
  <c r="U32" i="4"/>
  <c r="D32" i="4"/>
  <c r="AJ31" i="4"/>
  <c r="AI31" i="4"/>
  <c r="Y31" i="4"/>
  <c r="X31" i="4"/>
  <c r="W31" i="4"/>
  <c r="V31" i="4"/>
  <c r="U31" i="4"/>
  <c r="D31" i="4"/>
  <c r="AJ30" i="4"/>
  <c r="AI30" i="4"/>
  <c r="Y30" i="4"/>
  <c r="X30" i="4"/>
  <c r="W30" i="4"/>
  <c r="V30" i="4"/>
  <c r="U30" i="4"/>
  <c r="D30" i="4"/>
  <c r="AJ29" i="4"/>
  <c r="AI29" i="4"/>
  <c r="Y29" i="4"/>
  <c r="X29" i="4"/>
  <c r="W29" i="4"/>
  <c r="V29" i="4"/>
  <c r="U29" i="4"/>
  <c r="D29" i="4"/>
  <c r="AJ28" i="4"/>
  <c r="AI28" i="4"/>
  <c r="Y28" i="4"/>
  <c r="X28" i="4"/>
  <c r="W28" i="4"/>
  <c r="V28" i="4"/>
  <c r="U28" i="4"/>
  <c r="D28" i="4"/>
  <c r="AJ27" i="4"/>
  <c r="AI27" i="4"/>
  <c r="Y27" i="4"/>
  <c r="X27" i="4"/>
  <c r="W27" i="4"/>
  <c r="V27" i="4"/>
  <c r="U27" i="4"/>
  <c r="D27" i="4"/>
  <c r="AJ26" i="4"/>
  <c r="AI26" i="4"/>
  <c r="Y26" i="4"/>
  <c r="X26" i="4"/>
  <c r="W26" i="4"/>
  <c r="V26" i="4"/>
  <c r="U26" i="4"/>
  <c r="D26" i="4"/>
  <c r="AJ25" i="4"/>
  <c r="AI25" i="4"/>
  <c r="Y25" i="4"/>
  <c r="X25" i="4"/>
  <c r="W25" i="4"/>
  <c r="V25" i="4"/>
  <c r="U25" i="4"/>
  <c r="D25" i="4"/>
  <c r="AJ24" i="4"/>
  <c r="AI24" i="4"/>
  <c r="Y24" i="4"/>
  <c r="X24" i="4"/>
  <c r="W24" i="4"/>
  <c r="V24" i="4"/>
  <c r="U24" i="4"/>
  <c r="D24" i="4"/>
  <c r="AJ23" i="4"/>
  <c r="AI23" i="4"/>
  <c r="Y23" i="4"/>
  <c r="X23" i="4"/>
  <c r="W23" i="4"/>
  <c r="V23" i="4"/>
  <c r="U23" i="4"/>
  <c r="D23" i="4"/>
  <c r="AJ22" i="4"/>
  <c r="AI22" i="4"/>
  <c r="Y22" i="4"/>
  <c r="X22" i="4"/>
  <c r="W22" i="4"/>
  <c r="V22" i="4"/>
  <c r="U22" i="4"/>
  <c r="D22" i="4"/>
  <c r="AJ21" i="4"/>
  <c r="AI21" i="4"/>
  <c r="Y21" i="4"/>
  <c r="X21" i="4"/>
  <c r="W21" i="4"/>
  <c r="V21" i="4"/>
  <c r="U21" i="4"/>
  <c r="D21" i="4"/>
  <c r="AJ20" i="4"/>
  <c r="AI20" i="4"/>
  <c r="Y20" i="4"/>
  <c r="X20" i="4"/>
  <c r="W20" i="4"/>
  <c r="V20" i="4"/>
  <c r="U20" i="4"/>
  <c r="D20" i="4"/>
  <c r="Y19" i="4"/>
  <c r="X19" i="4"/>
  <c r="W19" i="4"/>
  <c r="V19" i="4"/>
  <c r="U19" i="4"/>
  <c r="D19" i="4"/>
  <c r="Y18" i="4"/>
  <c r="X18" i="4"/>
  <c r="W18" i="4"/>
  <c r="V18" i="4"/>
  <c r="U18" i="4"/>
  <c r="D18" i="4"/>
  <c r="Y17" i="4"/>
  <c r="X17" i="4"/>
  <c r="W17" i="4"/>
  <c r="V17" i="4"/>
  <c r="U17" i="4"/>
  <c r="D17" i="4"/>
  <c r="AJ16" i="4"/>
  <c r="AI16" i="4"/>
  <c r="Y16" i="4"/>
  <c r="X16" i="4"/>
  <c r="W16" i="4"/>
  <c r="V16" i="4"/>
  <c r="U16" i="4"/>
  <c r="D16" i="4"/>
  <c r="AJ15" i="4"/>
  <c r="AI15" i="4"/>
  <c r="Y15" i="4"/>
  <c r="X15" i="4"/>
  <c r="W15" i="4"/>
  <c r="V15" i="4"/>
  <c r="U15" i="4"/>
  <c r="D15" i="4"/>
  <c r="AJ14" i="4"/>
  <c r="AI14" i="4"/>
  <c r="Y14" i="4"/>
  <c r="X14" i="4"/>
  <c r="W14" i="4"/>
  <c r="V14" i="4"/>
  <c r="U14" i="4"/>
  <c r="D14" i="4"/>
  <c r="AJ13" i="4"/>
  <c r="AI13" i="4"/>
  <c r="Y13" i="4"/>
  <c r="X13" i="4"/>
  <c r="W13" i="4"/>
  <c r="V13" i="4"/>
  <c r="U13" i="4"/>
  <c r="D13" i="4"/>
  <c r="AJ12" i="4"/>
  <c r="AI12" i="4"/>
  <c r="Y12" i="4"/>
  <c r="X12" i="4"/>
  <c r="W12" i="4"/>
  <c r="V12" i="4"/>
  <c r="U12" i="4"/>
  <c r="D12" i="4"/>
  <c r="AJ11" i="4"/>
  <c r="AI11" i="4"/>
  <c r="Y11" i="4"/>
  <c r="X11" i="4"/>
  <c r="W11" i="4"/>
  <c r="V11" i="4"/>
  <c r="U11" i="4"/>
  <c r="D11" i="4"/>
  <c r="AJ10" i="4"/>
  <c r="AI10" i="4"/>
  <c r="Y10" i="4"/>
  <c r="X10" i="4"/>
  <c r="W10" i="4"/>
  <c r="V10" i="4"/>
  <c r="U10" i="4"/>
  <c r="D10" i="4"/>
  <c r="AJ9" i="4"/>
  <c r="AI9" i="4"/>
  <c r="Y9" i="4"/>
  <c r="X9" i="4"/>
  <c r="W9" i="4"/>
  <c r="V9" i="4"/>
  <c r="U9" i="4"/>
  <c r="D9" i="4"/>
  <c r="AJ8" i="4"/>
  <c r="AI8" i="4"/>
  <c r="Y8" i="4"/>
  <c r="X8" i="4"/>
  <c r="W8" i="4"/>
  <c r="V8" i="4"/>
  <c r="U8" i="4"/>
  <c r="D8" i="4"/>
  <c r="AJ7" i="4"/>
  <c r="AI7" i="4"/>
  <c r="Y7" i="4"/>
  <c r="X7" i="4"/>
  <c r="W7" i="4"/>
  <c r="V7" i="4"/>
  <c r="U7" i="4"/>
  <c r="D7" i="4"/>
  <c r="AJ6" i="4"/>
  <c r="AI6" i="4"/>
  <c r="Y6" i="4"/>
  <c r="X6" i="4"/>
  <c r="W6" i="4"/>
  <c r="V6" i="4"/>
  <c r="U6" i="4"/>
  <c r="D6" i="4"/>
  <c r="AJ5" i="4"/>
  <c r="AI5" i="4"/>
  <c r="Y5" i="4"/>
  <c r="X5" i="4"/>
  <c r="W5" i="4"/>
  <c r="V5" i="4"/>
  <c r="U5" i="4"/>
  <c r="D5" i="4"/>
  <c r="G18" i="7" l="1"/>
  <c r="AG354" i="4"/>
  <c r="J15" i="7"/>
  <c r="N12" i="7" s="1"/>
  <c r="G15" i="7"/>
  <c r="G17" i="7"/>
  <c r="J6" i="7"/>
  <c r="N18" i="7" s="1"/>
  <c r="G6" i="7"/>
  <c r="J9" i="7"/>
  <c r="N19" i="7" s="1"/>
  <c r="R6" i="7" s="1"/>
  <c r="G9" i="7"/>
  <c r="J5" i="7"/>
  <c r="G5" i="7"/>
  <c r="J16" i="7"/>
  <c r="N10" i="7" s="1"/>
  <c r="G16" i="7"/>
  <c r="J20" i="7"/>
  <c r="G20" i="7"/>
  <c r="G3" i="7"/>
  <c r="J3" i="7"/>
  <c r="N8" i="7" s="1"/>
  <c r="G13" i="7"/>
  <c r="J13" i="7"/>
  <c r="N6" i="7" s="1"/>
  <c r="J14" i="7"/>
  <c r="N9" i="7" s="1"/>
  <c r="G14" i="7"/>
  <c r="J7" i="7"/>
  <c r="N17" i="7" s="1"/>
  <c r="G7" i="7"/>
  <c r="G8" i="7"/>
  <c r="J8" i="7"/>
  <c r="N15" i="7" s="1"/>
  <c r="G11" i="7"/>
  <c r="J11" i="7"/>
  <c r="N16" i="7" s="1"/>
  <c r="G10" i="7"/>
  <c r="J10" i="7"/>
  <c r="N20" i="7" s="1"/>
  <c r="G19" i="7"/>
  <c r="J19" i="7"/>
  <c r="N13" i="7" s="1"/>
  <c r="G21" i="7"/>
  <c r="J21" i="7"/>
  <c r="N11" i="7" s="1"/>
  <c r="J4" i="7"/>
  <c r="N5" i="7" s="1"/>
  <c r="G4" i="7"/>
  <c r="J22" i="7"/>
  <c r="N14" i="7" s="1"/>
  <c r="G22" i="7"/>
  <c r="G12" i="7"/>
  <c r="J12" i="7"/>
  <c r="N7" i="7" s="1"/>
  <c r="AG777" i="4"/>
  <c r="AG809" i="4"/>
  <c r="AG401" i="4"/>
  <c r="AG448" i="4"/>
  <c r="AG542" i="4"/>
  <c r="AG605" i="4"/>
  <c r="AG637" i="4"/>
  <c r="AG683" i="4"/>
  <c r="AG433" i="4"/>
  <c r="AG463" i="4"/>
  <c r="AG575" i="4"/>
  <c r="AG653" i="4"/>
  <c r="AG730" i="4"/>
  <c r="AG385" i="4"/>
  <c r="AG496" i="4"/>
  <c r="AG526" i="4"/>
  <c r="AG698" i="4"/>
  <c r="AG761" i="4"/>
  <c r="AG793" i="4"/>
  <c r="AG714" i="4"/>
  <c r="AG746" i="4"/>
  <c r="AG370" i="4"/>
  <c r="AG417" i="4"/>
  <c r="AG481" i="4"/>
  <c r="AG511" i="4"/>
  <c r="AG558" i="4"/>
  <c r="AG590" i="4"/>
  <c r="AG622" i="4"/>
  <c r="AG668" i="4"/>
  <c r="V831" i="4"/>
  <c r="Y831" i="4"/>
  <c r="X831" i="4"/>
  <c r="U831" i="4"/>
  <c r="W831" i="4"/>
  <c r="R4" i="7" l="1"/>
  <c r="N43" i="7"/>
  <c r="R25" i="7"/>
  <c r="R5" i="7"/>
  <c r="R3" i="7"/>
  <c r="N21" i="7"/>
  <c r="L57" i="1"/>
  <c r="M57" i="1"/>
  <c r="N57" i="1"/>
  <c r="O57" i="1"/>
  <c r="P57" i="1"/>
  <c r="C2" i="3"/>
  <c r="D2" i="3"/>
  <c r="E2" i="3"/>
  <c r="F2" i="3"/>
  <c r="G2" i="3"/>
  <c r="H2" i="3"/>
  <c r="I2" i="3"/>
  <c r="J2" i="3"/>
  <c r="K2" i="3"/>
  <c r="L2" i="3"/>
  <c r="M2" i="3"/>
  <c r="N2" i="3"/>
  <c r="O2" i="3"/>
  <c r="P2" i="3"/>
  <c r="Q2" i="3"/>
  <c r="R2" i="3"/>
  <c r="S2" i="3"/>
  <c r="B2" i="3"/>
  <c r="AF5" i="3"/>
  <c r="O30" i="7" l="1"/>
  <c r="O37" i="7"/>
  <c r="O39" i="7"/>
  <c r="O33" i="7"/>
  <c r="O40" i="7"/>
  <c r="O26" i="7"/>
  <c r="P26" i="7" s="1"/>
  <c r="O34" i="7"/>
  <c r="O41" i="7"/>
  <c r="O27" i="7"/>
  <c r="O35" i="7"/>
  <c r="O28" i="7"/>
  <c r="O36" i="7"/>
  <c r="O25" i="7"/>
  <c r="O29" i="7"/>
  <c r="O31" i="7"/>
  <c r="O38" i="7"/>
  <c r="O32" i="7"/>
  <c r="O42" i="7"/>
  <c r="S28" i="7" s="1"/>
  <c r="S65" i="1"/>
  <c r="J65" i="1"/>
  <c r="R65" i="1"/>
  <c r="N65" i="1"/>
  <c r="G65" i="1"/>
  <c r="H65" i="1"/>
  <c r="Q65" i="1"/>
  <c r="C65" i="1"/>
  <c r="K65" i="1"/>
  <c r="B65" i="1"/>
  <c r="D65" i="1"/>
  <c r="L65" i="1"/>
  <c r="E65" i="1"/>
  <c r="M65" i="1"/>
  <c r="F65" i="1"/>
  <c r="O65" i="1"/>
  <c r="P65" i="1"/>
  <c r="I65" i="1"/>
  <c r="K27" i="1"/>
  <c r="K26" i="1"/>
  <c r="K25" i="1"/>
  <c r="K24" i="1"/>
  <c r="K23" i="1"/>
  <c r="K22" i="1"/>
  <c r="K21" i="1"/>
  <c r="K20" i="1"/>
  <c r="K19" i="1"/>
  <c r="K18" i="1"/>
  <c r="K17" i="1"/>
  <c r="K16" i="1"/>
  <c r="K15" i="1"/>
  <c r="K14" i="1"/>
  <c r="K13" i="1"/>
  <c r="K12" i="1"/>
  <c r="K11" i="1"/>
  <c r="K10" i="1"/>
  <c r="K9" i="1"/>
  <c r="K8" i="1"/>
  <c r="K7" i="1"/>
  <c r="K6" i="1"/>
  <c r="K5" i="1"/>
  <c r="K4" i="1"/>
  <c r="J27" i="1"/>
  <c r="J26" i="1"/>
  <c r="J25" i="1"/>
  <c r="J24" i="1"/>
  <c r="J23" i="1"/>
  <c r="J22" i="1"/>
  <c r="J21" i="1"/>
  <c r="J20" i="1"/>
  <c r="J19" i="1"/>
  <c r="J18" i="1"/>
  <c r="J17" i="1"/>
  <c r="J16" i="1"/>
  <c r="J15" i="1"/>
  <c r="J14" i="1"/>
  <c r="J13" i="1"/>
  <c r="J12" i="1"/>
  <c r="J11" i="1"/>
  <c r="J10" i="1"/>
  <c r="J9" i="1"/>
  <c r="J8" i="1"/>
  <c r="J7" i="1"/>
  <c r="J6" i="1"/>
  <c r="J5" i="1"/>
  <c r="J4" i="1"/>
  <c r="I27" i="1"/>
  <c r="I26" i="1"/>
  <c r="I25" i="1"/>
  <c r="I24" i="1"/>
  <c r="I23" i="1"/>
  <c r="I22" i="1"/>
  <c r="I21" i="1"/>
  <c r="I20" i="1"/>
  <c r="I19" i="1"/>
  <c r="I18" i="1"/>
  <c r="I17" i="1"/>
  <c r="I16" i="1"/>
  <c r="I15" i="1"/>
  <c r="I14" i="1"/>
  <c r="I13" i="1"/>
  <c r="I12" i="1"/>
  <c r="I11" i="1"/>
  <c r="I10" i="1"/>
  <c r="I9" i="1"/>
  <c r="I8" i="1"/>
  <c r="I7" i="1"/>
  <c r="I6" i="1"/>
  <c r="I5" i="1"/>
  <c r="I4" i="1"/>
  <c r="H27" i="1"/>
  <c r="H26" i="1"/>
  <c r="H25" i="1"/>
  <c r="H24" i="1"/>
  <c r="H23" i="1"/>
  <c r="H22" i="1"/>
  <c r="H21" i="1"/>
  <c r="H20" i="1"/>
  <c r="H19" i="1"/>
  <c r="H18" i="1"/>
  <c r="H17" i="1"/>
  <c r="H16" i="1"/>
  <c r="H15" i="1"/>
  <c r="H14" i="1"/>
  <c r="H13" i="1"/>
  <c r="H12" i="1"/>
  <c r="H11" i="1"/>
  <c r="H10" i="1"/>
  <c r="H9" i="1"/>
  <c r="H8" i="1"/>
  <c r="H7" i="1"/>
  <c r="H6" i="1"/>
  <c r="H5" i="1"/>
  <c r="H4" i="1"/>
  <c r="G27" i="1"/>
  <c r="G26" i="1"/>
  <c r="G25" i="1"/>
  <c r="G24" i="1"/>
  <c r="G23" i="1"/>
  <c r="G22" i="1"/>
  <c r="G21" i="1"/>
  <c r="G20" i="1"/>
  <c r="G19" i="1"/>
  <c r="G18" i="1"/>
  <c r="G17" i="1"/>
  <c r="G16" i="1"/>
  <c r="G15" i="1"/>
  <c r="G14" i="1"/>
  <c r="G13" i="1"/>
  <c r="G11" i="1"/>
  <c r="G12" i="1"/>
  <c r="G10" i="1"/>
  <c r="G9" i="1"/>
  <c r="G8" i="1"/>
  <c r="G7" i="1"/>
  <c r="G6" i="1"/>
  <c r="G5" i="1"/>
  <c r="G4" i="1"/>
  <c r="S26" i="7" l="1"/>
  <c r="S25" i="7"/>
  <c r="P27" i="7"/>
  <c r="P28" i="7" s="1"/>
  <c r="P29" i="7" s="1"/>
  <c r="P30" i="7" s="1"/>
  <c r="P31" i="7" s="1"/>
  <c r="P32" i="7" s="1"/>
  <c r="P33" i="7" s="1"/>
  <c r="P34" i="7" s="1"/>
  <c r="P35" i="7" s="1"/>
  <c r="P36" i="7" s="1"/>
  <c r="P37" i="7" s="1"/>
  <c r="P38" i="7" s="1"/>
  <c r="P39" i="7" s="1"/>
  <c r="P40" i="7" s="1"/>
  <c r="P41" i="7" s="1"/>
  <c r="P42" i="7" s="1"/>
  <c r="S27" i="7"/>
  <c r="E16" i="2"/>
  <c r="B10" i="2"/>
  <c r="D18" i="2"/>
  <c r="E24" i="2"/>
  <c r="B17" i="2"/>
  <c r="D19" i="2"/>
  <c r="D27" i="2"/>
  <c r="C17" i="2"/>
  <c r="E9" i="2"/>
  <c r="D20" i="2"/>
  <c r="D21" i="2"/>
  <c r="E7" i="2"/>
  <c r="B25" i="2"/>
  <c r="C22" i="2"/>
  <c r="D6" i="2"/>
  <c r="D14" i="2"/>
  <c r="F22" i="2"/>
  <c r="F55" i="1"/>
  <c r="F54" i="1"/>
  <c r="F53" i="1"/>
  <c r="F52" i="1"/>
  <c r="F51" i="1"/>
  <c r="F50" i="1"/>
  <c r="F49" i="1"/>
  <c r="F48" i="1"/>
  <c r="F47" i="1"/>
  <c r="F46" i="1"/>
  <c r="F45" i="1"/>
  <c r="F44" i="1"/>
  <c r="F43" i="1"/>
  <c r="F42" i="1"/>
  <c r="F41" i="1"/>
  <c r="F40" i="1"/>
  <c r="F39" i="1"/>
  <c r="F38" i="1"/>
  <c r="F37" i="1"/>
  <c r="F36" i="1"/>
  <c r="F35" i="1"/>
  <c r="F34" i="1"/>
  <c r="F33" i="1"/>
  <c r="F32" i="1"/>
  <c r="F30" i="1"/>
  <c r="E30" i="1"/>
  <c r="D30" i="1"/>
  <c r="C30" i="1"/>
  <c r="B30" i="1"/>
  <c r="F31" i="1"/>
  <c r="F29" i="1"/>
  <c r="F28" i="1"/>
  <c r="F27" i="1"/>
  <c r="F28" i="2" s="1"/>
  <c r="F26" i="1"/>
  <c r="F27" i="2" s="1"/>
  <c r="F25" i="1"/>
  <c r="F26" i="2" s="1"/>
  <c r="F24" i="1"/>
  <c r="F25" i="2" s="1"/>
  <c r="F23" i="1"/>
  <c r="F24" i="2" s="1"/>
  <c r="F22" i="1"/>
  <c r="F23" i="2" s="1"/>
  <c r="F21" i="1"/>
  <c r="F20" i="1"/>
  <c r="F21" i="2" s="1"/>
  <c r="F19" i="1"/>
  <c r="F20" i="2" s="1"/>
  <c r="F18" i="1"/>
  <c r="F19" i="2" s="1"/>
  <c r="F17" i="1"/>
  <c r="F18" i="2" s="1"/>
  <c r="F16" i="1"/>
  <c r="F17" i="2" s="1"/>
  <c r="F15" i="1"/>
  <c r="F16" i="2" s="1"/>
  <c r="F14" i="1"/>
  <c r="F15" i="2" s="1"/>
  <c r="F13" i="1"/>
  <c r="F14" i="2" s="1"/>
  <c r="F12" i="1"/>
  <c r="F13" i="2" s="1"/>
  <c r="F11" i="1"/>
  <c r="F12" i="2" s="1"/>
  <c r="F10" i="1"/>
  <c r="F11" i="2" s="1"/>
  <c r="F9" i="1"/>
  <c r="F10" i="2" s="1"/>
  <c r="F8" i="1"/>
  <c r="F9" i="2" s="1"/>
  <c r="F7" i="1"/>
  <c r="F8" i="2" s="1"/>
  <c r="F6" i="1"/>
  <c r="F7" i="2" s="1"/>
  <c r="F5" i="1"/>
  <c r="F6" i="2" s="1"/>
  <c r="F4" i="1"/>
  <c r="E55" i="1"/>
  <c r="E54" i="1"/>
  <c r="E53" i="1"/>
  <c r="E52" i="1"/>
  <c r="E51" i="1"/>
  <c r="E50" i="1"/>
  <c r="E49" i="1"/>
  <c r="E48" i="1"/>
  <c r="E47" i="1"/>
  <c r="E46" i="1"/>
  <c r="E45" i="1"/>
  <c r="E44" i="1"/>
  <c r="E43" i="1"/>
  <c r="E42" i="1"/>
  <c r="E41" i="1"/>
  <c r="E40" i="1"/>
  <c r="E39" i="1"/>
  <c r="E38" i="1"/>
  <c r="E37" i="1"/>
  <c r="E36" i="1"/>
  <c r="E35" i="1"/>
  <c r="E34" i="1"/>
  <c r="E33" i="1"/>
  <c r="E32" i="1"/>
  <c r="E31" i="1"/>
  <c r="E29" i="1"/>
  <c r="E28" i="1"/>
  <c r="E27" i="1"/>
  <c r="E28" i="2" s="1"/>
  <c r="E26" i="1"/>
  <c r="E27" i="2" s="1"/>
  <c r="E25" i="1"/>
  <c r="E26" i="2" s="1"/>
  <c r="E24" i="1"/>
  <c r="E25" i="2" s="1"/>
  <c r="E23" i="1"/>
  <c r="E22" i="1"/>
  <c r="E23" i="2" s="1"/>
  <c r="E21" i="1"/>
  <c r="E22" i="2" s="1"/>
  <c r="E20" i="1"/>
  <c r="E21" i="2" s="1"/>
  <c r="E19" i="1"/>
  <c r="E20" i="2" s="1"/>
  <c r="E18" i="1"/>
  <c r="E19" i="2" s="1"/>
  <c r="E17" i="1"/>
  <c r="E18" i="2" s="1"/>
  <c r="E16" i="1"/>
  <c r="E17" i="2" s="1"/>
  <c r="E15" i="1"/>
  <c r="E14" i="1"/>
  <c r="E15" i="2" s="1"/>
  <c r="E13" i="1"/>
  <c r="E14" i="2" s="1"/>
  <c r="E12" i="1"/>
  <c r="E13" i="2" s="1"/>
  <c r="E11" i="1"/>
  <c r="E12" i="2" s="1"/>
  <c r="E10" i="1"/>
  <c r="E11" i="2" s="1"/>
  <c r="E9" i="1"/>
  <c r="E10" i="2" s="1"/>
  <c r="E8" i="1"/>
  <c r="E7" i="1"/>
  <c r="E8" i="2" s="1"/>
  <c r="E6" i="1"/>
  <c r="E5" i="1"/>
  <c r="E6" i="2" s="1"/>
  <c r="E4" i="1"/>
  <c r="D55" i="1"/>
  <c r="D54" i="1"/>
  <c r="D53" i="1"/>
  <c r="D52" i="1"/>
  <c r="D51" i="1"/>
  <c r="D50" i="1"/>
  <c r="D49" i="1"/>
  <c r="D48" i="1"/>
  <c r="D47" i="1"/>
  <c r="D46" i="1"/>
  <c r="D45" i="1"/>
  <c r="D44" i="1"/>
  <c r="D43" i="1"/>
  <c r="D42" i="1"/>
  <c r="D41" i="1"/>
  <c r="D40" i="1"/>
  <c r="D39" i="1"/>
  <c r="D38" i="1"/>
  <c r="D37" i="1"/>
  <c r="D36" i="1"/>
  <c r="D35" i="1"/>
  <c r="D34" i="1"/>
  <c r="D33" i="1"/>
  <c r="D32" i="1"/>
  <c r="D31" i="1"/>
  <c r="D29" i="1"/>
  <c r="D28" i="1"/>
  <c r="D27" i="1"/>
  <c r="D28" i="2" s="1"/>
  <c r="D26" i="1"/>
  <c r="D25" i="1"/>
  <c r="D26" i="2" s="1"/>
  <c r="D24" i="1"/>
  <c r="D25" i="2" s="1"/>
  <c r="D23" i="1"/>
  <c r="D24" i="2" s="1"/>
  <c r="D22" i="1"/>
  <c r="D23" i="2" s="1"/>
  <c r="D21" i="1"/>
  <c r="D22" i="2" s="1"/>
  <c r="D20" i="1"/>
  <c r="D19" i="1"/>
  <c r="D18" i="1"/>
  <c r="D17" i="1"/>
  <c r="D16" i="1"/>
  <c r="D17" i="2" s="1"/>
  <c r="D15" i="1"/>
  <c r="D16" i="2" s="1"/>
  <c r="D14" i="1"/>
  <c r="D15" i="2" s="1"/>
  <c r="D13" i="1"/>
  <c r="D12" i="1"/>
  <c r="D13" i="2" s="1"/>
  <c r="D11" i="1"/>
  <c r="D12" i="2" s="1"/>
  <c r="D10" i="1"/>
  <c r="D11" i="2" s="1"/>
  <c r="D9" i="1"/>
  <c r="D10" i="2" s="1"/>
  <c r="D8" i="1"/>
  <c r="D9" i="2" s="1"/>
  <c r="D7" i="1"/>
  <c r="D8" i="2" s="1"/>
  <c r="D6" i="1"/>
  <c r="D7" i="2" s="1"/>
  <c r="D5" i="1"/>
  <c r="D4" i="1"/>
  <c r="D5" i="2" s="1"/>
  <c r="C55" i="1"/>
  <c r="C54" i="1"/>
  <c r="C53" i="1"/>
  <c r="C52" i="1"/>
  <c r="C51" i="1"/>
  <c r="C50" i="1"/>
  <c r="C49" i="1"/>
  <c r="C48" i="1"/>
  <c r="C47" i="1"/>
  <c r="C46" i="1"/>
  <c r="C45" i="1"/>
  <c r="C44" i="1"/>
  <c r="C43" i="1"/>
  <c r="C42" i="1"/>
  <c r="C41" i="1"/>
  <c r="C40" i="1"/>
  <c r="C39" i="1"/>
  <c r="C38" i="1"/>
  <c r="C37" i="1"/>
  <c r="C36" i="1"/>
  <c r="C35" i="1"/>
  <c r="C34" i="1"/>
  <c r="C33" i="1"/>
  <c r="C32" i="1"/>
  <c r="C31" i="1"/>
  <c r="C29" i="1"/>
  <c r="C28" i="1"/>
  <c r="C27" i="1"/>
  <c r="C28" i="2" s="1"/>
  <c r="C26" i="1"/>
  <c r="C27" i="2" s="1"/>
  <c r="C25" i="1"/>
  <c r="C26" i="2" s="1"/>
  <c r="C24" i="1"/>
  <c r="C25" i="2" s="1"/>
  <c r="C23" i="1"/>
  <c r="C24" i="2" s="1"/>
  <c r="C22" i="1"/>
  <c r="C23" i="2" s="1"/>
  <c r="C21" i="1"/>
  <c r="C20" i="1"/>
  <c r="C21" i="2" s="1"/>
  <c r="C19" i="1"/>
  <c r="C20" i="2" s="1"/>
  <c r="C18" i="1"/>
  <c r="C19" i="2" s="1"/>
  <c r="C17" i="1"/>
  <c r="C18" i="2" s="1"/>
  <c r="C16" i="1"/>
  <c r="C15" i="1"/>
  <c r="C16" i="2" s="1"/>
  <c r="C14" i="1"/>
  <c r="C15" i="2" s="1"/>
  <c r="C13" i="1"/>
  <c r="C14" i="2" s="1"/>
  <c r="C12" i="1"/>
  <c r="C13" i="2" s="1"/>
  <c r="C11" i="1"/>
  <c r="C12" i="2" s="1"/>
  <c r="C10" i="1"/>
  <c r="C11" i="2" s="1"/>
  <c r="C9" i="1"/>
  <c r="C10" i="2" s="1"/>
  <c r="C8" i="1"/>
  <c r="C9" i="2" s="1"/>
  <c r="C7" i="1"/>
  <c r="C8" i="2" s="1"/>
  <c r="C6" i="1"/>
  <c r="C7" i="2" s="1"/>
  <c r="C5" i="1"/>
  <c r="C6" i="2" s="1"/>
  <c r="B55" i="1"/>
  <c r="C4" i="1"/>
  <c r="B54" i="1"/>
  <c r="B53" i="1"/>
  <c r="B52" i="1"/>
  <c r="B51" i="1"/>
  <c r="B50" i="1"/>
  <c r="B49" i="1"/>
  <c r="B48" i="1"/>
  <c r="B47" i="1"/>
  <c r="B46" i="1"/>
  <c r="B45" i="1"/>
  <c r="B44" i="1"/>
  <c r="B43" i="1"/>
  <c r="B42" i="1"/>
  <c r="B41" i="1"/>
  <c r="B40" i="1"/>
  <c r="B39" i="1"/>
  <c r="B38" i="1"/>
  <c r="B37" i="1"/>
  <c r="B36" i="1"/>
  <c r="B35" i="1"/>
  <c r="B34" i="1"/>
  <c r="B33" i="1"/>
  <c r="B32" i="1"/>
  <c r="B31" i="1"/>
  <c r="B29" i="1"/>
  <c r="B28" i="1"/>
  <c r="B27" i="1"/>
  <c r="B28" i="2" s="1"/>
  <c r="B26" i="1"/>
  <c r="B27" i="2" s="1"/>
  <c r="B25" i="1"/>
  <c r="B26" i="2" s="1"/>
  <c r="B24" i="1"/>
  <c r="B23" i="1"/>
  <c r="B24" i="2" s="1"/>
  <c r="B22" i="1"/>
  <c r="B23" i="2" s="1"/>
  <c r="B21" i="1"/>
  <c r="B22" i="2" s="1"/>
  <c r="B20" i="1"/>
  <c r="B21" i="2" s="1"/>
  <c r="B19" i="1"/>
  <c r="B20" i="2" s="1"/>
  <c r="B18" i="1"/>
  <c r="B19" i="2" s="1"/>
  <c r="B17" i="1"/>
  <c r="B18" i="2" s="1"/>
  <c r="B16" i="1"/>
  <c r="B15" i="1"/>
  <c r="B16" i="2" s="1"/>
  <c r="B14" i="1"/>
  <c r="B15" i="2" s="1"/>
  <c r="B13" i="1"/>
  <c r="B14" i="2" s="1"/>
  <c r="B12" i="1"/>
  <c r="B13" i="2" s="1"/>
  <c r="B11" i="1"/>
  <c r="B12" i="2" s="1"/>
  <c r="B10" i="1"/>
  <c r="B11" i="2" s="1"/>
  <c r="B9" i="1"/>
  <c r="B8" i="1"/>
  <c r="B9" i="2" s="1"/>
  <c r="B7" i="1"/>
  <c r="B8" i="2" s="1"/>
  <c r="B6" i="1"/>
  <c r="B7" i="2" s="1"/>
  <c r="B5" i="1"/>
  <c r="B6" i="2" s="1"/>
  <c r="B4" i="1"/>
  <c r="B57" i="1" l="1"/>
  <c r="I47" i="1"/>
  <c r="D48" i="2" s="1"/>
  <c r="I33" i="1"/>
  <c r="D34" i="2" s="1"/>
  <c r="I35" i="1"/>
  <c r="D36" i="2" s="1"/>
  <c r="F4" i="2"/>
  <c r="K53" i="1" s="1"/>
  <c r="F54" i="2" s="1"/>
  <c r="D4" i="2"/>
  <c r="I38" i="1" s="1"/>
  <c r="D39" i="2" s="1"/>
  <c r="F57" i="1"/>
  <c r="E57" i="1"/>
  <c r="B5" i="2"/>
  <c r="B4" i="2" s="1"/>
  <c r="G34" i="1" s="1"/>
  <c r="B35" i="2" s="1"/>
  <c r="C57" i="1"/>
  <c r="D57" i="1"/>
  <c r="C5" i="2"/>
  <c r="C4" i="2" s="1"/>
  <c r="H30" i="1" s="1"/>
  <c r="C31" i="2" s="1"/>
  <c r="E5" i="2"/>
  <c r="E4" i="2" s="1"/>
  <c r="J36" i="1" s="1"/>
  <c r="E37" i="2" s="1"/>
  <c r="H40" i="1" l="1"/>
  <c r="C41" i="2" s="1"/>
  <c r="H45" i="1"/>
  <c r="C46" i="2" s="1"/>
  <c r="H43" i="1"/>
  <c r="C44" i="2" s="1"/>
  <c r="H32" i="1"/>
  <c r="C33" i="2" s="1"/>
  <c r="H37" i="1"/>
  <c r="C38" i="2" s="1"/>
  <c r="H35" i="1"/>
  <c r="C36" i="2" s="1"/>
  <c r="I41" i="1"/>
  <c r="D42" i="2" s="1"/>
  <c r="I55" i="1"/>
  <c r="D56" i="2" s="1"/>
  <c r="H39" i="1"/>
  <c r="C40" i="2" s="1"/>
  <c r="H44" i="1"/>
  <c r="C45" i="2" s="1"/>
  <c r="H50" i="1"/>
  <c r="C51" i="2" s="1"/>
  <c r="H54" i="1"/>
  <c r="C55" i="2" s="1"/>
  <c r="H36" i="1"/>
  <c r="C37" i="2" s="1"/>
  <c r="G37" i="1"/>
  <c r="B38" i="2" s="1"/>
  <c r="H38" i="1"/>
  <c r="C39" i="2" s="1"/>
  <c r="I32" i="1"/>
  <c r="D33" i="2" s="1"/>
  <c r="J35" i="1"/>
  <c r="E36" i="2" s="1"/>
  <c r="H48" i="1"/>
  <c r="C49" i="2" s="1"/>
  <c r="J47" i="1"/>
  <c r="E48" i="2" s="1"/>
  <c r="H51" i="1"/>
  <c r="C52" i="2" s="1"/>
  <c r="G50" i="1"/>
  <c r="B51" i="2" s="1"/>
  <c r="G48" i="1"/>
  <c r="B49" i="2" s="1"/>
  <c r="J33" i="1"/>
  <c r="E34" i="2" s="1"/>
  <c r="I51" i="1"/>
  <c r="D52" i="2" s="1"/>
  <c r="J39" i="1"/>
  <c r="E40" i="2" s="1"/>
  <c r="G40" i="1"/>
  <c r="B41" i="2" s="1"/>
  <c r="I30" i="1"/>
  <c r="D31" i="2" s="1"/>
  <c r="G38" i="1"/>
  <c r="B39" i="2" s="1"/>
  <c r="J34" i="1"/>
  <c r="E35" i="2" s="1"/>
  <c r="I52" i="1"/>
  <c r="D53" i="2" s="1"/>
  <c r="H46" i="1"/>
  <c r="C47" i="2" s="1"/>
  <c r="J31" i="1"/>
  <c r="E32" i="2" s="1"/>
  <c r="J46" i="1"/>
  <c r="E47" i="2" s="1"/>
  <c r="J53" i="1"/>
  <c r="E54" i="2" s="1"/>
  <c r="G29" i="1"/>
  <c r="B30" i="2" s="1"/>
  <c r="H42" i="1"/>
  <c r="C43" i="2" s="1"/>
  <c r="I53" i="1"/>
  <c r="D54" i="2" s="1"/>
  <c r="I44" i="1"/>
  <c r="D45" i="2" s="1"/>
  <c r="J32" i="1"/>
  <c r="E33" i="2" s="1"/>
  <c r="I50" i="1"/>
  <c r="D51" i="2" s="1"/>
  <c r="J38" i="1"/>
  <c r="E39" i="2" s="1"/>
  <c r="I48" i="1"/>
  <c r="D49" i="2" s="1"/>
  <c r="G53" i="1"/>
  <c r="B54" i="2" s="1"/>
  <c r="I28" i="1"/>
  <c r="D29" i="2" s="1"/>
  <c r="I36" i="1"/>
  <c r="D37" i="2" s="1"/>
  <c r="I43" i="1"/>
  <c r="D44" i="2" s="1"/>
  <c r="I42" i="1"/>
  <c r="D43" i="2" s="1"/>
  <c r="J29" i="1"/>
  <c r="E30" i="2" s="1"/>
  <c r="I40" i="1"/>
  <c r="D41" i="2" s="1"/>
  <c r="G45" i="1"/>
  <c r="B46" i="2" s="1"/>
  <c r="G42" i="1"/>
  <c r="B43" i="2" s="1"/>
  <c r="G55" i="1"/>
  <c r="B56" i="2" s="1"/>
  <c r="I39" i="1"/>
  <c r="D40" i="2" s="1"/>
  <c r="I46" i="1"/>
  <c r="D47" i="2" s="1"/>
  <c r="I31" i="1"/>
  <c r="D32" i="2" s="1"/>
  <c r="K37" i="1"/>
  <c r="F38" i="2" s="1"/>
  <c r="K52" i="1"/>
  <c r="F53" i="2" s="1"/>
  <c r="G43" i="1"/>
  <c r="B44" i="2" s="1"/>
  <c r="G36" i="1"/>
  <c r="B37" i="2" s="1"/>
  <c r="G39" i="1"/>
  <c r="B40" i="2" s="1"/>
  <c r="G44" i="1"/>
  <c r="B45" i="2" s="1"/>
  <c r="G33" i="1"/>
  <c r="B34" i="2" s="1"/>
  <c r="G35" i="1"/>
  <c r="B36" i="2" s="1"/>
  <c r="G31" i="1"/>
  <c r="B32" i="2" s="1"/>
  <c r="G51" i="1"/>
  <c r="B52" i="2" s="1"/>
  <c r="G41" i="1"/>
  <c r="B42" i="2" s="1"/>
  <c r="G52" i="1"/>
  <c r="B53" i="2" s="1"/>
  <c r="G32" i="1"/>
  <c r="B33" i="2" s="1"/>
  <c r="K44" i="1"/>
  <c r="F45" i="2" s="1"/>
  <c r="G28" i="1"/>
  <c r="K54" i="1"/>
  <c r="F55" i="2" s="1"/>
  <c r="K36" i="1"/>
  <c r="F37" i="2" s="1"/>
  <c r="K51" i="1"/>
  <c r="F52" i="2" s="1"/>
  <c r="J50" i="1"/>
  <c r="E51" i="2" s="1"/>
  <c r="J54" i="1"/>
  <c r="E55" i="2" s="1"/>
  <c r="J42" i="1"/>
  <c r="E43" i="2" s="1"/>
  <c r="J41" i="1"/>
  <c r="E42" i="2" s="1"/>
  <c r="J55" i="1"/>
  <c r="E56" i="2" s="1"/>
  <c r="J40" i="1"/>
  <c r="E41" i="2" s="1"/>
  <c r="J48" i="1"/>
  <c r="E49" i="2" s="1"/>
  <c r="J51" i="1"/>
  <c r="E52" i="2" s="1"/>
  <c r="J49" i="1"/>
  <c r="E50" i="2" s="1"/>
  <c r="G49" i="1"/>
  <c r="B50" i="2" s="1"/>
  <c r="K55" i="1"/>
  <c r="F56" i="2" s="1"/>
  <c r="K46" i="1"/>
  <c r="F47" i="2" s="1"/>
  <c r="J45" i="1"/>
  <c r="E46" i="2" s="1"/>
  <c r="K43" i="1"/>
  <c r="F44" i="2" s="1"/>
  <c r="I49" i="1"/>
  <c r="D50" i="2" s="1"/>
  <c r="I34" i="1"/>
  <c r="D35" i="2" s="1"/>
  <c r="I54" i="1"/>
  <c r="D55" i="2" s="1"/>
  <c r="I29" i="1"/>
  <c r="I37" i="1"/>
  <c r="D38" i="2" s="1"/>
  <c r="I45" i="1"/>
  <c r="D46" i="2" s="1"/>
  <c r="K40" i="1"/>
  <c r="F41" i="2" s="1"/>
  <c r="K47" i="1"/>
  <c r="F48" i="2" s="1"/>
  <c r="K38" i="1"/>
  <c r="F39" i="2" s="1"/>
  <c r="J37" i="1"/>
  <c r="E38" i="2" s="1"/>
  <c r="G54" i="1"/>
  <c r="B55" i="2" s="1"/>
  <c r="J52" i="1"/>
  <c r="E53" i="2" s="1"/>
  <c r="G30" i="1"/>
  <c r="B31" i="2" s="1"/>
  <c r="H47" i="1"/>
  <c r="C48" i="2" s="1"/>
  <c r="H52" i="1"/>
  <c r="C53" i="2" s="1"/>
  <c r="H29" i="1"/>
  <c r="C30" i="2" s="1"/>
  <c r="H55" i="1"/>
  <c r="C56" i="2" s="1"/>
  <c r="H53" i="1"/>
  <c r="H33" i="1"/>
  <c r="C34" i="2" s="1"/>
  <c r="H49" i="1"/>
  <c r="C50" i="2" s="1"/>
  <c r="H41" i="1"/>
  <c r="C42" i="2" s="1"/>
  <c r="K42" i="1"/>
  <c r="F43" i="2" s="1"/>
  <c r="K41" i="1"/>
  <c r="F42" i="2" s="1"/>
  <c r="H31" i="1"/>
  <c r="C32" i="2" s="1"/>
  <c r="K32" i="1"/>
  <c r="F33" i="2" s="1"/>
  <c r="K39" i="1"/>
  <c r="F40" i="2" s="1"/>
  <c r="H28" i="1"/>
  <c r="J30" i="1"/>
  <c r="E31" i="2" s="1"/>
  <c r="G47" i="1"/>
  <c r="B48" i="2" s="1"/>
  <c r="J28" i="1"/>
  <c r="G46" i="1"/>
  <c r="B47" i="2" s="1"/>
  <c r="J44" i="1"/>
  <c r="E45" i="2" s="1"/>
  <c r="H34" i="1"/>
  <c r="C35" i="2" s="1"/>
  <c r="J43" i="1"/>
  <c r="E44" i="2" s="1"/>
  <c r="K31" i="1"/>
  <c r="F32" i="2" s="1"/>
  <c r="K33" i="1"/>
  <c r="F34" i="2" s="1"/>
  <c r="K48" i="1"/>
  <c r="F49" i="2" s="1"/>
  <c r="K50" i="1"/>
  <c r="F51" i="2" s="1"/>
  <c r="K34" i="1"/>
  <c r="F35" i="2" s="1"/>
  <c r="K49" i="1"/>
  <c r="F50" i="2" s="1"/>
  <c r="K35" i="1"/>
  <c r="F36" i="2" s="1"/>
  <c r="K29" i="1"/>
  <c r="F30" i="2" s="1"/>
  <c r="K28" i="1"/>
  <c r="K30" i="1"/>
  <c r="F31" i="2" s="1"/>
  <c r="K45" i="1"/>
  <c r="F46" i="2" s="1"/>
  <c r="G57" i="1" l="1"/>
  <c r="B29" i="2"/>
  <c r="J57" i="1"/>
  <c r="E29" i="2"/>
  <c r="D30" i="2"/>
  <c r="I57" i="1"/>
  <c r="K57" i="1"/>
  <c r="F29" i="2"/>
  <c r="H57" i="1"/>
  <c r="C29" i="2"/>
  <c r="C54" i="2" s="1"/>
  <c r="O19" i="7"/>
  <c r="S6" i="7" s="1"/>
  <c r="O18" i="7"/>
  <c r="O3" i="7"/>
  <c r="O11" i="7"/>
  <c r="O7" i="7"/>
  <c r="O15" i="7"/>
  <c r="O17" i="7"/>
  <c r="O14" i="7"/>
  <c r="O10" i="7"/>
  <c r="O6" i="7"/>
  <c r="O20" i="7"/>
  <c r="O13" i="7"/>
  <c r="O9" i="7"/>
  <c r="O5" i="7"/>
  <c r="O16" i="7"/>
  <c r="O12" i="7"/>
  <c r="O8" i="7"/>
  <c r="O4" i="7"/>
  <c r="S4" i="7" l="1"/>
  <c r="P3" i="7"/>
  <c r="P4" i="7" s="1"/>
  <c r="P5" i="7" s="1"/>
  <c r="P6" i="7" s="1"/>
  <c r="P7" i="7" s="1"/>
  <c r="P8" i="7" s="1"/>
  <c r="P9" i="7" s="1"/>
  <c r="P10" i="7" s="1"/>
  <c r="P11" i="7" s="1"/>
  <c r="P12" i="7" s="1"/>
  <c r="P13" i="7" s="1"/>
  <c r="P14" i="7" s="1"/>
  <c r="P15" i="7" s="1"/>
  <c r="P16" i="7" s="1"/>
  <c r="P17" i="7" s="1"/>
  <c r="P18" i="7" s="1"/>
  <c r="P19" i="7" s="1"/>
  <c r="P20" i="7" s="1"/>
  <c r="S3" i="7"/>
  <c r="S5"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Jessica Kroschel</author>
    <author>Jessica Frischknecht</author>
  </authors>
  <commentList>
    <comment ref="V230" authorId="0" shapeId="0" xr:uid="{28F8C075-AEF4-46C3-B6B0-B90FE8EC4CD7}">
      <text>
        <r>
          <rPr>
            <b/>
            <sz val="9"/>
            <color indexed="81"/>
            <rFont val="Segoe UI"/>
            <family val="2"/>
          </rPr>
          <t>Jessica Kroschel:</t>
        </r>
        <r>
          <rPr>
            <sz val="9"/>
            <color indexed="81"/>
            <rFont val="Segoe UI"/>
            <family val="2"/>
          </rPr>
          <t xml:space="preserve">
modultausch, Aussage Kohlbrenner: Menge 150% </t>
        </r>
      </text>
    </comment>
    <comment ref="V254" authorId="0" shapeId="0" xr:uid="{4C960CD7-7CDF-4500-A07C-00BD1DDF1B16}">
      <text>
        <r>
          <rPr>
            <b/>
            <sz val="9"/>
            <color indexed="81"/>
            <rFont val="Segoe UI"/>
            <family val="2"/>
          </rPr>
          <t>Jessica Kroschel:</t>
        </r>
        <r>
          <rPr>
            <sz val="9"/>
            <color indexed="81"/>
            <rFont val="Segoe UI"/>
            <family val="2"/>
          </rPr>
          <t xml:space="preserve">
modultausch, Aussage Kohlbrenner: Menge 150% </t>
        </r>
      </text>
    </comment>
    <comment ref="L317" authorId="1" shapeId="0" xr:uid="{793841D7-27FD-4BCA-BD72-4B7AE997DE53}">
      <text>
        <r>
          <rPr>
            <b/>
            <sz val="9"/>
            <color indexed="81"/>
            <rFont val="Segoe UI"/>
            <family val="2"/>
          </rPr>
          <t>Jessica Frischknecht:</t>
        </r>
        <r>
          <rPr>
            <sz val="9"/>
            <color indexed="81"/>
            <rFont val="Segoe UI"/>
            <family val="2"/>
          </rPr>
          <t xml:space="preserve">
ab April Split VTW 17 &amp; 18 umgestellt</t>
        </r>
      </text>
    </comment>
    <comment ref="L318" authorId="1" shapeId="0" xr:uid="{653B42A2-4564-4E3C-B22C-9A28CDF857A4}">
      <text>
        <r>
          <rPr>
            <b/>
            <sz val="9"/>
            <color indexed="81"/>
            <rFont val="Segoe UI"/>
            <family val="2"/>
          </rPr>
          <t>Jessica Frischknecht:</t>
        </r>
        <r>
          <rPr>
            <sz val="9"/>
            <color indexed="81"/>
            <rFont val="Segoe UI"/>
            <family val="2"/>
          </rPr>
          <t xml:space="preserve">
ab April Split VTW 17 &amp; 18 umgestellt</t>
        </r>
      </text>
    </comment>
    <comment ref="U422" authorId="0" shapeId="0" xr:uid="{6C3B7B9F-3177-494A-9E2E-DB9D6A7E7291}">
      <text>
        <r>
          <rPr>
            <b/>
            <sz val="9"/>
            <color indexed="81"/>
            <rFont val="Segoe UI"/>
            <family val="2"/>
          </rPr>
          <t>Jessica Kroschel:</t>
        </r>
        <r>
          <rPr>
            <sz val="9"/>
            <color indexed="81"/>
            <rFont val="Segoe UI"/>
            <family val="2"/>
          </rPr>
          <t xml:space="preserve">
Kunde TJX ab 20119 komplett in BK im VTW 32</t>
        </r>
      </text>
    </comment>
    <comment ref="V422" authorId="0" shapeId="0" xr:uid="{28F2C982-3EDE-4F31-9941-FB1D3F4016FA}">
      <text>
        <r>
          <rPr>
            <b/>
            <sz val="9"/>
            <color indexed="81"/>
            <rFont val="Segoe UI"/>
            <family val="2"/>
          </rPr>
          <t>Jessica Kroschel:</t>
        </r>
        <r>
          <rPr>
            <sz val="9"/>
            <color indexed="81"/>
            <rFont val="Segoe UI"/>
            <family val="2"/>
          </rPr>
          <t xml:space="preserve">
Kunde TJX ab 20119 komplett in BK im VTW 32</t>
        </r>
      </text>
    </comment>
    <comment ref="W422" authorId="0" shapeId="0" xr:uid="{50AB58EB-C01A-41C7-A4D4-529D0E4C880A}">
      <text>
        <r>
          <rPr>
            <b/>
            <sz val="9"/>
            <color indexed="81"/>
            <rFont val="Segoe UI"/>
            <family val="2"/>
          </rPr>
          <t>Jessica Kroschel:</t>
        </r>
        <r>
          <rPr>
            <sz val="9"/>
            <color indexed="81"/>
            <rFont val="Segoe UI"/>
            <family val="2"/>
          </rPr>
          <t xml:space="preserve">
Kunde TJX ab 20119 komplett in BK im VTW 32</t>
        </r>
      </text>
    </comment>
    <comment ref="X422" authorId="0" shapeId="0" xr:uid="{BA2D2559-64E5-4AE3-A8CC-F467C7321152}">
      <text>
        <r>
          <rPr>
            <b/>
            <sz val="9"/>
            <color indexed="81"/>
            <rFont val="Segoe UI"/>
            <family val="2"/>
          </rPr>
          <t>Jessica Kroschel:</t>
        </r>
        <r>
          <rPr>
            <sz val="9"/>
            <color indexed="81"/>
            <rFont val="Segoe UI"/>
            <family val="2"/>
          </rPr>
          <t xml:space="preserve">
Kunde TJX ab 20119 komplett in BK im VTW 32</t>
        </r>
      </text>
    </comment>
    <comment ref="Y422" authorId="0" shapeId="0" xr:uid="{F8B5BA86-0950-4FE0-BD24-91FD0C7E6634}">
      <text>
        <r>
          <rPr>
            <b/>
            <sz val="9"/>
            <color indexed="81"/>
            <rFont val="Segoe UI"/>
            <family val="2"/>
          </rPr>
          <t>Jessica Kroschel:</t>
        </r>
        <r>
          <rPr>
            <sz val="9"/>
            <color indexed="81"/>
            <rFont val="Segoe UI"/>
            <family val="2"/>
          </rPr>
          <t xml:space="preserve">
Kunde TJX ab 20119 komplett in BK im VTW 32</t>
        </r>
      </text>
    </comment>
    <comment ref="V583" authorId="0" shapeId="0" xr:uid="{21AE703B-AD99-4F7F-AD52-609C6268E3D5}">
      <text>
        <r>
          <rPr>
            <b/>
            <sz val="9"/>
            <color indexed="81"/>
            <rFont val="Segoe UI"/>
            <family val="2"/>
          </rPr>
          <t>Jessica Kroschel:</t>
        </r>
        <r>
          <rPr>
            <sz val="9"/>
            <color indexed="81"/>
            <rFont val="Segoe UI"/>
            <family val="2"/>
          </rPr>
          <t xml:space="preserve">
KW 25, 26 Private Sale</t>
        </r>
      </text>
    </comment>
    <comment ref="V609" authorId="0" shapeId="0" xr:uid="{271F2061-7426-4570-91FA-5E6051ED20F8}">
      <text>
        <r>
          <rPr>
            <b/>
            <sz val="9"/>
            <color indexed="81"/>
            <rFont val="Segoe UI"/>
            <family val="2"/>
          </rPr>
          <t>Jessica Kroschel:</t>
        </r>
        <r>
          <rPr>
            <sz val="9"/>
            <color indexed="81"/>
            <rFont val="Segoe UI"/>
            <family val="2"/>
          </rPr>
          <t xml:space="preserve">
Private Sale
</t>
        </r>
      </text>
    </comment>
    <comment ref="P640" authorId="1" shapeId="0" xr:uid="{6EB01CC8-CA83-464C-9ED6-3FF47CB98A77}">
      <text>
        <r>
          <rPr>
            <b/>
            <sz val="9"/>
            <color indexed="81"/>
            <rFont val="Segoe UI"/>
            <family val="2"/>
          </rPr>
          <t>Jessica Frischknecht:</t>
        </r>
        <r>
          <rPr>
            <sz val="9"/>
            <color indexed="81"/>
            <rFont val="Segoe UI"/>
            <family val="2"/>
          </rPr>
          <t xml:space="preserve">
Modultausch</t>
        </r>
      </text>
    </comment>
    <comment ref="P664" authorId="1" shapeId="0" xr:uid="{B42EB3BC-E55D-46E8-908F-A9E2B0219FDE}">
      <text>
        <r>
          <rPr>
            <b/>
            <sz val="9"/>
            <color indexed="81"/>
            <rFont val="Segoe UI"/>
            <family val="2"/>
          </rPr>
          <t>Jessica Frischknecht:</t>
        </r>
        <r>
          <rPr>
            <sz val="9"/>
            <color indexed="81"/>
            <rFont val="Segoe UI"/>
            <family val="2"/>
          </rPr>
          <t xml:space="preserve">
Modultausch</t>
        </r>
      </text>
    </comment>
    <comment ref="K715" authorId="1" shapeId="0" xr:uid="{B7C030C3-2FD0-4628-95B5-D98F01C9D98E}">
      <text>
        <r>
          <rPr>
            <b/>
            <sz val="9"/>
            <color indexed="81"/>
            <rFont val="Segoe UI"/>
            <family val="2"/>
          </rPr>
          <t>Jessica Frischknecht:</t>
        </r>
        <r>
          <rPr>
            <sz val="9"/>
            <color indexed="81"/>
            <rFont val="Segoe UI"/>
            <family val="2"/>
          </rPr>
          <t xml:space="preserve">
Modultausch</t>
        </r>
      </text>
    </comment>
    <comment ref="U1162" authorId="0" shapeId="0" xr:uid="{C44CE6E5-983E-477C-8989-07A8E8D95434}">
      <text>
        <r>
          <rPr>
            <b/>
            <sz val="9"/>
            <color indexed="81"/>
            <rFont val="Segoe UI"/>
            <family val="2"/>
          </rPr>
          <t>Jessica Kroschel:</t>
        </r>
        <r>
          <rPr>
            <sz val="9"/>
            <color indexed="81"/>
            <rFont val="Segoe UI"/>
            <family val="2"/>
          </rPr>
          <t xml:space="preserve">
KW 49-52:FC 2018 Zahlen da noch keine IST-Zahlen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Jessica Frischknecht</author>
    <author>Jessica Kroschel</author>
  </authors>
  <commentList>
    <comment ref="AH3" authorId="0" shapeId="0" xr:uid="{0CF1783A-E3E7-4BE7-B3BB-6E0FA29F2DDD}">
      <text>
        <r>
          <rPr>
            <b/>
            <sz val="9"/>
            <color indexed="81"/>
            <rFont val="Segoe UI"/>
            <family val="2"/>
          </rPr>
          <t>Jessica Frischknecht:</t>
        </r>
        <r>
          <rPr>
            <sz val="9"/>
            <color indexed="81"/>
            <rFont val="Segoe UI"/>
            <family val="2"/>
          </rPr>
          <t xml:space="preserve">
Aussage Martinitz, 01.02.2017</t>
        </r>
      </text>
    </comment>
    <comment ref="P76" authorId="1" shapeId="0" xr:uid="{E3E8E034-EF6D-4D91-BA5B-8E43B057476B}">
      <text>
        <r>
          <rPr>
            <b/>
            <sz val="9"/>
            <color indexed="81"/>
            <rFont val="Segoe UI"/>
            <family val="2"/>
          </rPr>
          <t>Jessica Kroschel:</t>
        </r>
        <r>
          <rPr>
            <sz val="9"/>
            <color indexed="81"/>
            <rFont val="Segoe UI"/>
            <family val="2"/>
          </rPr>
          <t xml:space="preserve">
VTW 30 komplett in BK</t>
        </r>
      </text>
    </comment>
    <comment ref="V152" authorId="1" shapeId="0" xr:uid="{84242061-E61E-4E68-B7F3-F0646BA2B02A}">
      <text>
        <r>
          <rPr>
            <b/>
            <sz val="9"/>
            <color indexed="81"/>
            <rFont val="Segoe UI"/>
            <family val="2"/>
          </rPr>
          <t>Jessica Kroschel:</t>
        </r>
        <r>
          <rPr>
            <sz val="9"/>
            <color indexed="81"/>
            <rFont val="Segoe UI"/>
            <family val="2"/>
          </rPr>
          <t xml:space="preserve">
modultausch, Aussage Kohlbrenner: Menge 150% </t>
        </r>
      </text>
    </comment>
    <comment ref="V173" authorId="1" shapeId="0" xr:uid="{CB9A222C-E54A-47D1-8D97-CB99DA46981D}">
      <text>
        <r>
          <rPr>
            <b/>
            <sz val="9"/>
            <color indexed="81"/>
            <rFont val="Segoe UI"/>
            <family val="2"/>
          </rPr>
          <t>Jessica Kroschel:</t>
        </r>
        <r>
          <rPr>
            <sz val="9"/>
            <color indexed="81"/>
            <rFont val="Segoe UI"/>
            <family val="2"/>
          </rPr>
          <t xml:space="preserve">
modultausch, Aussage Kohlbrenner: Menge 150% </t>
        </r>
      </text>
    </comment>
    <comment ref="L261" authorId="0" shapeId="0" xr:uid="{F84D8FA5-88A0-47C4-870F-649E92794F3D}">
      <text>
        <r>
          <rPr>
            <b/>
            <sz val="9"/>
            <color indexed="81"/>
            <rFont val="Segoe UI"/>
            <family val="2"/>
          </rPr>
          <t>Jessica Frischknecht:</t>
        </r>
        <r>
          <rPr>
            <sz val="9"/>
            <color indexed="81"/>
            <rFont val="Segoe UI"/>
            <family val="2"/>
          </rPr>
          <t xml:space="preserve">
Großauftrag ICA Schweden</t>
        </r>
      </text>
    </comment>
    <comment ref="U426" authorId="1" shapeId="0" xr:uid="{BC3CDEF5-7D6B-492C-848F-A5A088CF43AA}">
      <text>
        <r>
          <rPr>
            <b/>
            <sz val="9"/>
            <color indexed="81"/>
            <rFont val="Segoe UI"/>
            <family val="2"/>
          </rPr>
          <t>Jessica Kroschel:</t>
        </r>
        <r>
          <rPr>
            <sz val="9"/>
            <color indexed="81"/>
            <rFont val="Segoe UI"/>
            <family val="2"/>
          </rPr>
          <t xml:space="preserve">
Kunde TJX ab 2019 komplett in BK im VTW 32</t>
        </r>
      </text>
    </comment>
    <comment ref="V426" authorId="1" shapeId="0" xr:uid="{3D746E21-AF52-42B3-BA38-B388D5BAF6CC}">
      <text>
        <r>
          <rPr>
            <b/>
            <sz val="9"/>
            <color indexed="81"/>
            <rFont val="Segoe UI"/>
            <family val="2"/>
          </rPr>
          <t>Jessica Kroschel:</t>
        </r>
        <r>
          <rPr>
            <sz val="9"/>
            <color indexed="81"/>
            <rFont val="Segoe UI"/>
            <family val="2"/>
          </rPr>
          <t xml:space="preserve">
Kunde TJX ab 2019 komplett in BK im VTW 32</t>
        </r>
      </text>
    </comment>
    <comment ref="W426" authorId="1" shapeId="0" xr:uid="{8715066E-26E6-47FC-A667-73890C9FBF78}">
      <text>
        <r>
          <rPr>
            <b/>
            <sz val="9"/>
            <color indexed="81"/>
            <rFont val="Segoe UI"/>
            <family val="2"/>
          </rPr>
          <t>Jessica Kroschel:</t>
        </r>
        <r>
          <rPr>
            <sz val="9"/>
            <color indexed="81"/>
            <rFont val="Segoe UI"/>
            <family val="2"/>
          </rPr>
          <t xml:space="preserve">
Kunde TJX ab 2019 komplett in BK im VTW 32</t>
        </r>
      </text>
    </comment>
    <comment ref="X426" authorId="1" shapeId="0" xr:uid="{64AFDB65-A211-4C23-8E48-4B826AAC714A}">
      <text>
        <r>
          <rPr>
            <b/>
            <sz val="9"/>
            <color indexed="81"/>
            <rFont val="Segoe UI"/>
            <family val="2"/>
          </rPr>
          <t>Jessica Kroschel:</t>
        </r>
        <r>
          <rPr>
            <sz val="9"/>
            <color indexed="81"/>
            <rFont val="Segoe UI"/>
            <family val="2"/>
          </rPr>
          <t xml:space="preserve">
Kunde TJX ab 2019 komplett in BK im VTW 32</t>
        </r>
      </text>
    </comment>
    <comment ref="Y426" authorId="1" shapeId="0" xr:uid="{0D813643-3320-450C-BD3B-93D81CA828F9}">
      <text>
        <r>
          <rPr>
            <b/>
            <sz val="9"/>
            <color indexed="81"/>
            <rFont val="Segoe UI"/>
            <family val="2"/>
          </rPr>
          <t>Jessica Kroschel:</t>
        </r>
        <r>
          <rPr>
            <sz val="9"/>
            <color indexed="81"/>
            <rFont val="Segoe UI"/>
            <family val="2"/>
          </rPr>
          <t xml:space="preserve">
Kunde TJX ab 2019 komplett in BK im VTW 32</t>
        </r>
      </text>
    </comment>
    <comment ref="K470" authorId="0" shapeId="0" xr:uid="{8082ABF1-7C86-44CA-8DD9-5980FB9F96D1}">
      <text>
        <r>
          <rPr>
            <b/>
            <sz val="9"/>
            <color indexed="81"/>
            <rFont val="Segoe UI"/>
            <family val="2"/>
          </rPr>
          <t>Jessica Frischknecht:</t>
        </r>
        <r>
          <rPr>
            <sz val="9"/>
            <color indexed="81"/>
            <rFont val="Segoe UI"/>
            <family val="2"/>
          </rPr>
          <t xml:space="preserve">
Modultausch</t>
        </r>
      </text>
    </comment>
    <comment ref="L495" authorId="0" shapeId="0" xr:uid="{F7B570DB-4A78-4D44-AA78-87B7D8A74EED}">
      <text>
        <r>
          <rPr>
            <b/>
            <sz val="9"/>
            <color indexed="81"/>
            <rFont val="Segoe UI"/>
            <family val="2"/>
          </rPr>
          <t>Jessica Frischknecht:</t>
        </r>
        <r>
          <rPr>
            <sz val="9"/>
            <color indexed="81"/>
            <rFont val="Segoe UI"/>
            <family val="2"/>
          </rPr>
          <t xml:space="preserve">
Winterbackhäuser Dietz. Aufgrund zu wenig Lagerkapa lief dies über BK, nächstes Jahr vermutlich auch.</t>
        </r>
      </text>
    </comment>
    <comment ref="L541" authorId="0" shapeId="0" xr:uid="{9617DF4F-6835-4260-9001-2B0CF570E879}">
      <text>
        <r>
          <rPr>
            <b/>
            <sz val="9"/>
            <color indexed="81"/>
            <rFont val="Segoe UI"/>
            <family val="2"/>
          </rPr>
          <t>Jessica Frischknecht:</t>
        </r>
        <r>
          <rPr>
            <sz val="9"/>
            <color indexed="81"/>
            <rFont val="Segoe UI"/>
            <family val="2"/>
          </rPr>
          <t xml:space="preserve">
Winterbackhäuser Dietz. Aufgrund zu wenig Lagerkapa lief dies über BK, nächstes Jahr vermutlich auch.</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Jessica Kroschel</author>
  </authors>
  <commentList>
    <comment ref="AB41" authorId="0" shapeId="0" xr:uid="{FF27170C-65A1-4C07-BA0A-24F8F60711B5}">
      <text>
        <r>
          <rPr>
            <b/>
            <sz val="9"/>
            <color indexed="81"/>
            <rFont val="Segoe UI"/>
            <family val="2"/>
          </rPr>
          <t>Jessica Kroschel:</t>
        </r>
        <r>
          <rPr>
            <sz val="9"/>
            <color indexed="81"/>
            <rFont val="Segoe UI"/>
            <family val="2"/>
          </rPr>
          <t xml:space="preserve">
Kunde TJX ab 2019 komplett in BK im VTW 32</t>
        </r>
      </text>
    </comment>
  </commentList>
</comments>
</file>

<file path=xl/sharedStrings.xml><?xml version="1.0" encoding="utf-8"?>
<sst xmlns="http://schemas.openxmlformats.org/spreadsheetml/2006/main" count="2719" uniqueCount="290">
  <si>
    <t>KW 1</t>
  </si>
  <si>
    <t>KW 2</t>
  </si>
  <si>
    <t>KW 3</t>
  </si>
  <si>
    <t>KW 4</t>
  </si>
  <si>
    <t>KW 5</t>
  </si>
  <si>
    <t>KW 6</t>
  </si>
  <si>
    <t>KW 7</t>
  </si>
  <si>
    <t>KW 8</t>
  </si>
  <si>
    <t>KW 9</t>
  </si>
  <si>
    <t>KW 10</t>
  </si>
  <si>
    <t>KW 11</t>
  </si>
  <si>
    <t>KW 12</t>
  </si>
  <si>
    <t>KW 13</t>
  </si>
  <si>
    <t>KW 14</t>
  </si>
  <si>
    <t>KW 15</t>
  </si>
  <si>
    <t>KW 16</t>
  </si>
  <si>
    <t>KW 17</t>
  </si>
  <si>
    <t>KW 18</t>
  </si>
  <si>
    <t>KW 19</t>
  </si>
  <si>
    <t>KW 20</t>
  </si>
  <si>
    <t>KW 21</t>
  </si>
  <si>
    <t>KW 22</t>
  </si>
  <si>
    <t>KW 23</t>
  </si>
  <si>
    <t>KW 24</t>
  </si>
  <si>
    <t>KW 25</t>
  </si>
  <si>
    <t>KW 26</t>
  </si>
  <si>
    <t>KW 27</t>
  </si>
  <si>
    <t>KW 28</t>
  </si>
  <si>
    <t>KW 29</t>
  </si>
  <si>
    <t>KW 30</t>
  </si>
  <si>
    <t>KW 31</t>
  </si>
  <si>
    <t>KW 32</t>
  </si>
  <si>
    <t>KW 33</t>
  </si>
  <si>
    <t>KW 34</t>
  </si>
  <si>
    <t>KW 35</t>
  </si>
  <si>
    <t>KW 36</t>
  </si>
  <si>
    <t>KW 37</t>
  </si>
  <si>
    <t>KW 38</t>
  </si>
  <si>
    <t>KW 39</t>
  </si>
  <si>
    <t>KW 40</t>
  </si>
  <si>
    <t>KW 41</t>
  </si>
  <si>
    <t>KW 42</t>
  </si>
  <si>
    <t>KW 43</t>
  </si>
  <si>
    <t>KW 44</t>
  </si>
  <si>
    <t>KW 45</t>
  </si>
  <si>
    <t>KW 46</t>
  </si>
  <si>
    <t>KW 47</t>
  </si>
  <si>
    <t>KW 48</t>
  </si>
  <si>
    <t>KW 49</t>
  </si>
  <si>
    <t>KW 50</t>
  </si>
  <si>
    <t>KW 51</t>
  </si>
  <si>
    <t>KW 52</t>
  </si>
  <si>
    <t>Wareneingang</t>
  </si>
  <si>
    <t>AKL Umpack</t>
  </si>
  <si>
    <t>AKL und BGL</t>
  </si>
  <si>
    <t>Verladung</t>
  </si>
  <si>
    <t>BKL</t>
  </si>
  <si>
    <t>Gesamt (Karton + Paletten)</t>
  </si>
  <si>
    <t>Behälter</t>
  </si>
  <si>
    <t>Ausgangs-positionen</t>
  </si>
  <si>
    <t>Spedition + KEP</t>
  </si>
  <si>
    <t>Sets</t>
  </si>
  <si>
    <t>Moyenne</t>
  </si>
  <si>
    <t>Picking &amp; Packing AKL/SPED/VAS | proLOG – logistics services GmbH</t>
  </si>
  <si>
    <t>W h i t e b o a r d</t>
  </si>
  <si>
    <t>Erstellte Packstückarten (Gesamt)</t>
  </si>
  <si>
    <t>Leistung Verpackung (Gesamt)</t>
  </si>
  <si>
    <t>Umgepackte Paletten</t>
  </si>
  <si>
    <t>Erstellte Packstückarten (SOBE)</t>
  </si>
  <si>
    <t>Leistung Verpackung (SOBE)</t>
  </si>
  <si>
    <t>Packmittel</t>
  </si>
  <si>
    <t>Kommissionierung AKL</t>
  </si>
  <si>
    <t>Kommissionierung BGL</t>
  </si>
  <si>
    <t>Sendungsstruktur</t>
  </si>
  <si>
    <t>LS Typ</t>
  </si>
  <si>
    <t>Anzahl/ Summe</t>
  </si>
  <si>
    <t>KW</t>
  </si>
  <si>
    <t>Datum</t>
  </si>
  <si>
    <t>Mehrweg</t>
  </si>
  <si>
    <t>Paket</t>
  </si>
  <si>
    <t>Palette</t>
  </si>
  <si>
    <t>ø Pos/Pack</t>
  </si>
  <si>
    <t>ø Pos/LS</t>
  </si>
  <si>
    <t>Lieferschein</t>
  </si>
  <si>
    <t>Packstücke</t>
  </si>
  <si>
    <t>Positionen</t>
  </si>
  <si>
    <t>Menge x10</t>
  </si>
  <si>
    <t>Volumen</t>
  </si>
  <si>
    <t>Produktiv Stunden Soll</t>
  </si>
  <si>
    <t>Produktiv Stunden IST H3/H4</t>
  </si>
  <si>
    <t>Pos á MA/Std H3/H4</t>
  </si>
  <si>
    <t>Produktiv Stunden IST Gesamt</t>
  </si>
  <si>
    <t>Pos á MA/Std Gesamt</t>
  </si>
  <si>
    <t>Halle 3</t>
  </si>
  <si>
    <t>Halle 4</t>
  </si>
  <si>
    <t>Produktiv Stunden IST</t>
  </si>
  <si>
    <t>Pos á MA/Std</t>
  </si>
  <si>
    <t>DK03-15</t>
  </si>
  <si>
    <t>MK05s</t>
  </si>
  <si>
    <t>MK11s</t>
  </si>
  <si>
    <t>MK15</t>
  </si>
  <si>
    <t>MK23s</t>
  </si>
  <si>
    <t>MK33</t>
  </si>
  <si>
    <t>MK47s</t>
  </si>
  <si>
    <t>MK64s</t>
  </si>
  <si>
    <t>FK85s</t>
  </si>
  <si>
    <t>FK142L</t>
  </si>
  <si>
    <t>FK207L</t>
  </si>
  <si>
    <t>ZK</t>
  </si>
  <si>
    <t>D-MK33</t>
  </si>
  <si>
    <t>DE 47-64</t>
  </si>
  <si>
    <t>D-SK85</t>
  </si>
  <si>
    <t>HEP1</t>
  </si>
  <si>
    <t>EPAL</t>
  </si>
  <si>
    <t>WPP3</t>
  </si>
  <si>
    <t>Pos Bühne</t>
  </si>
  <si>
    <t>Menge Bühne</t>
  </si>
  <si>
    <t>Pos WRS Behälter</t>
  </si>
  <si>
    <t>Menge WRS Behälter</t>
  </si>
  <si>
    <t>Pos WRS 13</t>
  </si>
  <si>
    <t>Menge WRS 13</t>
  </si>
  <si>
    <t>Komm. Trays Bühne</t>
  </si>
  <si>
    <t>Komm. Trays WRS</t>
  </si>
  <si>
    <t>LE Aufsetzen NIO EG</t>
  </si>
  <si>
    <t>Aufgerichtete LE'S</t>
  </si>
  <si>
    <t>Produktiv Stunden</t>
  </si>
  <si>
    <t>Leistung Schubmast</t>
  </si>
  <si>
    <t>.</t>
  </si>
  <si>
    <t>KBERE</t>
  </si>
  <si>
    <t>Einlagerung</t>
  </si>
  <si>
    <t>Auslagerung</t>
  </si>
  <si>
    <t>Umlagerung</t>
  </si>
  <si>
    <t>KOX</t>
  </si>
  <si>
    <t>PDE</t>
  </si>
  <si>
    <t>PDM</t>
  </si>
  <si>
    <t>SP</t>
  </si>
  <si>
    <t>% AKL</t>
  </si>
  <si>
    <t>% BGL</t>
  </si>
  <si>
    <t>AKL Aufträge</t>
  </si>
  <si>
    <t>BGL Aufträge</t>
  </si>
  <si>
    <t>1</t>
  </si>
  <si>
    <t>2B</t>
  </si>
  <si>
    <t>3</t>
  </si>
  <si>
    <t>5</t>
  </si>
  <si>
    <t>6</t>
  </si>
  <si>
    <t>7</t>
  </si>
  <si>
    <t>8</t>
  </si>
  <si>
    <t>TX</t>
  </si>
  <si>
    <t>Total</t>
  </si>
  <si>
    <t>% de chaque</t>
  </si>
  <si>
    <t>Différence 2019 - 2018</t>
  </si>
  <si>
    <t>Repartition 2019</t>
  </si>
  <si>
    <t>VTW 21 ab Juni komplett in DST &amp; VTW 30 in BK</t>
  </si>
  <si>
    <t>Actual 2016</t>
  </si>
  <si>
    <t>Actual 2017</t>
  </si>
  <si>
    <t>Actual 2018</t>
  </si>
  <si>
    <t>Forecast 2019</t>
  </si>
  <si>
    <t>IST 2019</t>
  </si>
  <si>
    <t>Leistungsfähigkeit: Pos/ KW (2-Schicht)</t>
  </si>
  <si>
    <t>cw</t>
  </si>
  <si>
    <t>channel</t>
  </si>
  <si>
    <t>Hilfe</t>
  </si>
  <si>
    <t>Delivery Note</t>
  </si>
  <si>
    <t>Positiones</t>
  </si>
  <si>
    <t>Quantity</t>
  </si>
  <si>
    <t>Value [€]</t>
  </si>
  <si>
    <t>Volume [cdm]</t>
  </si>
  <si>
    <t>Growth</t>
  </si>
  <si>
    <t>Ø</t>
  </si>
  <si>
    <t>Min</t>
  </si>
  <si>
    <t>Max</t>
  </si>
  <si>
    <t>Januar</t>
  </si>
  <si>
    <t>Uml</t>
  </si>
  <si>
    <t>Februar</t>
  </si>
  <si>
    <t>März</t>
  </si>
  <si>
    <t>April</t>
  </si>
  <si>
    <t>Mai</t>
  </si>
  <si>
    <t>2012</t>
  </si>
  <si>
    <t>2028</t>
  </si>
  <si>
    <t>2046</t>
  </si>
  <si>
    <t>2066</t>
  </si>
  <si>
    <t>2091</t>
  </si>
  <si>
    <t>Juni</t>
  </si>
  <si>
    <t>Juli</t>
  </si>
  <si>
    <t>August</t>
  </si>
  <si>
    <t>September</t>
  </si>
  <si>
    <t>Oktober</t>
  </si>
  <si>
    <t>November</t>
  </si>
  <si>
    <t>Dezember</t>
  </si>
  <si>
    <t>mit Unterpos.</t>
  </si>
  <si>
    <t>summe/woche IST</t>
  </si>
  <si>
    <t>Summe/woche forecast</t>
  </si>
  <si>
    <t>1318.5</t>
  </si>
  <si>
    <t>Répartition 2018</t>
  </si>
  <si>
    <t>Reel bergkamen</t>
  </si>
  <si>
    <t xml:space="preserve">Forecast </t>
  </si>
  <si>
    <t>kw 1</t>
  </si>
  <si>
    <t>kw 2</t>
  </si>
  <si>
    <t>kw 3</t>
  </si>
  <si>
    <t>kw 4</t>
  </si>
  <si>
    <t>kw 5</t>
  </si>
  <si>
    <t>kw 6</t>
  </si>
  <si>
    <t>kw 7</t>
  </si>
  <si>
    <t>kw 8</t>
  </si>
  <si>
    <t>kw 9</t>
  </si>
  <si>
    <t>kw 10</t>
  </si>
  <si>
    <t>kw 11</t>
  </si>
  <si>
    <t>kw 12</t>
  </si>
  <si>
    <t>kw 13</t>
  </si>
  <si>
    <t>kw 14</t>
  </si>
  <si>
    <t>kw 15</t>
  </si>
  <si>
    <t>kw 16</t>
  </si>
  <si>
    <t>kw 17</t>
  </si>
  <si>
    <t>kw 18</t>
  </si>
  <si>
    <t>kw 19</t>
  </si>
  <si>
    <t>kw 20</t>
  </si>
  <si>
    <t>kw 21</t>
  </si>
  <si>
    <t>kw 22</t>
  </si>
  <si>
    <t>kw 23</t>
  </si>
  <si>
    <t>kw 24</t>
  </si>
  <si>
    <t>kw 25</t>
  </si>
  <si>
    <t>kw 26</t>
  </si>
  <si>
    <t>kw 27</t>
  </si>
  <si>
    <t>kw 28</t>
  </si>
  <si>
    <t>kw 29</t>
  </si>
  <si>
    <t>kw 30</t>
  </si>
  <si>
    <t>kw 31</t>
  </si>
  <si>
    <t>kw 32</t>
  </si>
  <si>
    <t>kw 33</t>
  </si>
  <si>
    <t>kw 34</t>
  </si>
  <si>
    <t>kw 35</t>
  </si>
  <si>
    <t>kw 36</t>
  </si>
  <si>
    <t>kw 37</t>
  </si>
  <si>
    <t>kw 38</t>
  </si>
  <si>
    <t>kw 39</t>
  </si>
  <si>
    <t>kw 40</t>
  </si>
  <si>
    <t>kw 41</t>
  </si>
  <si>
    <t>kw 42</t>
  </si>
  <si>
    <t>kw 43</t>
  </si>
  <si>
    <t>kw 44</t>
  </si>
  <si>
    <t>kw 45</t>
  </si>
  <si>
    <t>kw 46</t>
  </si>
  <si>
    <t>kw 47</t>
  </si>
  <si>
    <t>kw 48</t>
  </si>
  <si>
    <t>kw 49</t>
  </si>
  <si>
    <t>kw 50</t>
  </si>
  <si>
    <t>kw 51</t>
  </si>
  <si>
    <t>kw 52</t>
  </si>
  <si>
    <t>Total annuel</t>
  </si>
  <si>
    <t xml:space="preserve">2020 Forecast = 2019 + Bergkamen </t>
  </si>
  <si>
    <t>Achtung Wachstum teilweise angepasst</t>
  </si>
  <si>
    <t>Actual 2019</t>
  </si>
  <si>
    <t>Monat</t>
  </si>
  <si>
    <t>hilfe</t>
  </si>
  <si>
    <t>growth</t>
  </si>
  <si>
    <t>Hilfspalte</t>
  </si>
  <si>
    <t>Uml (1)</t>
  </si>
  <si>
    <t>Nb of position in Bergkamen (forecast 2020 all year)</t>
  </si>
  <si>
    <t>Nb of position in Bergkamen (forecast 2020 until 01/07)</t>
  </si>
  <si>
    <t>somme</t>
  </si>
  <si>
    <t>%</t>
  </si>
  <si>
    <t>%cumul</t>
  </si>
  <si>
    <t>Channel</t>
  </si>
  <si>
    <t xml:space="preserve">Nb of position </t>
  </si>
  <si>
    <t>Wave 1 =</t>
  </si>
  <si>
    <t xml:space="preserve">Wave 2 = </t>
  </si>
  <si>
    <t xml:space="preserve">Wave 3 = </t>
  </si>
  <si>
    <t>Nb of pos</t>
  </si>
  <si>
    <t xml:space="preserve">Wave 4 = </t>
  </si>
  <si>
    <t>DATE</t>
  </si>
  <si>
    <t>April 1</t>
  </si>
  <si>
    <t xml:space="preserve">May 1 </t>
  </si>
  <si>
    <t>June 1</t>
  </si>
  <si>
    <t xml:space="preserve">July 1 </t>
  </si>
  <si>
    <t xml:space="preserve">% </t>
  </si>
  <si>
    <t>Nb of position in Bergkamen (forecast Januar 2020)</t>
  </si>
  <si>
    <t>mit march</t>
  </si>
  <si>
    <t>mit april</t>
  </si>
  <si>
    <t>mit mai</t>
  </si>
  <si>
    <t>mit june</t>
  </si>
  <si>
    <t>Dornstadt</t>
  </si>
  <si>
    <t>Bergkamen</t>
  </si>
  <si>
    <t>Wave 1</t>
  </si>
  <si>
    <t>Wave 2</t>
  </si>
  <si>
    <t>Wave 3</t>
  </si>
  <si>
    <t>Wave 4</t>
  </si>
  <si>
    <t xml:space="preserve">TOTAL </t>
  </si>
  <si>
    <t xml:space="preserve">Week number --&gt; </t>
  </si>
  <si>
    <t>Wave composition (Bergkamen  --&gt; Dornstadt)</t>
  </si>
  <si>
    <t xml:space="preserve">Channel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</si>
</sst>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 _€_-;\-* #,##0.00\ _€_-;_-* &quot;-&quot;??\ _€_-;_-@_-"/>
    <numFmt numFmtId="164" formatCode="#,##0.0"/>
    <numFmt numFmtId="165" formatCode="[$-407]d/\ mmm/\ yy;@"/>
    <numFmt numFmtId="166" formatCode="0.0"/>
    <numFmt numFmtId="167" formatCode="0.0%"/>
    <numFmt numFmtId="168" formatCode="_-* #,##0\ _€_-;\-* #,##0\ _€_-;_-* &quot;-&quot;??\ _€_-;_-@_-"/>
  </numFmts>
  <fonts count="25" x14ac:knownFonts="1">
    <font>
      <sz val="11"/>
      <color theme="1"/>
      <name val="Calibri"/>
      <family val="2"/>
      <scheme val="minor"/>
    </font>
    <font>
      <sz val="11"/>
      <color theme="1"/>
      <name val="Calibri"/>
      <family val="2"/>
      <scheme val="minor"/>
    </font>
    <font>
      <sz val="11"/>
      <color theme="0"/>
      <name val="Calibri"/>
      <family val="2"/>
      <scheme val="minor"/>
    </font>
    <font>
      <b/>
      <sz val="12"/>
      <color theme="1"/>
      <name val="Calibri"/>
      <family val="2"/>
      <scheme val="minor"/>
    </font>
    <font>
      <b/>
      <sz val="14"/>
      <name val="Arial"/>
      <family val="2"/>
    </font>
    <font>
      <b/>
      <sz val="12"/>
      <color theme="0"/>
      <name val="Arial"/>
      <family val="2"/>
    </font>
    <font>
      <b/>
      <sz val="11"/>
      <color theme="0"/>
      <name val="Arial"/>
      <family val="2"/>
    </font>
    <font>
      <b/>
      <sz val="10"/>
      <name val="Arial"/>
      <family val="2"/>
    </font>
    <font>
      <sz val="11"/>
      <color theme="1"/>
      <name val="Arial"/>
      <family val="2"/>
    </font>
    <font>
      <sz val="10"/>
      <name val="Arial"/>
      <family val="2"/>
    </font>
    <font>
      <sz val="10"/>
      <color theme="1"/>
      <name val="Arial"/>
      <family val="2"/>
    </font>
    <font>
      <b/>
      <sz val="11"/>
      <color theme="1"/>
      <name val="Calibri"/>
      <family val="2"/>
      <scheme val="minor"/>
    </font>
    <font>
      <sz val="8"/>
      <name val="Arial"/>
      <family val="2"/>
    </font>
    <font>
      <b/>
      <u/>
      <sz val="8"/>
      <name val="Arial"/>
      <family val="2"/>
    </font>
    <font>
      <b/>
      <sz val="8"/>
      <name val="Arial"/>
      <family val="2"/>
    </font>
    <font>
      <b/>
      <sz val="8"/>
      <color theme="0" tint="-0.249977111117893"/>
      <name val="Arial"/>
      <family val="2"/>
    </font>
    <font>
      <sz val="8"/>
      <color theme="0" tint="-0.499984740745262"/>
      <name val="Arial"/>
      <family val="2"/>
    </font>
    <font>
      <sz val="8"/>
      <color theme="0" tint="-0.34998626667073579"/>
      <name val="Arial"/>
      <family val="2"/>
    </font>
    <font>
      <sz val="8"/>
      <color rgb="FFFF0000"/>
      <name val="Arial"/>
      <family val="2"/>
    </font>
    <font>
      <b/>
      <sz val="9"/>
      <color indexed="81"/>
      <name val="Segoe UI"/>
      <family val="2"/>
    </font>
    <font>
      <sz val="9"/>
      <color indexed="81"/>
      <name val="Segoe UI"/>
      <family val="2"/>
    </font>
    <font>
      <b/>
      <sz val="8"/>
      <color rgb="FFFF0000"/>
      <name val="Arial"/>
      <family val="2"/>
    </font>
    <font>
      <sz val="8"/>
      <color theme="0" tint="-0.249977111117893"/>
      <name val="Arial"/>
      <family val="2"/>
    </font>
    <font>
      <sz val="10"/>
      <color theme="1"/>
      <name val="Calibri"/>
      <family val="2"/>
      <scheme val="minor"/>
    </font>
    <font>
      <sz val="10"/>
      <name val="Calibri"/>
      <family val="2"/>
      <scheme val="minor"/>
    </font>
  </fonts>
  <fills count="22">
    <fill>
      <patternFill patternType="none"/>
    </fill>
    <fill>
      <patternFill patternType="gray125"/>
    </fill>
    <fill>
      <patternFill patternType="solid">
        <fgColor theme="4"/>
      </patternFill>
    </fill>
    <fill>
      <patternFill patternType="solid">
        <fgColor theme="0" tint="-0.14999847407452621"/>
        <bgColor indexed="64"/>
      </patternFill>
    </fill>
    <fill>
      <gradientFill degree="90">
        <stop position="0">
          <color theme="0" tint="-0.34900967436750391"/>
        </stop>
        <stop position="0.5">
          <color theme="1" tint="5.0965910824915313E-2"/>
        </stop>
        <stop position="1">
          <color theme="0" tint="-0.34900967436750391"/>
        </stop>
      </gradientFill>
    </fill>
    <fill>
      <patternFill patternType="solid">
        <fgColor theme="0"/>
        <bgColor auto="1"/>
      </patternFill>
    </fill>
    <fill>
      <gradientFill degree="90">
        <stop position="0">
          <color theme="0"/>
        </stop>
        <stop position="0.5">
          <color theme="0" tint="-0.49803155613879818"/>
        </stop>
        <stop position="1">
          <color theme="0"/>
        </stop>
      </gradientFill>
    </fill>
    <fill>
      <patternFill patternType="solid">
        <fgColor rgb="FF00B0F0"/>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2"/>
        <bgColor indexed="64"/>
      </patternFill>
    </fill>
    <fill>
      <patternFill patternType="solid">
        <fgColor rgb="FFFFCFF2"/>
        <bgColor indexed="64"/>
      </patternFill>
    </fill>
    <fill>
      <patternFill patternType="solid">
        <fgColor theme="7" tint="0.79998168889431442"/>
        <bgColor indexed="64"/>
      </patternFill>
    </fill>
    <fill>
      <patternFill patternType="solid">
        <fgColor rgb="FFFF99CC"/>
        <bgColor indexed="64"/>
      </patternFill>
    </fill>
    <fill>
      <patternFill patternType="solid">
        <fgColor theme="3" tint="0.79998168889431442"/>
        <bgColor indexed="64"/>
      </patternFill>
    </fill>
    <fill>
      <patternFill patternType="solid">
        <fgColor theme="6" tint="0.59999389629810485"/>
        <bgColor indexed="64"/>
      </patternFill>
    </fill>
    <fill>
      <patternFill patternType="solid">
        <fgColor theme="5" tint="0.79998168889431442"/>
        <bgColor indexed="64"/>
      </patternFill>
    </fill>
    <fill>
      <patternFill patternType="solid">
        <fgColor indexed="60"/>
      </patternFill>
    </fill>
    <fill>
      <patternFill patternType="solid">
        <fgColor theme="0"/>
        <bgColor indexed="64"/>
      </patternFill>
    </fill>
    <fill>
      <patternFill patternType="solid">
        <fgColor theme="0" tint="-0.499984740745262"/>
        <bgColor indexed="64"/>
      </patternFill>
    </fill>
    <fill>
      <patternFill patternType="solid">
        <fgColor theme="9" tint="0.59999389629810485"/>
        <bgColor indexed="64"/>
      </patternFill>
    </fill>
    <fill>
      <patternFill patternType="solid">
        <fgColor rgb="FFFFFF00"/>
        <bgColor indexed="64"/>
      </patternFill>
    </fill>
  </fills>
  <borders count="4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medium">
        <color theme="0"/>
      </left>
      <right/>
      <top/>
      <bottom style="medium">
        <color theme="0"/>
      </bottom>
      <diagonal/>
    </border>
    <border>
      <left/>
      <right/>
      <top/>
      <bottom style="medium">
        <color theme="0"/>
      </bottom>
      <diagonal/>
    </border>
    <border>
      <left style="medium">
        <color theme="0"/>
      </left>
      <right/>
      <top style="medium">
        <color theme="0"/>
      </top>
      <bottom style="medium">
        <color theme="0"/>
      </bottom>
      <diagonal/>
    </border>
    <border>
      <left/>
      <right style="medium">
        <color theme="0"/>
      </right>
      <top style="medium">
        <color theme="0"/>
      </top>
      <bottom style="medium">
        <color theme="0"/>
      </bottom>
      <diagonal/>
    </border>
    <border>
      <left/>
      <right/>
      <top style="medium">
        <color theme="0"/>
      </top>
      <bottom style="medium">
        <color theme="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right style="thin">
        <color indexed="64"/>
      </right>
      <top/>
      <bottom/>
      <diagonal/>
    </border>
    <border>
      <left/>
      <right/>
      <top style="thin">
        <color indexed="64"/>
      </top>
      <bottom style="thin">
        <color indexed="64"/>
      </bottom>
      <diagonal/>
    </border>
    <border>
      <left/>
      <right/>
      <top style="thin">
        <color indexed="64"/>
      </top>
      <bottom/>
      <diagonal/>
    </border>
  </borders>
  <cellStyleXfs count="7">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2" borderId="0" applyNumberFormat="0" applyBorder="0" applyAlignment="0" applyProtection="0"/>
    <xf numFmtId="0" fontId="12" fillId="17" borderId="0"/>
    <xf numFmtId="0" fontId="12" fillId="17" borderId="0"/>
    <xf numFmtId="0" fontId="12" fillId="17" borderId="0"/>
  </cellStyleXfs>
  <cellXfs count="250">
    <xf numFmtId="0" fontId="0" fillId="0" borderId="0" xfId="0"/>
    <xf numFmtId="0" fontId="0" fillId="0" borderId="1" xfId="0" applyBorder="1"/>
    <xf numFmtId="0" fontId="0" fillId="0" borderId="1" xfId="0" applyBorder="1" applyAlignment="1">
      <alignment horizontal="center"/>
    </xf>
    <xf numFmtId="0" fontId="0" fillId="0" borderId="1" xfId="0" applyFill="1" applyBorder="1"/>
    <xf numFmtId="0" fontId="0" fillId="0" borderId="0" xfId="0" applyFill="1"/>
    <xf numFmtId="0" fontId="0" fillId="0" borderId="4" xfId="0" applyBorder="1"/>
    <xf numFmtId="0" fontId="0" fillId="0" borderId="4" xfId="0" applyFill="1" applyBorder="1"/>
    <xf numFmtId="0" fontId="0" fillId="0" borderId="2" xfId="0" applyBorder="1" applyAlignment="1">
      <alignment horizontal="center" wrapText="1"/>
    </xf>
    <xf numFmtId="0" fontId="0" fillId="0" borderId="2" xfId="0" applyBorder="1" applyAlignment="1">
      <alignment horizontal="center" vertical="center"/>
    </xf>
    <xf numFmtId="0" fontId="0" fillId="0" borderId="0" xfId="0" applyAlignment="1">
      <alignment horizontal="center"/>
    </xf>
    <xf numFmtId="9" fontId="0" fillId="0" borderId="1" xfId="2" applyFont="1" applyBorder="1" applyAlignment="1">
      <alignment horizontal="center"/>
    </xf>
    <xf numFmtId="9" fontId="0" fillId="0" borderId="2" xfId="0" applyNumberFormat="1" applyBorder="1" applyAlignment="1">
      <alignment horizontal="center" wrapText="1"/>
    </xf>
    <xf numFmtId="9" fontId="3" fillId="0" borderId="2" xfId="0" applyNumberFormat="1" applyFont="1" applyBorder="1" applyAlignment="1">
      <alignment horizontal="center" wrapText="1"/>
    </xf>
    <xf numFmtId="0" fontId="4" fillId="0" borderId="0" xfId="0" applyFont="1" applyAlignment="1">
      <alignment vertical="center"/>
    </xf>
    <xf numFmtId="3" fontId="6" fillId="4" borderId="23" xfId="0" applyNumberFormat="1" applyFont="1" applyFill="1" applyBorder="1" applyAlignment="1">
      <alignment horizontal="left" vertical="center"/>
    </xf>
    <xf numFmtId="3" fontId="6" fillId="4" borderId="24" xfId="0" applyNumberFormat="1" applyFont="1" applyFill="1" applyBorder="1" applyAlignment="1">
      <alignment horizontal="center" vertical="center"/>
    </xf>
    <xf numFmtId="3" fontId="6" fillId="4" borderId="25" xfId="0" applyNumberFormat="1" applyFont="1" applyFill="1" applyBorder="1" applyAlignment="1">
      <alignment horizontal="center" vertical="center"/>
    </xf>
    <xf numFmtId="3" fontId="5" fillId="4" borderId="25" xfId="0" applyNumberFormat="1" applyFont="1" applyFill="1" applyBorder="1" applyAlignment="1">
      <alignment vertical="center"/>
    </xf>
    <xf numFmtId="3" fontId="6" fillId="4" borderId="25" xfId="0" applyNumberFormat="1" applyFont="1" applyFill="1" applyBorder="1" applyAlignment="1">
      <alignment horizontal="left" vertical="center"/>
    </xf>
    <xf numFmtId="14" fontId="5" fillId="5" borderId="20" xfId="0" applyNumberFormat="1" applyFont="1" applyFill="1" applyBorder="1" applyAlignment="1">
      <alignment vertical="center"/>
    </xf>
    <xf numFmtId="3" fontId="6" fillId="4" borderId="13" xfId="0" applyNumberFormat="1" applyFont="1" applyFill="1" applyBorder="1" applyAlignment="1">
      <alignment horizontal="center" vertical="center"/>
    </xf>
    <xf numFmtId="3" fontId="6" fillId="4" borderId="14" xfId="0" applyNumberFormat="1" applyFont="1" applyFill="1" applyBorder="1" applyAlignment="1">
      <alignment horizontal="center" vertical="center"/>
    </xf>
    <xf numFmtId="3" fontId="6" fillId="4" borderId="15" xfId="0" applyNumberFormat="1" applyFont="1" applyFill="1" applyBorder="1" applyAlignment="1">
      <alignment horizontal="center" vertical="center"/>
    </xf>
    <xf numFmtId="2" fontId="6" fillId="4" borderId="13" xfId="0" applyNumberFormat="1" applyFont="1" applyFill="1" applyBorder="1" applyAlignment="1">
      <alignment horizontal="center" vertical="center"/>
    </xf>
    <xf numFmtId="2" fontId="6" fillId="4" borderId="31" xfId="0" applyNumberFormat="1" applyFont="1" applyFill="1" applyBorder="1" applyAlignment="1">
      <alignment horizontal="center" vertical="center"/>
    </xf>
    <xf numFmtId="164" fontId="6" fillId="4" borderId="14" xfId="0" applyNumberFormat="1" applyFont="1" applyFill="1" applyBorder="1" applyAlignment="1">
      <alignment horizontal="center" vertical="center"/>
    </xf>
    <xf numFmtId="164" fontId="6" fillId="4" borderId="32" xfId="0" applyNumberFormat="1" applyFont="1" applyFill="1" applyBorder="1" applyAlignment="1">
      <alignment horizontal="center" vertical="center"/>
    </xf>
    <xf numFmtId="164" fontId="6" fillId="4" borderId="13" xfId="0" applyNumberFormat="1" applyFont="1" applyFill="1" applyBorder="1" applyAlignment="1">
      <alignment horizontal="center" vertical="center"/>
    </xf>
    <xf numFmtId="164" fontId="6" fillId="4" borderId="15" xfId="0" applyNumberFormat="1" applyFont="1" applyFill="1" applyBorder="1" applyAlignment="1">
      <alignment horizontal="center" vertical="center"/>
    </xf>
    <xf numFmtId="3" fontId="6" fillId="4" borderId="18" xfId="0" applyNumberFormat="1" applyFont="1" applyFill="1" applyBorder="1" applyAlignment="1">
      <alignment horizontal="center" vertical="center"/>
    </xf>
    <xf numFmtId="3" fontId="6" fillId="4" borderId="19" xfId="0" applyNumberFormat="1" applyFont="1" applyFill="1" applyBorder="1" applyAlignment="1">
      <alignment horizontal="center" vertical="center"/>
    </xf>
    <xf numFmtId="3" fontId="6" fillId="4" borderId="31" xfId="0" applyNumberFormat="1" applyFont="1" applyFill="1" applyBorder="1" applyAlignment="1">
      <alignment horizontal="center" vertical="center"/>
    </xf>
    <xf numFmtId="3" fontId="6" fillId="4" borderId="32" xfId="0" applyNumberFormat="1" applyFont="1" applyFill="1" applyBorder="1" applyAlignment="1">
      <alignment horizontal="center" vertical="center"/>
    </xf>
    <xf numFmtId="3" fontId="6" fillId="4" borderId="26" xfId="0" applyNumberFormat="1" applyFont="1" applyFill="1" applyBorder="1" applyAlignment="1">
      <alignment horizontal="center" vertical="center"/>
    </xf>
    <xf numFmtId="49" fontId="7" fillId="6" borderId="5" xfId="3" applyNumberFormat="1" applyFont="1" applyFill="1" applyBorder="1" applyAlignment="1">
      <alignment horizontal="center" vertical="center"/>
    </xf>
    <xf numFmtId="49" fontId="7" fillId="6" borderId="33" xfId="3" applyNumberFormat="1" applyFont="1" applyFill="1" applyBorder="1" applyAlignment="1">
      <alignment horizontal="center" vertical="center"/>
    </xf>
    <xf numFmtId="49" fontId="7" fillId="6" borderId="5" xfId="3" applyNumberFormat="1" applyFont="1" applyFill="1" applyBorder="1" applyAlignment="1">
      <alignment horizontal="center" vertical="center" wrapText="1"/>
    </xf>
    <xf numFmtId="49" fontId="7" fillId="6" borderId="6" xfId="3" applyNumberFormat="1" applyFont="1" applyFill="1" applyBorder="1" applyAlignment="1">
      <alignment horizontal="center" vertical="center" wrapText="1"/>
    </xf>
    <xf numFmtId="49" fontId="7" fillId="6" borderId="7" xfId="3" applyNumberFormat="1" applyFont="1" applyFill="1" applyBorder="1" applyAlignment="1">
      <alignment horizontal="center" vertical="center" wrapText="1"/>
    </xf>
    <xf numFmtId="49" fontId="7" fillId="6" borderId="34" xfId="3" applyNumberFormat="1" applyFont="1" applyFill="1" applyBorder="1" applyAlignment="1">
      <alignment horizontal="center" vertical="center" wrapText="1"/>
    </xf>
    <xf numFmtId="49" fontId="7" fillId="6" borderId="33" xfId="3" applyNumberFormat="1" applyFont="1" applyFill="1" applyBorder="1" applyAlignment="1">
      <alignment horizontal="center" vertical="center" wrapText="1"/>
    </xf>
    <xf numFmtId="49" fontId="7" fillId="6" borderId="16" xfId="3" applyNumberFormat="1" applyFont="1" applyFill="1" applyBorder="1" applyAlignment="1">
      <alignment horizontal="center" vertical="center" wrapText="1"/>
    </xf>
    <xf numFmtId="49" fontId="7" fillId="6" borderId="17" xfId="3" applyNumberFormat="1" applyFont="1" applyFill="1" applyBorder="1" applyAlignment="1">
      <alignment horizontal="center" vertical="center" wrapText="1"/>
    </xf>
    <xf numFmtId="49" fontId="7" fillId="6" borderId="6" xfId="3" applyNumberFormat="1" applyFont="1" applyFill="1" applyBorder="1" applyAlignment="1">
      <alignment horizontal="center" vertical="center"/>
    </xf>
    <xf numFmtId="49" fontId="7" fillId="6" borderId="31" xfId="3" applyNumberFormat="1" applyFont="1" applyFill="1" applyBorder="1" applyAlignment="1">
      <alignment horizontal="center" vertical="center" wrapText="1"/>
    </xf>
    <xf numFmtId="49" fontId="7" fillId="6" borderId="14" xfId="3" applyNumberFormat="1" applyFont="1" applyFill="1" applyBorder="1" applyAlignment="1">
      <alignment horizontal="center" vertical="center" wrapText="1"/>
    </xf>
    <xf numFmtId="0" fontId="8" fillId="0" borderId="8" xfId="0" applyFont="1" applyBorder="1" applyAlignment="1">
      <alignment horizontal="center" vertical="center"/>
    </xf>
    <xf numFmtId="165" fontId="9" fillId="0" borderId="3" xfId="0" applyNumberFormat="1" applyFont="1" applyBorder="1" applyAlignment="1">
      <alignment horizontal="center" vertical="center"/>
    </xf>
    <xf numFmtId="0" fontId="0" fillId="0" borderId="8" xfId="0" applyBorder="1" applyAlignment="1">
      <alignment horizontal="center" vertical="center"/>
    </xf>
    <xf numFmtId="3" fontId="9" fillId="0" borderId="35" xfId="1" applyNumberFormat="1" applyFont="1" applyBorder="1" applyAlignment="1">
      <alignment horizontal="center" vertical="center"/>
    </xf>
    <xf numFmtId="0" fontId="0" fillId="0" borderId="9" xfId="0" applyBorder="1" applyAlignment="1">
      <alignment horizontal="center" vertical="center"/>
    </xf>
    <xf numFmtId="166" fontId="10" fillId="7" borderId="8" xfId="0" applyNumberFormat="1" applyFont="1" applyFill="1" applyBorder="1" applyAlignment="1">
      <alignment horizontal="center" vertical="center"/>
    </xf>
    <xf numFmtId="166" fontId="10" fillId="7" borderId="36" xfId="0" applyNumberFormat="1" applyFont="1" applyFill="1" applyBorder="1" applyAlignment="1">
      <alignment horizontal="center" vertical="center"/>
    </xf>
    <xf numFmtId="3" fontId="9" fillId="0" borderId="3" xfId="0" applyNumberFormat="1" applyFont="1" applyBorder="1" applyAlignment="1">
      <alignment horizontal="center" vertical="center"/>
    </xf>
    <xf numFmtId="3" fontId="9" fillId="0" borderId="3" xfId="1" applyNumberFormat="1" applyFont="1" applyBorder="1" applyAlignment="1">
      <alignment horizontal="center" vertical="center"/>
    </xf>
    <xf numFmtId="166" fontId="9" fillId="0" borderId="3" xfId="1" applyNumberFormat="1" applyFont="1" applyBorder="1" applyAlignment="1">
      <alignment horizontal="center" vertical="center"/>
    </xf>
    <xf numFmtId="166" fontId="9" fillId="0" borderId="37" xfId="1" applyNumberFormat="1" applyFont="1" applyBorder="1" applyAlignment="1">
      <alignment horizontal="center" vertical="center"/>
    </xf>
    <xf numFmtId="166" fontId="10" fillId="7" borderId="37" xfId="0" applyNumberFormat="1" applyFont="1" applyFill="1" applyBorder="1" applyAlignment="1">
      <alignment horizontal="center" vertical="center"/>
    </xf>
    <xf numFmtId="166" fontId="10" fillId="3" borderId="8" xfId="0" applyNumberFormat="1" applyFont="1" applyFill="1" applyBorder="1" applyAlignment="1">
      <alignment horizontal="center" vertical="center"/>
    </xf>
    <xf numFmtId="166" fontId="10" fillId="3" borderId="9" xfId="0" applyNumberFormat="1" applyFont="1" applyFill="1" applyBorder="1" applyAlignment="1">
      <alignment horizontal="center" vertical="center"/>
    </xf>
    <xf numFmtId="166" fontId="10" fillId="3" borderId="36" xfId="0" applyNumberFormat="1" applyFont="1" applyFill="1" applyBorder="1" applyAlignment="1">
      <alignment horizontal="center" vertical="center"/>
    </xf>
    <xf numFmtId="166" fontId="10" fillId="3" borderId="37" xfId="0" applyNumberFormat="1" applyFont="1" applyFill="1" applyBorder="1" applyAlignment="1">
      <alignment horizontal="center" vertical="center"/>
    </xf>
    <xf numFmtId="0" fontId="0" fillId="0" borderId="36" xfId="0" applyBorder="1" applyAlignment="1">
      <alignment horizontal="center" vertical="center"/>
    </xf>
    <xf numFmtId="0" fontId="0" fillId="0" borderId="3" xfId="0" applyBorder="1" applyAlignment="1">
      <alignment horizontal="center" vertical="center"/>
    </xf>
    <xf numFmtId="164" fontId="0" fillId="0" borderId="3" xfId="0" applyNumberFormat="1" applyBorder="1" applyAlignment="1">
      <alignment horizontal="center" vertical="center"/>
    </xf>
    <xf numFmtId="164" fontId="0" fillId="0" borderId="37" xfId="0" applyNumberFormat="1" applyBorder="1" applyAlignment="1">
      <alignment horizontal="center" vertical="center"/>
    </xf>
    <xf numFmtId="0" fontId="0" fillId="7" borderId="37" xfId="0" applyFill="1" applyBorder="1" applyAlignment="1">
      <alignment horizontal="center" vertical="center"/>
    </xf>
    <xf numFmtId="0" fontId="0" fillId="3" borderId="8" xfId="0" applyFill="1" applyBorder="1" applyAlignment="1">
      <alignment horizontal="center" vertical="center"/>
    </xf>
    <xf numFmtId="0" fontId="0" fillId="3" borderId="9" xfId="0" applyFill="1" applyBorder="1" applyAlignment="1">
      <alignment horizontal="center" vertical="center"/>
    </xf>
    <xf numFmtId="3" fontId="0" fillId="0" borderId="36" xfId="0" applyNumberFormat="1" applyBorder="1" applyAlignment="1">
      <alignment horizontal="center" vertical="center"/>
    </xf>
    <xf numFmtId="3" fontId="0" fillId="0" borderId="3" xfId="0" applyNumberFormat="1" applyBorder="1" applyAlignment="1">
      <alignment horizontal="center" vertical="center"/>
    </xf>
    <xf numFmtId="3" fontId="0" fillId="7" borderId="9" xfId="0" applyNumberFormat="1" applyFill="1" applyBorder="1" applyAlignment="1">
      <alignment horizontal="center" vertical="center"/>
    </xf>
    <xf numFmtId="3" fontId="0" fillId="7" borderId="36" xfId="0" applyNumberFormat="1" applyFill="1" applyBorder="1" applyAlignment="1">
      <alignment horizontal="center" vertical="center"/>
    </xf>
    <xf numFmtId="3" fontId="0" fillId="0" borderId="9" xfId="0" applyNumberFormat="1" applyBorder="1" applyAlignment="1">
      <alignment horizontal="center" vertical="center"/>
    </xf>
    <xf numFmtId="3" fontId="9" fillId="0" borderId="8" xfId="1" applyNumberFormat="1" applyFont="1" applyBorder="1" applyAlignment="1">
      <alignment horizontal="center" vertical="center"/>
    </xf>
    <xf numFmtId="3" fontId="9" fillId="0" borderId="9" xfId="1" applyNumberFormat="1" applyFont="1" applyBorder="1" applyAlignment="1">
      <alignment horizontal="center" vertical="center"/>
    </xf>
    <xf numFmtId="1" fontId="0" fillId="3" borderId="8" xfId="0" applyNumberFormat="1" applyFill="1" applyBorder="1" applyAlignment="1">
      <alignment horizontal="center" vertical="center"/>
    </xf>
    <xf numFmtId="1" fontId="0" fillId="3" borderId="9" xfId="0" applyNumberFormat="1" applyFill="1" applyBorder="1" applyAlignment="1">
      <alignment horizontal="center" vertical="center"/>
    </xf>
    <xf numFmtId="3" fontId="0" fillId="3" borderId="8" xfId="0" applyNumberFormat="1" applyFill="1" applyBorder="1" applyAlignment="1">
      <alignment horizontal="center" vertical="center"/>
    </xf>
    <xf numFmtId="3" fontId="0" fillId="3" borderId="9" xfId="0" applyNumberFormat="1" applyFill="1" applyBorder="1" applyAlignment="1">
      <alignment horizontal="center" vertical="center"/>
    </xf>
    <xf numFmtId="3" fontId="0" fillId="0" borderId="8" xfId="0" applyNumberFormat="1" applyBorder="1" applyAlignment="1">
      <alignment horizontal="center" vertical="center"/>
    </xf>
    <xf numFmtId="0" fontId="0" fillId="3" borderId="36" xfId="0" applyFill="1" applyBorder="1" applyAlignment="1">
      <alignment horizontal="center" vertical="center"/>
    </xf>
    <xf numFmtId="0" fontId="0" fillId="3" borderId="37" xfId="0" applyFill="1" applyBorder="1" applyAlignment="1">
      <alignment horizontal="center" vertical="center"/>
    </xf>
    <xf numFmtId="166" fontId="10" fillId="7" borderId="10" xfId="0" applyNumberFormat="1" applyFont="1" applyFill="1" applyBorder="1" applyAlignment="1">
      <alignment horizontal="center" vertical="center"/>
    </xf>
    <xf numFmtId="166" fontId="10" fillId="7" borderId="38" xfId="0" applyNumberFormat="1" applyFont="1" applyFill="1" applyBorder="1" applyAlignment="1">
      <alignment horizontal="center" vertical="center"/>
    </xf>
    <xf numFmtId="166" fontId="10" fillId="3" borderId="10" xfId="0" applyNumberFormat="1" applyFont="1" applyFill="1" applyBorder="1" applyAlignment="1">
      <alignment horizontal="center" vertical="center"/>
    </xf>
    <xf numFmtId="166" fontId="10" fillId="3" borderId="12" xfId="0" applyNumberFormat="1" applyFont="1" applyFill="1" applyBorder="1" applyAlignment="1">
      <alignment horizontal="center" vertical="center"/>
    </xf>
    <xf numFmtId="0" fontId="0" fillId="3" borderId="39" xfId="0" applyFill="1" applyBorder="1" applyAlignment="1">
      <alignment horizontal="center" vertical="center"/>
    </xf>
    <xf numFmtId="0" fontId="0" fillId="3" borderId="38" xfId="0" applyFill="1" applyBorder="1" applyAlignment="1">
      <alignment horizontal="center" vertical="center"/>
    </xf>
    <xf numFmtId="0" fontId="0" fillId="0" borderId="10" xfId="0" applyBorder="1" applyAlignment="1">
      <alignment horizontal="center" vertical="center"/>
    </xf>
    <xf numFmtId="0" fontId="0" fillId="0" borderId="12" xfId="0" applyBorder="1" applyAlignment="1">
      <alignment horizontal="center" vertical="center"/>
    </xf>
    <xf numFmtId="0" fontId="0" fillId="7" borderId="38" xfId="0" applyFill="1" applyBorder="1" applyAlignment="1">
      <alignment horizontal="center" vertical="center"/>
    </xf>
    <xf numFmtId="0" fontId="0" fillId="3" borderId="10" xfId="0" applyFill="1" applyBorder="1" applyAlignment="1">
      <alignment horizontal="center" vertical="center"/>
    </xf>
    <xf numFmtId="0" fontId="0" fillId="3" borderId="12" xfId="0" applyFill="1" applyBorder="1" applyAlignment="1">
      <alignment horizontal="center" vertical="center"/>
    </xf>
    <xf numFmtId="0" fontId="0" fillId="0" borderId="11" xfId="0" applyBorder="1" applyAlignment="1">
      <alignment horizontal="center" vertical="center"/>
    </xf>
    <xf numFmtId="3" fontId="0" fillId="7" borderId="39" xfId="0" applyNumberFormat="1" applyFill="1" applyBorder="1" applyAlignment="1">
      <alignment horizontal="center" vertical="center"/>
    </xf>
    <xf numFmtId="1" fontId="0" fillId="3" borderId="10" xfId="0" applyNumberFormat="1" applyFill="1" applyBorder="1" applyAlignment="1">
      <alignment horizontal="center" vertical="center"/>
    </xf>
    <xf numFmtId="1" fontId="0" fillId="3" borderId="12" xfId="0" applyNumberFormat="1" applyFill="1" applyBorder="1" applyAlignment="1">
      <alignment horizontal="center" vertical="center"/>
    </xf>
    <xf numFmtId="3" fontId="0" fillId="3" borderId="10" xfId="0" applyNumberFormat="1" applyFill="1" applyBorder="1" applyAlignment="1">
      <alignment horizontal="center" vertical="center"/>
    </xf>
    <xf numFmtId="3" fontId="0" fillId="3" borderId="12" xfId="0" applyNumberFormat="1" applyFill="1" applyBorder="1" applyAlignment="1">
      <alignment horizontal="center" vertical="center"/>
    </xf>
    <xf numFmtId="0" fontId="0" fillId="0" borderId="39" xfId="0" applyBorder="1" applyAlignment="1">
      <alignment horizontal="center" vertical="center"/>
    </xf>
    <xf numFmtId="3" fontId="0" fillId="0" borderId="0" xfId="0" applyNumberFormat="1"/>
    <xf numFmtId="167" fontId="0" fillId="0" borderId="0" xfId="2" applyNumberFormat="1" applyFont="1"/>
    <xf numFmtId="10" fontId="0" fillId="0" borderId="0" xfId="2" applyNumberFormat="1" applyFont="1"/>
    <xf numFmtId="0" fontId="0" fillId="8" borderId="1" xfId="0" applyFill="1" applyBorder="1" applyAlignment="1">
      <alignment horizontal="center" wrapText="1"/>
    </xf>
    <xf numFmtId="0" fontId="0" fillId="8" borderId="1" xfId="0" applyFill="1" applyBorder="1" applyAlignment="1">
      <alignment horizontal="center" vertical="center"/>
    </xf>
    <xf numFmtId="0" fontId="0" fillId="8" borderId="0" xfId="0" applyFill="1"/>
    <xf numFmtId="0" fontId="0" fillId="9" borderId="0" xfId="0" applyFill="1"/>
    <xf numFmtId="3" fontId="0" fillId="8" borderId="1" xfId="0" applyNumberFormat="1" applyFill="1" applyBorder="1" applyAlignment="1">
      <alignment horizontal="center"/>
    </xf>
    <xf numFmtId="43" fontId="0" fillId="0" borderId="0" xfId="1" applyFont="1"/>
    <xf numFmtId="3" fontId="0" fillId="0" borderId="0" xfId="0" applyNumberFormat="1" applyAlignment="1">
      <alignment horizontal="center"/>
    </xf>
    <xf numFmtId="167" fontId="3" fillId="0" borderId="2" xfId="0" applyNumberFormat="1" applyFont="1" applyBorder="1" applyAlignment="1">
      <alignment horizontal="center" wrapText="1"/>
    </xf>
    <xf numFmtId="0" fontId="0" fillId="10" borderId="1" xfId="0" applyFill="1" applyBorder="1" applyAlignment="1">
      <alignment horizontal="center" wrapText="1"/>
    </xf>
    <xf numFmtId="0" fontId="0" fillId="10" borderId="1" xfId="0" applyFill="1" applyBorder="1" applyAlignment="1">
      <alignment horizontal="center" vertical="center"/>
    </xf>
    <xf numFmtId="3" fontId="0" fillId="10" borderId="1" xfId="0" applyNumberFormat="1" applyFill="1" applyBorder="1" applyAlignment="1">
      <alignment horizontal="center"/>
    </xf>
    <xf numFmtId="1" fontId="0" fillId="10" borderId="1" xfId="0" applyNumberFormat="1" applyFill="1" applyBorder="1" applyAlignment="1">
      <alignment horizontal="center"/>
    </xf>
    <xf numFmtId="1" fontId="0" fillId="10" borderId="1" xfId="0" applyNumberFormat="1" applyFont="1" applyFill="1" applyBorder="1" applyAlignment="1">
      <alignment horizontal="center"/>
    </xf>
    <xf numFmtId="168" fontId="0" fillId="10" borderId="1" xfId="1" applyNumberFormat="1" applyFont="1" applyFill="1" applyBorder="1" applyAlignment="1">
      <alignment horizontal="center" vertical="center"/>
    </xf>
    <xf numFmtId="0" fontId="0" fillId="10" borderId="0" xfId="0" applyFill="1"/>
    <xf numFmtId="3" fontId="0" fillId="9" borderId="1" xfId="0" applyNumberFormat="1" applyFill="1" applyBorder="1" applyAlignment="1">
      <alignment horizontal="center"/>
    </xf>
    <xf numFmtId="0" fontId="4" fillId="0" borderId="0" xfId="0" applyFont="1" applyAlignment="1">
      <alignment horizontal="center" vertical="center"/>
    </xf>
    <xf numFmtId="0" fontId="11" fillId="0" borderId="1" xfId="0" applyFont="1" applyBorder="1"/>
    <xf numFmtId="0" fontId="11" fillId="8" borderId="1" xfId="0" applyFont="1" applyFill="1" applyBorder="1" applyAlignment="1">
      <alignment horizontal="center"/>
    </xf>
    <xf numFmtId="0" fontId="11" fillId="10" borderId="1" xfId="0" applyFont="1" applyFill="1" applyBorder="1" applyAlignment="1">
      <alignment horizontal="center"/>
    </xf>
    <xf numFmtId="0" fontId="11" fillId="9" borderId="1" xfId="0" applyFont="1" applyFill="1" applyBorder="1" applyAlignment="1">
      <alignment horizontal="center"/>
    </xf>
    <xf numFmtId="0" fontId="11" fillId="0" borderId="0" xfId="0" applyFont="1"/>
    <xf numFmtId="0" fontId="12" fillId="0" borderId="0" xfId="0" applyFont="1"/>
    <xf numFmtId="3" fontId="12" fillId="0" borderId="0" xfId="0" applyNumberFormat="1" applyFont="1"/>
    <xf numFmtId="3" fontId="14" fillId="0" borderId="0" xfId="0" applyNumberFormat="1" applyFont="1" applyAlignment="1">
      <alignment horizontal="center"/>
    </xf>
    <xf numFmtId="3" fontId="13" fillId="0" borderId="0" xfId="0" applyNumberFormat="1" applyFont="1" applyAlignment="1">
      <alignment horizontal="center"/>
    </xf>
    <xf numFmtId="0" fontId="14" fillId="0" borderId="0" xfId="0" applyFont="1"/>
    <xf numFmtId="3" fontId="14" fillId="0" borderId="0" xfId="0" applyNumberFormat="1" applyFont="1"/>
    <xf numFmtId="3" fontId="15" fillId="0" borderId="0" xfId="0" applyNumberFormat="1" applyFont="1"/>
    <xf numFmtId="4" fontId="0" fillId="0" borderId="0" xfId="0" applyNumberFormat="1"/>
    <xf numFmtId="3" fontId="16" fillId="0" borderId="0" xfId="0" applyNumberFormat="1" applyFont="1"/>
    <xf numFmtId="0" fontId="16" fillId="0" borderId="0" xfId="0" applyFont="1"/>
    <xf numFmtId="3" fontId="17" fillId="0" borderId="0" xfId="0" applyNumberFormat="1" applyFont="1"/>
    <xf numFmtId="0" fontId="17" fillId="0" borderId="0" xfId="0" applyFont="1"/>
    <xf numFmtId="3" fontId="0" fillId="16" borderId="0" xfId="0" applyNumberFormat="1" applyFill="1"/>
    <xf numFmtId="3" fontId="12" fillId="0" borderId="0" xfId="4" applyNumberFormat="1" applyFill="1"/>
    <xf numFmtId="4" fontId="18" fillId="0" borderId="0" xfId="0" applyNumberFormat="1" applyFont="1"/>
    <xf numFmtId="0" fontId="12" fillId="0" borderId="0" xfId="5" applyFill="1" applyAlignment="1">
      <alignment horizontal="left"/>
    </xf>
    <xf numFmtId="0" fontId="12" fillId="0" borderId="0" xfId="5" applyFill="1"/>
    <xf numFmtId="166" fontId="12" fillId="0" borderId="0" xfId="5" applyNumberFormat="1" applyFill="1"/>
    <xf numFmtId="3" fontId="18" fillId="0" borderId="0" xfId="0" applyNumberFormat="1" applyFont="1"/>
    <xf numFmtId="3" fontId="14" fillId="0" borderId="3" xfId="0" applyNumberFormat="1" applyFont="1" applyBorder="1"/>
    <xf numFmtId="10" fontId="0" fillId="0" borderId="0" xfId="0" applyNumberFormat="1"/>
    <xf numFmtId="3" fontId="11" fillId="0" borderId="0" xfId="0" applyNumberFormat="1" applyFont="1"/>
    <xf numFmtId="3" fontId="11" fillId="0" borderId="0" xfId="0" applyNumberFormat="1" applyFont="1" applyAlignment="1">
      <alignment horizontal="center" vertical="center"/>
    </xf>
    <xf numFmtId="3" fontId="14" fillId="0" borderId="0" xfId="0" applyNumberFormat="1" applyFont="1" applyAlignment="1">
      <alignment horizontal="center" wrapText="1"/>
    </xf>
    <xf numFmtId="165" fontId="9" fillId="0" borderId="37" xfId="0" applyNumberFormat="1" applyFont="1" applyBorder="1" applyAlignment="1">
      <alignment horizontal="center" vertical="center"/>
    </xf>
    <xf numFmtId="3" fontId="9" fillId="0" borderId="36" xfId="1" applyNumberFormat="1" applyFont="1" applyBorder="1" applyAlignment="1">
      <alignment horizontal="center" vertical="center"/>
    </xf>
    <xf numFmtId="3" fontId="9" fillId="0" borderId="35" xfId="0" applyNumberFormat="1" applyFont="1" applyBorder="1" applyAlignment="1">
      <alignment horizontal="center" vertical="center"/>
    </xf>
    <xf numFmtId="3" fontId="9" fillId="0" borderId="40" xfId="1" applyNumberFormat="1" applyFont="1" applyBorder="1" applyAlignment="1">
      <alignment horizontal="center" vertical="center"/>
    </xf>
    <xf numFmtId="3" fontId="9" fillId="0" borderId="41" xfId="1" applyNumberFormat="1" applyFont="1" applyBorder="1" applyAlignment="1">
      <alignment horizontal="center" vertical="center"/>
    </xf>
    <xf numFmtId="3" fontId="9" fillId="0" borderId="16" xfId="1" applyNumberFormat="1" applyFont="1" applyBorder="1" applyAlignment="1">
      <alignment horizontal="center" vertical="center"/>
    </xf>
    <xf numFmtId="3" fontId="9" fillId="0" borderId="42" xfId="1" applyNumberFormat="1" applyFont="1" applyBorder="1" applyAlignment="1">
      <alignment horizontal="center" vertical="center"/>
    </xf>
    <xf numFmtId="3" fontId="0" fillId="0" borderId="37" xfId="0" applyNumberFormat="1" applyBorder="1" applyAlignment="1">
      <alignment horizontal="center" vertical="center"/>
    </xf>
    <xf numFmtId="3" fontId="9" fillId="0" borderId="43" xfId="1" applyNumberFormat="1" applyFont="1" applyBorder="1" applyAlignment="1">
      <alignment horizontal="center" vertical="center"/>
    </xf>
    <xf numFmtId="3" fontId="0" fillId="0" borderId="44" xfId="0" applyNumberFormat="1" applyBorder="1" applyAlignment="1">
      <alignment horizontal="center" vertical="center"/>
    </xf>
    <xf numFmtId="4" fontId="0" fillId="0" borderId="36" xfId="0" applyNumberFormat="1" applyBorder="1" applyAlignment="1">
      <alignment horizontal="center" vertical="center"/>
    </xf>
    <xf numFmtId="1" fontId="0" fillId="0" borderId="0" xfId="0" applyNumberFormat="1" applyAlignment="1">
      <alignment horizontal="center"/>
    </xf>
    <xf numFmtId="49" fontId="7" fillId="5" borderId="3" xfId="3" applyNumberFormat="1" applyFont="1" applyFill="1" applyBorder="1" applyAlignment="1">
      <alignment horizontal="center" vertical="center" wrapText="1"/>
    </xf>
    <xf numFmtId="168" fontId="0" fillId="18" borderId="3" xfId="1" applyNumberFormat="1" applyFont="1" applyFill="1" applyBorder="1"/>
    <xf numFmtId="168" fontId="0" fillId="9" borderId="1" xfId="1" applyNumberFormat="1" applyFont="1" applyFill="1" applyBorder="1" applyAlignment="1">
      <alignment horizontal="center"/>
    </xf>
    <xf numFmtId="168" fontId="0" fillId="9" borderId="0" xfId="1" applyNumberFormat="1" applyFont="1" applyFill="1"/>
    <xf numFmtId="168" fontId="0" fillId="0" borderId="0" xfId="0" applyNumberFormat="1"/>
    <xf numFmtId="168" fontId="0" fillId="0" borderId="0" xfId="1" applyNumberFormat="1" applyFont="1"/>
    <xf numFmtId="2" fontId="21" fillId="0" borderId="0" xfId="0" applyNumberFormat="1" applyFont="1"/>
    <xf numFmtId="2" fontId="0" fillId="0" borderId="0" xfId="0" applyNumberFormat="1"/>
    <xf numFmtId="3" fontId="14" fillId="0" borderId="0" xfId="0" applyNumberFormat="1" applyFont="1" applyAlignment="1">
      <alignment horizontal="left" vertical="center"/>
    </xf>
    <xf numFmtId="0" fontId="14" fillId="0" borderId="0" xfId="0" applyFont="1" applyAlignment="1">
      <alignment horizontal="left" vertical="center"/>
    </xf>
    <xf numFmtId="2" fontId="14" fillId="0" borderId="0" xfId="0" applyNumberFormat="1" applyFont="1"/>
    <xf numFmtId="3" fontId="22" fillId="0" borderId="0" xfId="0" applyNumberFormat="1" applyFont="1"/>
    <xf numFmtId="0" fontId="22" fillId="0" borderId="0" xfId="0" applyFont="1"/>
    <xf numFmtId="3" fontId="12" fillId="0" borderId="0" xfId="6" applyNumberFormat="1" applyFill="1"/>
    <xf numFmtId="2" fontId="18" fillId="0" borderId="0" xfId="0" applyNumberFormat="1" applyFont="1"/>
    <xf numFmtId="9" fontId="0" fillId="0" borderId="0" xfId="0" applyNumberFormat="1"/>
    <xf numFmtId="0" fontId="0" fillId="0" borderId="3" xfId="0" applyBorder="1" applyAlignment="1">
      <alignment horizontal="center"/>
    </xf>
    <xf numFmtId="0" fontId="0" fillId="19" borderId="3" xfId="0" applyFill="1" applyBorder="1" applyAlignment="1">
      <alignment horizontal="center"/>
    </xf>
    <xf numFmtId="0" fontId="0" fillId="20" borderId="3" xfId="0" applyFill="1" applyBorder="1" applyAlignment="1">
      <alignment horizontal="center"/>
    </xf>
    <xf numFmtId="0" fontId="0" fillId="0" borderId="0" xfId="0" applyAlignment="1">
      <alignment horizontal="center" wrapText="1"/>
    </xf>
    <xf numFmtId="168" fontId="0" fillId="0" borderId="3" xfId="1" applyNumberFormat="1" applyFont="1" applyBorder="1" applyAlignment="1">
      <alignment horizontal="right"/>
    </xf>
    <xf numFmtId="168" fontId="0" fillId="19" borderId="3" xfId="1" applyNumberFormat="1" applyFont="1" applyFill="1" applyBorder="1" applyAlignment="1">
      <alignment horizontal="right"/>
    </xf>
    <xf numFmtId="168" fontId="0" fillId="20" borderId="3" xfId="1" applyNumberFormat="1" applyFont="1" applyFill="1" applyBorder="1" applyAlignment="1">
      <alignment horizontal="right"/>
    </xf>
    <xf numFmtId="0" fontId="0" fillId="0" borderId="3" xfId="0" applyBorder="1"/>
    <xf numFmtId="10" fontId="0" fillId="0" borderId="3" xfId="2" applyNumberFormat="1" applyFont="1" applyBorder="1"/>
    <xf numFmtId="10" fontId="0" fillId="0" borderId="3" xfId="2" applyNumberFormat="1" applyFont="1" applyBorder="1" applyAlignment="1">
      <alignment horizontal="center"/>
    </xf>
    <xf numFmtId="10" fontId="0" fillId="0" borderId="3" xfId="0" applyNumberFormat="1" applyBorder="1" applyAlignment="1">
      <alignment horizontal="center"/>
    </xf>
    <xf numFmtId="168" fontId="0" fillId="0" borderId="3" xfId="1" applyNumberFormat="1" applyFont="1" applyBorder="1"/>
    <xf numFmtId="168" fontId="0" fillId="0" borderId="3" xfId="1" applyNumberFormat="1" applyFont="1" applyBorder="1" applyAlignment="1">
      <alignment horizontal="center"/>
    </xf>
    <xf numFmtId="0" fontId="0" fillId="0" borderId="0" xfId="0" applyBorder="1"/>
    <xf numFmtId="0" fontId="0" fillId="0" borderId="46" xfId="0" applyBorder="1"/>
    <xf numFmtId="0" fontId="0" fillId="0" borderId="46" xfId="0" applyBorder="1" applyAlignment="1">
      <alignment horizontal="center"/>
    </xf>
    <xf numFmtId="10" fontId="0" fillId="0" borderId="46" xfId="2" applyNumberFormat="1" applyFont="1" applyBorder="1" applyAlignment="1">
      <alignment horizontal="center"/>
    </xf>
    <xf numFmtId="1" fontId="0" fillId="0" borderId="46" xfId="0" applyNumberFormat="1" applyBorder="1" applyAlignment="1">
      <alignment horizontal="center"/>
    </xf>
    <xf numFmtId="9" fontId="0" fillId="0" borderId="3" xfId="2" applyFont="1" applyBorder="1" applyAlignment="1">
      <alignment horizontal="center"/>
    </xf>
    <xf numFmtId="0" fontId="0" fillId="0" borderId="0" xfId="0" applyFill="1" applyAlignment="1">
      <alignment horizontal="center" wrapText="1"/>
    </xf>
    <xf numFmtId="168" fontId="0" fillId="0" borderId="0" xfId="1" applyNumberFormat="1" applyFont="1" applyFill="1" applyBorder="1" applyAlignment="1">
      <alignment horizontal="right"/>
    </xf>
    <xf numFmtId="0" fontId="11" fillId="0" borderId="3" xfId="0" applyFont="1" applyBorder="1" applyAlignment="1">
      <alignment horizontal="center"/>
    </xf>
    <xf numFmtId="0" fontId="11" fillId="0" borderId="3" xfId="0" applyFont="1" applyBorder="1"/>
    <xf numFmtId="0" fontId="11" fillId="0" borderId="3" xfId="0" applyFont="1" applyFill="1" applyBorder="1" applyAlignment="1">
      <alignment horizontal="center"/>
    </xf>
    <xf numFmtId="168" fontId="0" fillId="19" borderId="3" xfId="1" applyNumberFormat="1" applyFont="1" applyFill="1" applyBorder="1" applyAlignment="1">
      <alignment horizontal="center"/>
    </xf>
    <xf numFmtId="168" fontId="0" fillId="20" borderId="3" xfId="1" applyNumberFormat="1" applyFont="1" applyFill="1" applyBorder="1" applyAlignment="1">
      <alignment horizontal="center"/>
    </xf>
    <xf numFmtId="0" fontId="0" fillId="9" borderId="1" xfId="0" applyFill="1" applyBorder="1" applyAlignment="1">
      <alignment horizontal="center" wrapText="1"/>
    </xf>
    <xf numFmtId="0" fontId="0" fillId="9" borderId="1" xfId="0" applyFill="1" applyBorder="1" applyAlignment="1">
      <alignment horizontal="center" vertical="center"/>
    </xf>
    <xf numFmtId="168" fontId="0" fillId="0" borderId="3" xfId="0" applyNumberFormat="1" applyBorder="1" applyAlignment="1">
      <alignment horizontal="center"/>
    </xf>
    <xf numFmtId="0" fontId="0" fillId="9" borderId="3" xfId="0" applyFill="1" applyBorder="1" applyAlignment="1">
      <alignment horizontal="center"/>
    </xf>
    <xf numFmtId="168" fontId="0" fillId="9" borderId="3" xfId="1" applyNumberFormat="1" applyFont="1" applyFill="1" applyBorder="1" applyAlignment="1">
      <alignment horizontal="right"/>
    </xf>
    <xf numFmtId="168" fontId="0" fillId="9" borderId="3" xfId="1" applyNumberFormat="1" applyFont="1" applyFill="1" applyBorder="1" applyAlignment="1">
      <alignment horizontal="center"/>
    </xf>
    <xf numFmtId="0" fontId="11" fillId="8" borderId="1" xfId="0" applyFont="1" applyFill="1" applyBorder="1" applyAlignment="1">
      <alignment horizontal="center"/>
    </xf>
    <xf numFmtId="0" fontId="11" fillId="10" borderId="1" xfId="0" applyFont="1" applyFill="1" applyBorder="1" applyAlignment="1">
      <alignment horizontal="center"/>
    </xf>
    <xf numFmtId="0" fontId="11" fillId="9" borderId="1" xfId="0" applyFont="1" applyFill="1" applyBorder="1" applyAlignment="1">
      <alignment horizontal="center"/>
    </xf>
    <xf numFmtId="0" fontId="0" fillId="0" borderId="1" xfId="0" applyBorder="1" applyAlignment="1">
      <alignment horizontal="center"/>
    </xf>
    <xf numFmtId="49" fontId="7" fillId="6" borderId="4" xfId="3" applyNumberFormat="1" applyFont="1" applyFill="1" applyBorder="1" applyAlignment="1">
      <alignment horizontal="center" vertical="center"/>
    </xf>
    <xf numFmtId="49" fontId="7" fillId="6" borderId="30" xfId="3" applyNumberFormat="1" applyFont="1" applyFill="1" applyBorder="1" applyAlignment="1">
      <alignment horizontal="center" vertical="center"/>
    </xf>
    <xf numFmtId="49" fontId="7" fillId="6" borderId="29" xfId="3" applyNumberFormat="1" applyFont="1" applyFill="1" applyBorder="1" applyAlignment="1">
      <alignment horizontal="center" vertical="center"/>
    </xf>
    <xf numFmtId="49" fontId="7" fillId="6" borderId="26" xfId="3" applyNumberFormat="1" applyFont="1" applyFill="1" applyBorder="1" applyAlignment="1">
      <alignment horizontal="center" vertical="center"/>
    </xf>
    <xf numFmtId="49" fontId="7" fillId="6" borderId="27" xfId="3" applyNumberFormat="1" applyFont="1" applyFill="1" applyBorder="1" applyAlignment="1">
      <alignment horizontal="center" vertical="center"/>
    </xf>
    <xf numFmtId="49" fontId="7" fillId="6" borderId="28" xfId="3" applyNumberFormat="1" applyFont="1" applyFill="1" applyBorder="1" applyAlignment="1">
      <alignment horizontal="center" vertical="center"/>
    </xf>
    <xf numFmtId="0" fontId="6" fillId="4" borderId="26" xfId="0" applyFont="1" applyFill="1" applyBorder="1" applyAlignment="1">
      <alignment horizontal="center" vertical="center"/>
    </xf>
    <xf numFmtId="0" fontId="6" fillId="4" borderId="28" xfId="0" applyFont="1" applyFill="1" applyBorder="1" applyAlignment="1">
      <alignment horizontal="center" vertical="center"/>
    </xf>
    <xf numFmtId="0" fontId="4" fillId="0" borderId="0" xfId="0" applyFont="1" applyAlignment="1">
      <alignment horizontal="center" vertical="center"/>
    </xf>
    <xf numFmtId="3" fontId="5" fillId="4" borderId="21" xfId="0" applyNumberFormat="1" applyFont="1" applyFill="1" applyBorder="1" applyAlignment="1">
      <alignment horizontal="center" vertical="center"/>
    </xf>
    <xf numFmtId="3" fontId="5" fillId="4" borderId="22" xfId="0" applyNumberFormat="1" applyFont="1" applyFill="1" applyBorder="1" applyAlignment="1">
      <alignment horizontal="center" vertical="center"/>
    </xf>
    <xf numFmtId="3" fontId="11" fillId="0" borderId="0" xfId="0" applyNumberFormat="1" applyFont="1" applyAlignment="1">
      <alignment horizontal="center" vertical="center"/>
    </xf>
    <xf numFmtId="3" fontId="0" fillId="15" borderId="0" xfId="0" applyNumberFormat="1" applyFill="1" applyAlignment="1">
      <alignment horizontal="center"/>
    </xf>
    <xf numFmtId="0" fontId="13" fillId="11" borderId="3" xfId="0" applyFont="1" applyFill="1" applyBorder="1" applyAlignment="1">
      <alignment horizontal="center"/>
    </xf>
    <xf numFmtId="3" fontId="13" fillId="12" borderId="3" xfId="0" applyNumberFormat="1" applyFont="1" applyFill="1" applyBorder="1" applyAlignment="1">
      <alignment horizontal="center"/>
    </xf>
    <xf numFmtId="3" fontId="13" fillId="13" borderId="0" xfId="0" applyNumberFormat="1" applyFont="1" applyFill="1" applyAlignment="1">
      <alignment horizontal="center"/>
    </xf>
    <xf numFmtId="3" fontId="13" fillId="14" borderId="0" xfId="0" applyNumberFormat="1" applyFont="1" applyFill="1" applyAlignment="1">
      <alignment horizontal="center"/>
    </xf>
    <xf numFmtId="3" fontId="14" fillId="9" borderId="0" xfId="0" applyNumberFormat="1" applyFont="1" applyFill="1" applyAlignment="1">
      <alignment horizontal="center"/>
    </xf>
    <xf numFmtId="0" fontId="13" fillId="12" borderId="3" xfId="0" applyFont="1" applyFill="1" applyBorder="1" applyAlignment="1">
      <alignment horizontal="center"/>
    </xf>
    <xf numFmtId="3" fontId="13" fillId="13" borderId="37" xfId="0" applyNumberFormat="1" applyFont="1" applyFill="1" applyBorder="1" applyAlignment="1">
      <alignment horizontal="center"/>
    </xf>
    <xf numFmtId="3" fontId="13" fillId="13" borderId="45" xfId="0" applyNumberFormat="1" applyFont="1" applyFill="1" applyBorder="1" applyAlignment="1">
      <alignment horizontal="center"/>
    </xf>
    <xf numFmtId="3" fontId="13" fillId="13" borderId="36" xfId="0" applyNumberFormat="1" applyFont="1" applyFill="1" applyBorder="1" applyAlignment="1">
      <alignment horizontal="center"/>
    </xf>
    <xf numFmtId="0" fontId="11" fillId="0" borderId="0" xfId="0" applyFont="1" applyAlignment="1">
      <alignment horizontal="center"/>
    </xf>
    <xf numFmtId="0" fontId="0" fillId="0" borderId="3" xfId="0" applyFill="1" applyBorder="1" applyAlignment="1">
      <alignment horizontal="center"/>
    </xf>
    <xf numFmtId="3" fontId="0" fillId="0" borderId="3" xfId="0" applyNumberFormat="1" applyBorder="1"/>
    <xf numFmtId="3" fontId="11" fillId="0" borderId="3" xfId="0" applyNumberFormat="1" applyFont="1" applyBorder="1" applyAlignment="1">
      <alignment horizontal="center"/>
    </xf>
    <xf numFmtId="3" fontId="0" fillId="0" borderId="3" xfId="0" applyNumberFormat="1" applyBorder="1" applyAlignment="1">
      <alignment horizontal="center"/>
    </xf>
    <xf numFmtId="0" fontId="11" fillId="0" borderId="0" xfId="0" applyFont="1" applyAlignment="1">
      <alignment horizontal="center" vertical="center"/>
    </xf>
    <xf numFmtId="0" fontId="11" fillId="0" borderId="3" xfId="0" applyFont="1" applyBorder="1" applyAlignment="1">
      <alignment horizontal="center" vertical="center"/>
    </xf>
    <xf numFmtId="3" fontId="23" fillId="0" borderId="3" xfId="0" applyNumberFormat="1" applyFont="1" applyBorder="1" applyAlignment="1">
      <alignment horizontal="center"/>
    </xf>
    <xf numFmtId="3" fontId="24" fillId="0" borderId="3" xfId="0" applyNumberFormat="1" applyFont="1" applyBorder="1" applyAlignment="1">
      <alignment horizontal="center"/>
    </xf>
    <xf numFmtId="0" fontId="23" fillId="0" borderId="3" xfId="0" applyFont="1" applyBorder="1" applyAlignment="1">
      <alignment horizontal="center"/>
    </xf>
    <xf numFmtId="0" fontId="11" fillId="0" borderId="3" xfId="0" applyFont="1" applyBorder="1" applyAlignment="1">
      <alignment horizontal="center" vertical="center" wrapText="1"/>
    </xf>
    <xf numFmtId="0" fontId="11" fillId="21" borderId="0" xfId="0" applyFont="1" applyFill="1" applyAlignment="1">
      <alignment horizontal="center" vertical="center"/>
    </xf>
    <xf numFmtId="3" fontId="0" fillId="21" borderId="0" xfId="0" applyNumberFormat="1" applyFill="1"/>
    <xf numFmtId="0" fontId="0" fillId="21" borderId="0" xfId="0" applyFill="1"/>
  </cellXfs>
  <cellStyles count="7">
    <cellStyle name="Accent1" xfId="3" builtinId="29"/>
    <cellStyle name="Milliers" xfId="1" builtinId="3"/>
    <cellStyle name="Normal" xfId="0" builtinId="0"/>
    <cellStyle name="Pourcentage" xfId="2" builtinId="5"/>
    <cellStyle name="Standard_Bergkamen_final" xfId="4" xr:uid="{CADC3666-D49C-498D-8E6B-197675BA1F8E}"/>
    <cellStyle name="Standard_Dornstadt_final" xfId="6" xr:uid="{81CFD3A9-0964-4F7D-B5E6-AC135C4E252B}"/>
    <cellStyle name="Standard_Ist BK_2017" xfId="5" xr:uid="{F3DC92E9-E669-4545-BA0A-B79786B36E1F}"/>
  </cellStyles>
  <dxfs count="24">
    <dxf>
      <font>
        <color rgb="FF00B050"/>
      </font>
    </dxf>
    <dxf>
      <font>
        <color rgb="FFFF0000"/>
      </font>
    </dxf>
    <dxf>
      <font>
        <color rgb="FF00B050"/>
      </font>
    </dxf>
    <dxf>
      <font>
        <color rgb="FFFF0000"/>
      </font>
    </dxf>
    <dxf>
      <font>
        <color rgb="FFFF0000"/>
      </font>
    </dxf>
    <dxf>
      <font>
        <color rgb="FF00B050"/>
      </font>
    </dxf>
    <dxf>
      <font>
        <color rgb="FFFF0000"/>
      </font>
    </dxf>
    <dxf>
      <font>
        <color rgb="FF00B050"/>
      </font>
    </dxf>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
      <font>
        <color rgb="FFFF0000"/>
      </font>
    </dxf>
    <dxf>
      <font>
        <color rgb="FF00B050"/>
      </font>
    </dxf>
    <dxf>
      <font>
        <color rgb="FFFF0000"/>
      </font>
    </dxf>
    <dxf>
      <font>
        <color rgb="FF00B050"/>
      </font>
    </dxf>
    <dxf>
      <font>
        <color rgb="FF00B050"/>
      </font>
    </dxf>
    <dxf>
      <font>
        <color rgb="FFFF0000"/>
      </font>
    </dxf>
    <dxf>
      <font>
        <color rgb="FF00B050"/>
      </font>
    </dxf>
    <dxf>
      <font>
        <color rgb="FFFF0000"/>
      </font>
    </dxf>
  </dxfs>
  <tableStyles count="0" defaultTableStyle="TableStyleMedium2" defaultPivotStyle="PivotStyleLight16"/>
  <colors>
    <mruColors>
      <color rgb="FF1C41FC"/>
      <color rgb="FFCDCDC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5</xdr:col>
      <xdr:colOff>1066799</xdr:colOff>
      <xdr:row>27</xdr:row>
      <xdr:rowOff>10886</xdr:rowOff>
    </xdr:from>
    <xdr:to>
      <xdr:col>11</xdr:col>
      <xdr:colOff>0</xdr:colOff>
      <xdr:row>55</xdr:row>
      <xdr:rowOff>1</xdr:rowOff>
    </xdr:to>
    <xdr:sp macro="" textlink="">
      <xdr:nvSpPr>
        <xdr:cNvPr id="2" name="Rectangle 1">
          <a:extLst>
            <a:ext uri="{FF2B5EF4-FFF2-40B4-BE49-F238E27FC236}">
              <a16:creationId xmlns:a16="http://schemas.microsoft.com/office/drawing/2014/main" id="{F34EE25D-BC78-4CC2-B132-95600C5E3EE9}"/>
            </a:ext>
          </a:extLst>
        </xdr:cNvPr>
        <xdr:cNvSpPr/>
      </xdr:nvSpPr>
      <xdr:spPr>
        <a:xfrm>
          <a:off x="6160717" y="5271818"/>
          <a:ext cx="5384105" cy="5250046"/>
        </a:xfrm>
        <a:prstGeom prst="rect">
          <a:avLst/>
        </a:prstGeom>
        <a:solidFill>
          <a:srgbClr val="1C41FC">
            <a:alpha val="24706"/>
          </a:srgb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3200" b="1" i="1">
              <a:solidFill>
                <a:schemeClr val="tx1"/>
              </a:solidFill>
            </a:rPr>
            <a:t>Forecast based on difference 2019-2018</a:t>
          </a:r>
          <a:r>
            <a:rPr lang="fr-FR" sz="3200" b="1" i="1" baseline="0">
              <a:solidFill>
                <a:schemeClr val="tx1"/>
              </a:solidFill>
            </a:rPr>
            <a:t> in % added or substract on 2018 data</a:t>
          </a:r>
          <a:endParaRPr lang="fr-FR" sz="3200" b="1" i="1">
            <a:solidFill>
              <a:schemeClr val="tx1"/>
            </a:solidFill>
          </a:endParaRPr>
        </a:p>
      </xdr:txBody>
    </xdr:sp>
    <xdr:clientData/>
  </xdr:twoCellAnchor>
  <xdr:twoCellAnchor>
    <xdr:from>
      <xdr:col>13</xdr:col>
      <xdr:colOff>371475</xdr:colOff>
      <xdr:row>57</xdr:row>
      <xdr:rowOff>47626</xdr:rowOff>
    </xdr:from>
    <xdr:to>
      <xdr:col>13</xdr:col>
      <xdr:colOff>914400</xdr:colOff>
      <xdr:row>62</xdr:row>
      <xdr:rowOff>76201</xdr:rowOff>
    </xdr:to>
    <xdr:sp macro="" textlink="">
      <xdr:nvSpPr>
        <xdr:cNvPr id="5" name="Flèche : bas 4">
          <a:extLst>
            <a:ext uri="{FF2B5EF4-FFF2-40B4-BE49-F238E27FC236}">
              <a16:creationId xmlns:a16="http://schemas.microsoft.com/office/drawing/2014/main" id="{499855F2-379D-48DA-90A4-FB9AB7A9A828}"/>
            </a:ext>
          </a:extLst>
        </xdr:cNvPr>
        <xdr:cNvSpPr/>
      </xdr:nvSpPr>
      <xdr:spPr>
        <a:xfrm>
          <a:off x="14097000" y="11087101"/>
          <a:ext cx="542925" cy="933450"/>
        </a:xfrm>
        <a:prstGeom prst="downArrow">
          <a:avLst>
            <a:gd name="adj1" fmla="val 50000"/>
            <a:gd name="adj2" fmla="val 68869"/>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7620</xdr:colOff>
      <xdr:row>28</xdr:row>
      <xdr:rowOff>7620</xdr:rowOff>
    </xdr:from>
    <xdr:to>
      <xdr:col>6</xdr:col>
      <xdr:colOff>18506</xdr:colOff>
      <xdr:row>56</xdr:row>
      <xdr:rowOff>149135</xdr:rowOff>
    </xdr:to>
    <xdr:sp macro="" textlink="">
      <xdr:nvSpPr>
        <xdr:cNvPr id="2" name="Rectangle 1">
          <a:extLst>
            <a:ext uri="{FF2B5EF4-FFF2-40B4-BE49-F238E27FC236}">
              <a16:creationId xmlns:a16="http://schemas.microsoft.com/office/drawing/2014/main" id="{13F38596-1EDC-4F35-802F-6180E91F60E6}"/>
            </a:ext>
          </a:extLst>
        </xdr:cNvPr>
        <xdr:cNvSpPr/>
      </xdr:nvSpPr>
      <xdr:spPr>
        <a:xfrm>
          <a:off x="800100" y="5539740"/>
          <a:ext cx="5421086" cy="5475515"/>
        </a:xfrm>
        <a:prstGeom prst="rect">
          <a:avLst/>
        </a:prstGeom>
        <a:solidFill>
          <a:srgbClr val="1C41FC">
            <a:alpha val="24706"/>
          </a:srgb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3200" b="1" i="1">
              <a:solidFill>
                <a:schemeClr val="tx1"/>
              </a:solidFill>
            </a:rPr>
            <a:t>Forecast based on difference 2019-2018</a:t>
          </a:r>
          <a:r>
            <a:rPr lang="fr-FR" sz="3200" b="1" i="1" baseline="0">
              <a:solidFill>
                <a:schemeClr val="tx1"/>
              </a:solidFill>
            </a:rPr>
            <a:t> in % added or substract on 2018 data</a:t>
          </a:r>
          <a:endParaRPr lang="fr-FR" sz="3200" b="1" i="1">
            <a:solidFill>
              <a:schemeClr val="tx1"/>
            </a:solidFill>
          </a:endParaRP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182880</xdr:colOff>
          <xdr:row>0</xdr:row>
          <xdr:rowOff>60960</xdr:rowOff>
        </xdr:from>
        <xdr:to>
          <xdr:col>4</xdr:col>
          <xdr:colOff>350520</xdr:colOff>
          <xdr:row>0</xdr:row>
          <xdr:rowOff>335280</xdr:rowOff>
        </xdr:to>
        <xdr:sp macro="" textlink="">
          <xdr:nvSpPr>
            <xdr:cNvPr id="12305" name="Button 17" hidden="1">
              <a:extLst>
                <a:ext uri="{63B3BB69-23CF-44E3-9099-C40C66FF867C}">
                  <a14:compatExt spid="_x0000_s12305"/>
                </a:ext>
                <a:ext uri="{FF2B5EF4-FFF2-40B4-BE49-F238E27FC236}">
                  <a16:creationId xmlns:a16="http://schemas.microsoft.com/office/drawing/2014/main" id="{515CEAA1-8663-46B2-9449-FDAD40AC962A}"/>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HIDE DST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7620</xdr:colOff>
          <xdr:row>0</xdr:row>
          <xdr:rowOff>47625</xdr:rowOff>
        </xdr:from>
        <xdr:to>
          <xdr:col>8</xdr:col>
          <xdr:colOff>400050</xdr:colOff>
          <xdr:row>0</xdr:row>
          <xdr:rowOff>335280</xdr:rowOff>
        </xdr:to>
        <xdr:sp macro="" textlink="">
          <xdr:nvSpPr>
            <xdr:cNvPr id="12306" name="Button 18" hidden="1">
              <a:extLst>
                <a:ext uri="{63B3BB69-23CF-44E3-9099-C40C66FF867C}">
                  <a14:compatExt spid="_x0000_s12306"/>
                </a:ext>
                <a:ext uri="{FF2B5EF4-FFF2-40B4-BE49-F238E27FC236}">
                  <a16:creationId xmlns:a16="http://schemas.microsoft.com/office/drawing/2014/main" id="{17AE6A90-F343-46E5-B17B-9ED8974845F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SHOW DST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228600</xdr:colOff>
          <xdr:row>29</xdr:row>
          <xdr:rowOff>60960</xdr:rowOff>
        </xdr:from>
        <xdr:to>
          <xdr:col>4</xdr:col>
          <xdr:colOff>289560</xdr:colOff>
          <xdr:row>29</xdr:row>
          <xdr:rowOff>342900</xdr:rowOff>
        </xdr:to>
        <xdr:sp macro="" textlink="">
          <xdr:nvSpPr>
            <xdr:cNvPr id="12307" name="Button 19" hidden="1">
              <a:extLst>
                <a:ext uri="{63B3BB69-23CF-44E3-9099-C40C66FF867C}">
                  <a14:compatExt spid="_x0000_s12307"/>
                </a:ext>
                <a:ext uri="{FF2B5EF4-FFF2-40B4-BE49-F238E27FC236}">
                  <a16:creationId xmlns:a16="http://schemas.microsoft.com/office/drawing/2014/main" id="{6965D467-D044-4ED8-8876-30E21432D3AC}"/>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HIDE BERGKAMEN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7620</xdr:colOff>
          <xdr:row>29</xdr:row>
          <xdr:rowOff>60960</xdr:rowOff>
        </xdr:from>
        <xdr:to>
          <xdr:col>8</xdr:col>
          <xdr:colOff>365760</xdr:colOff>
          <xdr:row>29</xdr:row>
          <xdr:rowOff>350520</xdr:rowOff>
        </xdr:to>
        <xdr:sp macro="" textlink="">
          <xdr:nvSpPr>
            <xdr:cNvPr id="12308" name="Button 20" hidden="1">
              <a:extLst>
                <a:ext uri="{63B3BB69-23CF-44E3-9099-C40C66FF867C}">
                  <a14:compatExt spid="_x0000_s12308"/>
                </a:ext>
                <a:ext uri="{FF2B5EF4-FFF2-40B4-BE49-F238E27FC236}">
                  <a16:creationId xmlns:a16="http://schemas.microsoft.com/office/drawing/2014/main" id="{EB624C1F-EE45-4262-B1A3-9212ABA844DF}"/>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SHOW BERGKAMEN</a:t>
              </a:r>
            </a:p>
          </xdr:txBody>
        </xdr:sp>
        <xdr:clientData fPrintsWithSheet="0"/>
      </xdr:twoCellAnchor>
    </mc:Choice>
    <mc:Fallback/>
  </mc:AlternateContent>
  <xdr:twoCellAnchor>
    <xdr:from>
      <xdr:col>5</xdr:col>
      <xdr:colOff>104775</xdr:colOff>
      <xdr:row>54</xdr:row>
      <xdr:rowOff>171450</xdr:rowOff>
    </xdr:from>
    <xdr:to>
      <xdr:col>11</xdr:col>
      <xdr:colOff>247650</xdr:colOff>
      <xdr:row>69</xdr:row>
      <xdr:rowOff>0</xdr:rowOff>
    </xdr:to>
    <xdr:sp macro="" textlink="">
      <xdr:nvSpPr>
        <xdr:cNvPr id="2" name="Rectangle 1">
          <a:extLst>
            <a:ext uri="{FF2B5EF4-FFF2-40B4-BE49-F238E27FC236}">
              <a16:creationId xmlns:a16="http://schemas.microsoft.com/office/drawing/2014/main" id="{C75B17F5-626E-4BBA-B0F4-2E4A71D09F48}"/>
            </a:ext>
          </a:extLst>
        </xdr:cNvPr>
        <xdr:cNvSpPr/>
      </xdr:nvSpPr>
      <xdr:spPr>
        <a:xfrm>
          <a:off x="3295650" y="6010275"/>
          <a:ext cx="3743325" cy="25431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Ici, l'utilisateur choisit</a:t>
          </a:r>
          <a:r>
            <a:rPr lang="fr-FR" sz="1100" baseline="0"/>
            <a:t> un numéro de semaine pour chaque vagues (par exemple semaine 12 , 14 , 18...)</a:t>
          </a:r>
        </a:p>
        <a:p>
          <a:pPr algn="l"/>
          <a:endParaRPr lang="fr-FR" sz="1100" baseline="0"/>
        </a:p>
        <a:p>
          <a:pPr algn="l"/>
          <a:r>
            <a:rPr lang="fr-FR" sz="1100" baseline="0"/>
            <a:t>Ensuite, il décide des canaux à additionner depuis la semaine choisit et ce jusqu'à la fin de l'année  (par exemple, je veux qu'à partir de la semaine 12, tout les chiffres des canaux 48,66,91 soit additionné au total surligné en jaune)</a:t>
          </a:r>
        </a:p>
        <a:p>
          <a:pPr algn="l"/>
          <a:endParaRPr lang="fr-FR" sz="1100" baseline="0"/>
        </a:p>
        <a:p>
          <a:pPr algn="l"/>
          <a:r>
            <a:rPr lang="fr-FR" sz="1100" baseline="0"/>
            <a:t>Bis repetita pour wave 2, je veux qu'à partir de la semaine 14, tout les chiffre des canaux 30 et 32 soit additionné au total surligné en jaune...)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304800</xdr:colOff>
      <xdr:row>24</xdr:row>
      <xdr:rowOff>45720</xdr:rowOff>
    </xdr:from>
    <xdr:to>
      <xdr:col>2</xdr:col>
      <xdr:colOff>312420</xdr:colOff>
      <xdr:row>26</xdr:row>
      <xdr:rowOff>129540</xdr:rowOff>
    </xdr:to>
    <xdr:cxnSp macro="">
      <xdr:nvCxnSpPr>
        <xdr:cNvPr id="3" name="Connecteur droit avec flèche 2">
          <a:extLst>
            <a:ext uri="{FF2B5EF4-FFF2-40B4-BE49-F238E27FC236}">
              <a16:creationId xmlns:a16="http://schemas.microsoft.com/office/drawing/2014/main" id="{94F7D901-CFDA-4C0C-BFA1-A66314F4A24E}"/>
            </a:ext>
          </a:extLst>
        </xdr:cNvPr>
        <xdr:cNvCxnSpPr/>
      </xdr:nvCxnSpPr>
      <xdr:spPr>
        <a:xfrm flipH="1">
          <a:off x="2057400" y="4434840"/>
          <a:ext cx="7620" cy="44958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38100</xdr:colOff>
      <xdr:row>2</xdr:row>
      <xdr:rowOff>15240</xdr:rowOff>
    </xdr:from>
    <xdr:to>
      <xdr:col>12</xdr:col>
      <xdr:colOff>15240</xdr:colOff>
      <xdr:row>15</xdr:row>
      <xdr:rowOff>0</xdr:rowOff>
    </xdr:to>
    <xdr:sp macro="" textlink="">
      <xdr:nvSpPr>
        <xdr:cNvPr id="7" name="Rectangle 6">
          <a:extLst>
            <a:ext uri="{FF2B5EF4-FFF2-40B4-BE49-F238E27FC236}">
              <a16:creationId xmlns:a16="http://schemas.microsoft.com/office/drawing/2014/main" id="{DCE1500F-3780-4789-8C77-48FE43E2C218}"/>
            </a:ext>
          </a:extLst>
        </xdr:cNvPr>
        <xdr:cNvSpPr/>
      </xdr:nvSpPr>
      <xdr:spPr>
        <a:xfrm flipH="1">
          <a:off x="10058400" y="746760"/>
          <a:ext cx="1615440" cy="2362200"/>
        </a:xfrm>
        <a:prstGeom prst="rect">
          <a:avLst/>
        </a:prstGeom>
        <a:solidFill>
          <a:srgbClr val="00B050">
            <a:alpha val="50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b="1"/>
            <a:t>Wave 1</a:t>
          </a:r>
        </a:p>
      </xdr:txBody>
    </xdr:sp>
    <xdr:clientData/>
  </xdr:twoCellAnchor>
  <xdr:twoCellAnchor>
    <xdr:from>
      <xdr:col>10</xdr:col>
      <xdr:colOff>30480</xdr:colOff>
      <xdr:row>15</xdr:row>
      <xdr:rowOff>15240</xdr:rowOff>
    </xdr:from>
    <xdr:to>
      <xdr:col>12</xdr:col>
      <xdr:colOff>7620</xdr:colOff>
      <xdr:row>16</xdr:row>
      <xdr:rowOff>160020</xdr:rowOff>
    </xdr:to>
    <xdr:sp macro="" textlink="">
      <xdr:nvSpPr>
        <xdr:cNvPr id="8" name="Rectangle 7">
          <a:extLst>
            <a:ext uri="{FF2B5EF4-FFF2-40B4-BE49-F238E27FC236}">
              <a16:creationId xmlns:a16="http://schemas.microsoft.com/office/drawing/2014/main" id="{BE299C19-77D5-4061-915F-4EC286DFA932}"/>
            </a:ext>
          </a:extLst>
        </xdr:cNvPr>
        <xdr:cNvSpPr/>
      </xdr:nvSpPr>
      <xdr:spPr>
        <a:xfrm flipH="1">
          <a:off x="10050780" y="3124200"/>
          <a:ext cx="1615440" cy="327660"/>
        </a:xfrm>
        <a:prstGeom prst="rect">
          <a:avLst/>
        </a:prstGeom>
        <a:solidFill>
          <a:schemeClr val="accent1">
            <a:alpha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b="1"/>
            <a:t>Wave</a:t>
          </a:r>
          <a:r>
            <a:rPr lang="fr-FR" sz="1800" b="1" baseline="0"/>
            <a:t> 2 </a:t>
          </a:r>
          <a:endParaRPr lang="fr-FR" sz="1800" b="1"/>
        </a:p>
      </xdr:txBody>
    </xdr:sp>
    <xdr:clientData/>
  </xdr:twoCellAnchor>
  <xdr:twoCellAnchor>
    <xdr:from>
      <xdr:col>10</xdr:col>
      <xdr:colOff>30480</xdr:colOff>
      <xdr:row>17</xdr:row>
      <xdr:rowOff>167641</xdr:rowOff>
    </xdr:from>
    <xdr:to>
      <xdr:col>12</xdr:col>
      <xdr:colOff>0</xdr:colOff>
      <xdr:row>19</xdr:row>
      <xdr:rowOff>22861</xdr:rowOff>
    </xdr:to>
    <xdr:sp macro="" textlink="">
      <xdr:nvSpPr>
        <xdr:cNvPr id="9" name="Rectangle 8">
          <a:extLst>
            <a:ext uri="{FF2B5EF4-FFF2-40B4-BE49-F238E27FC236}">
              <a16:creationId xmlns:a16="http://schemas.microsoft.com/office/drawing/2014/main" id="{92EB7BE9-5547-43FB-9267-AB4748592AE8}"/>
            </a:ext>
          </a:extLst>
        </xdr:cNvPr>
        <xdr:cNvSpPr/>
      </xdr:nvSpPr>
      <xdr:spPr>
        <a:xfrm flipH="1">
          <a:off x="10050780" y="3642361"/>
          <a:ext cx="1607820" cy="220980"/>
        </a:xfrm>
        <a:prstGeom prst="rect">
          <a:avLst/>
        </a:prstGeom>
        <a:solidFill>
          <a:srgbClr val="FF0000">
            <a:alpha val="50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b="1"/>
            <a:t>Wave 4 </a:t>
          </a:r>
        </a:p>
      </xdr:txBody>
    </xdr:sp>
    <xdr:clientData/>
  </xdr:twoCellAnchor>
  <xdr:twoCellAnchor>
    <xdr:from>
      <xdr:col>10</xdr:col>
      <xdr:colOff>30480</xdr:colOff>
      <xdr:row>19</xdr:row>
      <xdr:rowOff>22860</xdr:rowOff>
    </xdr:from>
    <xdr:to>
      <xdr:col>12</xdr:col>
      <xdr:colOff>7620</xdr:colOff>
      <xdr:row>20</xdr:row>
      <xdr:rowOff>15240</xdr:rowOff>
    </xdr:to>
    <xdr:sp macro="" textlink="">
      <xdr:nvSpPr>
        <xdr:cNvPr id="10" name="Rectangle 9">
          <a:extLst>
            <a:ext uri="{FF2B5EF4-FFF2-40B4-BE49-F238E27FC236}">
              <a16:creationId xmlns:a16="http://schemas.microsoft.com/office/drawing/2014/main" id="{25EC7D37-FB1A-4A77-A52A-E208FD5FEFEA}"/>
            </a:ext>
          </a:extLst>
        </xdr:cNvPr>
        <xdr:cNvSpPr/>
      </xdr:nvSpPr>
      <xdr:spPr>
        <a:xfrm flipH="1">
          <a:off x="10050780" y="3863340"/>
          <a:ext cx="1615440" cy="175260"/>
        </a:xfrm>
        <a:prstGeom prst="rect">
          <a:avLst/>
        </a:prstGeom>
        <a:solidFill>
          <a:schemeClr val="accent4">
            <a:lumMod val="75000"/>
            <a:alpha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b="1"/>
            <a:t>Wave 3 </a:t>
          </a:r>
        </a:p>
      </xdr:txBody>
    </xdr:sp>
    <xdr:clientData/>
  </xdr:twoCellAnchor>
  <xdr:twoCellAnchor>
    <xdr:from>
      <xdr:col>10</xdr:col>
      <xdr:colOff>30480</xdr:colOff>
      <xdr:row>16</xdr:row>
      <xdr:rowOff>167640</xdr:rowOff>
    </xdr:from>
    <xdr:to>
      <xdr:col>12</xdr:col>
      <xdr:colOff>0</xdr:colOff>
      <xdr:row>18</xdr:row>
      <xdr:rowOff>0</xdr:rowOff>
    </xdr:to>
    <xdr:sp macro="" textlink="">
      <xdr:nvSpPr>
        <xdr:cNvPr id="11" name="Rectangle 10">
          <a:extLst>
            <a:ext uri="{FF2B5EF4-FFF2-40B4-BE49-F238E27FC236}">
              <a16:creationId xmlns:a16="http://schemas.microsoft.com/office/drawing/2014/main" id="{EFBDADEA-18F9-45B3-B156-568BEFCA8307}"/>
            </a:ext>
          </a:extLst>
        </xdr:cNvPr>
        <xdr:cNvSpPr/>
      </xdr:nvSpPr>
      <xdr:spPr>
        <a:xfrm flipH="1">
          <a:off x="10050780" y="3459480"/>
          <a:ext cx="1607820" cy="198120"/>
        </a:xfrm>
        <a:prstGeom prst="rect">
          <a:avLst/>
        </a:prstGeom>
        <a:solidFill>
          <a:schemeClr val="accent4">
            <a:lumMod val="75000"/>
            <a:alpha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b="1"/>
            <a:t>Wave 3</a:t>
          </a:r>
        </a:p>
      </xdr:txBody>
    </xdr:sp>
    <xdr:clientData/>
  </xdr:twoCellAnchor>
  <xdr:twoCellAnchor>
    <xdr:from>
      <xdr:col>10</xdr:col>
      <xdr:colOff>276225</xdr:colOff>
      <xdr:row>24</xdr:row>
      <xdr:rowOff>13335</xdr:rowOff>
    </xdr:from>
    <xdr:to>
      <xdr:col>12</xdr:col>
      <xdr:colOff>253365</xdr:colOff>
      <xdr:row>36</xdr:row>
      <xdr:rowOff>171450</xdr:rowOff>
    </xdr:to>
    <xdr:sp macro="" textlink="">
      <xdr:nvSpPr>
        <xdr:cNvPr id="21" name="Rectangle 20">
          <a:extLst>
            <a:ext uri="{FF2B5EF4-FFF2-40B4-BE49-F238E27FC236}">
              <a16:creationId xmlns:a16="http://schemas.microsoft.com/office/drawing/2014/main" id="{497DC08D-CF28-43EA-AA0F-036FD32063AC}"/>
            </a:ext>
          </a:extLst>
        </xdr:cNvPr>
        <xdr:cNvSpPr/>
      </xdr:nvSpPr>
      <xdr:spPr>
        <a:xfrm flipH="1">
          <a:off x="10296525" y="4728210"/>
          <a:ext cx="1615440" cy="2510790"/>
        </a:xfrm>
        <a:prstGeom prst="rect">
          <a:avLst/>
        </a:prstGeom>
        <a:solidFill>
          <a:srgbClr val="00B050">
            <a:alpha val="50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b="1"/>
            <a:t>Wave 1</a:t>
          </a:r>
        </a:p>
      </xdr:txBody>
    </xdr:sp>
    <xdr:clientData/>
  </xdr:twoCellAnchor>
  <xdr:twoCellAnchor>
    <xdr:from>
      <xdr:col>10</xdr:col>
      <xdr:colOff>268605</xdr:colOff>
      <xdr:row>37</xdr:row>
      <xdr:rowOff>0</xdr:rowOff>
    </xdr:from>
    <xdr:to>
      <xdr:col>12</xdr:col>
      <xdr:colOff>245745</xdr:colOff>
      <xdr:row>38</xdr:row>
      <xdr:rowOff>0</xdr:rowOff>
    </xdr:to>
    <xdr:sp macro="" textlink="">
      <xdr:nvSpPr>
        <xdr:cNvPr id="22" name="Rectangle 21">
          <a:extLst>
            <a:ext uri="{FF2B5EF4-FFF2-40B4-BE49-F238E27FC236}">
              <a16:creationId xmlns:a16="http://schemas.microsoft.com/office/drawing/2014/main" id="{89DCFD4C-9CC4-4E8B-8063-A1F1DB0B382F}"/>
            </a:ext>
          </a:extLst>
        </xdr:cNvPr>
        <xdr:cNvSpPr/>
      </xdr:nvSpPr>
      <xdr:spPr>
        <a:xfrm flipH="1">
          <a:off x="10288905" y="7248525"/>
          <a:ext cx="1615440" cy="180975"/>
        </a:xfrm>
        <a:prstGeom prst="rect">
          <a:avLst/>
        </a:prstGeom>
        <a:solidFill>
          <a:schemeClr val="accent1">
            <a:alpha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b="1"/>
            <a:t>Wave</a:t>
          </a:r>
          <a:r>
            <a:rPr lang="fr-FR" sz="1800" b="1" baseline="0"/>
            <a:t> 2 </a:t>
          </a:r>
          <a:endParaRPr lang="fr-FR" sz="1800" b="1"/>
        </a:p>
      </xdr:txBody>
    </xdr:sp>
    <xdr:clientData/>
  </xdr:twoCellAnchor>
  <xdr:twoCellAnchor>
    <xdr:from>
      <xdr:col>10</xdr:col>
      <xdr:colOff>268605</xdr:colOff>
      <xdr:row>38</xdr:row>
      <xdr:rowOff>171450</xdr:rowOff>
    </xdr:from>
    <xdr:to>
      <xdr:col>12</xdr:col>
      <xdr:colOff>245745</xdr:colOff>
      <xdr:row>39</xdr:row>
      <xdr:rowOff>171450</xdr:rowOff>
    </xdr:to>
    <xdr:sp macro="" textlink="">
      <xdr:nvSpPr>
        <xdr:cNvPr id="23" name="Rectangle 22">
          <a:extLst>
            <a:ext uri="{FF2B5EF4-FFF2-40B4-BE49-F238E27FC236}">
              <a16:creationId xmlns:a16="http://schemas.microsoft.com/office/drawing/2014/main" id="{649459C9-5073-4AE8-8865-3948D8DD9E78}"/>
            </a:ext>
          </a:extLst>
        </xdr:cNvPr>
        <xdr:cNvSpPr/>
      </xdr:nvSpPr>
      <xdr:spPr>
        <a:xfrm flipH="1">
          <a:off x="10288905" y="7600950"/>
          <a:ext cx="1615440" cy="180975"/>
        </a:xfrm>
        <a:prstGeom prst="rect">
          <a:avLst/>
        </a:prstGeom>
        <a:solidFill>
          <a:schemeClr val="accent1">
            <a:alpha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b="1"/>
            <a:t>Wave</a:t>
          </a:r>
          <a:r>
            <a:rPr lang="fr-FR" sz="1800" b="1" baseline="0"/>
            <a:t> 2 </a:t>
          </a:r>
          <a:endParaRPr lang="fr-FR" sz="1800" b="1"/>
        </a:p>
      </xdr:txBody>
    </xdr:sp>
    <xdr:clientData/>
  </xdr:twoCellAnchor>
  <xdr:twoCellAnchor>
    <xdr:from>
      <xdr:col>10</xdr:col>
      <xdr:colOff>278130</xdr:colOff>
      <xdr:row>40</xdr:row>
      <xdr:rowOff>1905</xdr:rowOff>
    </xdr:from>
    <xdr:to>
      <xdr:col>12</xdr:col>
      <xdr:colOff>247650</xdr:colOff>
      <xdr:row>41</xdr:row>
      <xdr:rowOff>0</xdr:rowOff>
    </xdr:to>
    <xdr:sp macro="" textlink="">
      <xdr:nvSpPr>
        <xdr:cNvPr id="24" name="Rectangle 23">
          <a:extLst>
            <a:ext uri="{FF2B5EF4-FFF2-40B4-BE49-F238E27FC236}">
              <a16:creationId xmlns:a16="http://schemas.microsoft.com/office/drawing/2014/main" id="{BAF2909A-BA4B-4A54-B2E8-9DB36F05D370}"/>
            </a:ext>
          </a:extLst>
        </xdr:cNvPr>
        <xdr:cNvSpPr/>
      </xdr:nvSpPr>
      <xdr:spPr>
        <a:xfrm flipH="1">
          <a:off x="10298430" y="7793355"/>
          <a:ext cx="1607820" cy="179070"/>
        </a:xfrm>
        <a:prstGeom prst="rect">
          <a:avLst/>
        </a:prstGeom>
        <a:solidFill>
          <a:schemeClr val="accent4">
            <a:lumMod val="75000"/>
            <a:alpha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b="1"/>
            <a:t>Wave 3</a:t>
          </a:r>
        </a:p>
      </xdr:txBody>
    </xdr:sp>
    <xdr:clientData/>
  </xdr:twoCellAnchor>
  <xdr:twoCellAnchor>
    <xdr:from>
      <xdr:col>10</xdr:col>
      <xdr:colOff>287655</xdr:colOff>
      <xdr:row>38</xdr:row>
      <xdr:rowOff>11430</xdr:rowOff>
    </xdr:from>
    <xdr:to>
      <xdr:col>12</xdr:col>
      <xdr:colOff>257175</xdr:colOff>
      <xdr:row>39</xdr:row>
      <xdr:rowOff>24765</xdr:rowOff>
    </xdr:to>
    <xdr:sp macro="" textlink="">
      <xdr:nvSpPr>
        <xdr:cNvPr id="25" name="Rectangle 24">
          <a:extLst>
            <a:ext uri="{FF2B5EF4-FFF2-40B4-BE49-F238E27FC236}">
              <a16:creationId xmlns:a16="http://schemas.microsoft.com/office/drawing/2014/main" id="{D13CF3A6-F8F2-4D3A-858A-BC773E26333E}"/>
            </a:ext>
          </a:extLst>
        </xdr:cNvPr>
        <xdr:cNvSpPr/>
      </xdr:nvSpPr>
      <xdr:spPr>
        <a:xfrm flipH="1">
          <a:off x="10307955" y="7440930"/>
          <a:ext cx="1607820" cy="194310"/>
        </a:xfrm>
        <a:prstGeom prst="rect">
          <a:avLst/>
        </a:prstGeom>
        <a:solidFill>
          <a:schemeClr val="accent4">
            <a:lumMod val="75000"/>
            <a:alpha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b="1"/>
            <a:t>Wave 3</a:t>
          </a:r>
        </a:p>
      </xdr:txBody>
    </xdr:sp>
    <xdr:clientData/>
  </xdr:twoCellAnchor>
  <xdr:twoCellAnchor>
    <xdr:from>
      <xdr:col>10</xdr:col>
      <xdr:colOff>287655</xdr:colOff>
      <xdr:row>41</xdr:row>
      <xdr:rowOff>9525</xdr:rowOff>
    </xdr:from>
    <xdr:to>
      <xdr:col>12</xdr:col>
      <xdr:colOff>257175</xdr:colOff>
      <xdr:row>42</xdr:row>
      <xdr:rowOff>20956</xdr:rowOff>
    </xdr:to>
    <xdr:sp macro="" textlink="">
      <xdr:nvSpPr>
        <xdr:cNvPr id="26" name="Rectangle 25">
          <a:extLst>
            <a:ext uri="{FF2B5EF4-FFF2-40B4-BE49-F238E27FC236}">
              <a16:creationId xmlns:a16="http://schemas.microsoft.com/office/drawing/2014/main" id="{B6ED9985-557C-4628-87ED-253F15B88584}"/>
            </a:ext>
          </a:extLst>
        </xdr:cNvPr>
        <xdr:cNvSpPr/>
      </xdr:nvSpPr>
      <xdr:spPr>
        <a:xfrm flipH="1">
          <a:off x="10307955" y="7981950"/>
          <a:ext cx="1607820" cy="192406"/>
        </a:xfrm>
        <a:prstGeom prst="rect">
          <a:avLst/>
        </a:prstGeom>
        <a:solidFill>
          <a:srgbClr val="FF0000">
            <a:alpha val="50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b="1"/>
            <a:t>Wave 4 </a:t>
          </a:r>
        </a:p>
      </xdr:txBody>
    </xdr:sp>
    <xdr:clientData/>
  </xdr:twoCellAnchor>
  <xdr:twoCellAnchor>
    <xdr:from>
      <xdr:col>10</xdr:col>
      <xdr:colOff>19050</xdr:colOff>
      <xdr:row>0</xdr:row>
      <xdr:rowOff>9525</xdr:rowOff>
    </xdr:from>
    <xdr:to>
      <xdr:col>20</xdr:col>
      <xdr:colOff>190500</xdr:colOff>
      <xdr:row>21</xdr:row>
      <xdr:rowOff>152400</xdr:rowOff>
    </xdr:to>
    <xdr:sp macro="" textlink="">
      <xdr:nvSpPr>
        <xdr:cNvPr id="27" name="Rectangle 26">
          <a:extLst>
            <a:ext uri="{FF2B5EF4-FFF2-40B4-BE49-F238E27FC236}">
              <a16:creationId xmlns:a16="http://schemas.microsoft.com/office/drawing/2014/main" id="{3FE01D17-0C77-421A-9076-E1E6D0271CB6}"/>
            </a:ext>
          </a:extLst>
        </xdr:cNvPr>
        <xdr:cNvSpPr/>
      </xdr:nvSpPr>
      <xdr:spPr>
        <a:xfrm>
          <a:off x="10115550" y="9525"/>
          <a:ext cx="8353425" cy="4314825"/>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solidFill>
              <a:schemeClr val="tx1"/>
            </a:solidFil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Master_Kennzahlen2018%20-%20modified.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Master_Kennzahlen2019%20-%20modified.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hiteboard"/>
      <sheetName val="Tagesübersicht"/>
      <sheetName val="Bartolo 1100"/>
      <sheetName val="Cilas 1200"/>
      <sheetName val="Saygin 1310"/>
      <sheetName val="Keller 5200+5300+5500"/>
      <sheetName val="Gmelin 5400"/>
    </sheetNames>
    <sheetDataSet>
      <sheetData sheetId="0"/>
      <sheetData sheetId="1">
        <row r="19">
          <cell r="H19">
            <v>356</v>
          </cell>
          <cell r="M19">
            <v>628</v>
          </cell>
          <cell r="R19">
            <v>7233</v>
          </cell>
          <cell r="Y19">
            <v>4337</v>
          </cell>
          <cell r="AF19">
            <v>0</v>
          </cell>
        </row>
        <row r="20">
          <cell r="H20">
            <v>211</v>
          </cell>
          <cell r="M20">
            <v>1134</v>
          </cell>
          <cell r="R20">
            <v>8038</v>
          </cell>
          <cell r="Y20">
            <v>4456</v>
          </cell>
          <cell r="AF20">
            <v>0</v>
          </cell>
        </row>
        <row r="21">
          <cell r="H21">
            <v>631</v>
          </cell>
          <cell r="M21">
            <v>731</v>
          </cell>
          <cell r="R21">
            <v>12876</v>
          </cell>
          <cell r="Y21">
            <v>2794</v>
          </cell>
          <cell r="AF21">
            <v>0</v>
          </cell>
        </row>
        <row r="22">
          <cell r="H22">
            <v>481</v>
          </cell>
          <cell r="M22">
            <v>743</v>
          </cell>
          <cell r="R22">
            <v>12044</v>
          </cell>
          <cell r="Y22">
            <v>2615</v>
          </cell>
          <cell r="AF22">
            <v>0</v>
          </cell>
        </row>
        <row r="25">
          <cell r="H25">
            <v>588</v>
          </cell>
          <cell r="M25">
            <v>1021</v>
          </cell>
          <cell r="R25">
            <v>8122</v>
          </cell>
          <cell r="Y25">
            <v>3786</v>
          </cell>
          <cell r="AF25">
            <v>2312</v>
          </cell>
        </row>
        <row r="26">
          <cell r="H26">
            <v>916</v>
          </cell>
          <cell r="M26">
            <v>940</v>
          </cell>
          <cell r="R26">
            <v>8594</v>
          </cell>
          <cell r="Y26">
            <v>3258</v>
          </cell>
          <cell r="AF26">
            <v>4371</v>
          </cell>
        </row>
        <row r="27">
          <cell r="H27">
            <v>513</v>
          </cell>
          <cell r="M27">
            <v>774</v>
          </cell>
          <cell r="R27">
            <v>13113</v>
          </cell>
          <cell r="Y27">
            <v>3086</v>
          </cell>
          <cell r="AF27">
            <v>6031</v>
          </cell>
        </row>
        <row r="28">
          <cell r="H28">
            <v>621</v>
          </cell>
          <cell r="M28">
            <v>1273</v>
          </cell>
          <cell r="R28">
            <v>6526</v>
          </cell>
          <cell r="Y28">
            <v>2782</v>
          </cell>
          <cell r="AF28">
            <v>6087</v>
          </cell>
        </row>
        <row r="29">
          <cell r="H29">
            <v>582</v>
          </cell>
          <cell r="M29">
            <v>941</v>
          </cell>
          <cell r="R29">
            <v>7403</v>
          </cell>
          <cell r="Y29">
            <v>2753</v>
          </cell>
          <cell r="AF29">
            <v>4728</v>
          </cell>
        </row>
        <row r="32">
          <cell r="H32">
            <v>906</v>
          </cell>
          <cell r="M32">
            <v>295</v>
          </cell>
          <cell r="R32">
            <v>6096</v>
          </cell>
          <cell r="Y32">
            <v>2929</v>
          </cell>
          <cell r="AF32">
            <v>6339</v>
          </cell>
        </row>
        <row r="33">
          <cell r="H33">
            <v>651</v>
          </cell>
          <cell r="M33">
            <v>1333</v>
          </cell>
          <cell r="R33">
            <v>9302</v>
          </cell>
          <cell r="Y33">
            <v>2691</v>
          </cell>
          <cell r="AF33">
            <v>3188</v>
          </cell>
        </row>
        <row r="34">
          <cell r="H34">
            <v>571</v>
          </cell>
          <cell r="M34">
            <v>1209</v>
          </cell>
          <cell r="R34">
            <v>10289</v>
          </cell>
          <cell r="Y34">
            <v>2522</v>
          </cell>
          <cell r="AF34">
            <v>7503</v>
          </cell>
        </row>
        <row r="35">
          <cell r="H35">
            <v>811</v>
          </cell>
          <cell r="M35">
            <v>803</v>
          </cell>
          <cell r="R35">
            <v>9276</v>
          </cell>
          <cell r="Y35">
            <v>2720</v>
          </cell>
          <cell r="AF35">
            <v>6965</v>
          </cell>
        </row>
        <row r="36">
          <cell r="H36">
            <v>528</v>
          </cell>
          <cell r="M36">
            <v>804</v>
          </cell>
          <cell r="R36">
            <v>6975</v>
          </cell>
          <cell r="Y36">
            <v>2957</v>
          </cell>
          <cell r="AF36">
            <v>4526</v>
          </cell>
        </row>
        <row r="39">
          <cell r="H39">
            <v>554</v>
          </cell>
          <cell r="M39">
            <v>731</v>
          </cell>
          <cell r="R39">
            <v>8294</v>
          </cell>
          <cell r="Y39">
            <v>4066</v>
          </cell>
          <cell r="AF39">
            <v>3351</v>
          </cell>
        </row>
        <row r="40">
          <cell r="H40">
            <v>789</v>
          </cell>
          <cell r="M40">
            <v>745</v>
          </cell>
          <cell r="R40">
            <v>9489</v>
          </cell>
          <cell r="Y40">
            <v>3069</v>
          </cell>
          <cell r="AF40">
            <v>5952</v>
          </cell>
        </row>
        <row r="41">
          <cell r="H41">
            <v>697</v>
          </cell>
          <cell r="M41">
            <v>1322</v>
          </cell>
          <cell r="R41">
            <v>10426</v>
          </cell>
          <cell r="Y41">
            <v>3531</v>
          </cell>
          <cell r="AF41">
            <v>4531</v>
          </cell>
        </row>
        <row r="42">
          <cell r="H42">
            <v>778</v>
          </cell>
          <cell r="M42">
            <v>1097</v>
          </cell>
          <cell r="R42">
            <v>8422</v>
          </cell>
          <cell r="Y42">
            <v>2453</v>
          </cell>
          <cell r="AF42">
            <v>4192</v>
          </cell>
        </row>
        <row r="43">
          <cell r="H43">
            <v>529</v>
          </cell>
          <cell r="M43">
            <v>894</v>
          </cell>
          <cell r="R43">
            <v>8393</v>
          </cell>
          <cell r="Y43">
            <v>2634</v>
          </cell>
          <cell r="AF43">
            <v>4032</v>
          </cell>
        </row>
        <row r="46">
          <cell r="H46">
            <v>779</v>
          </cell>
          <cell r="M46">
            <v>672</v>
          </cell>
          <cell r="R46">
            <v>7895</v>
          </cell>
          <cell r="Y46">
            <v>3751</v>
          </cell>
          <cell r="AF46">
            <v>4079</v>
          </cell>
        </row>
        <row r="47">
          <cell r="H47">
            <v>486</v>
          </cell>
          <cell r="M47">
            <v>723</v>
          </cell>
          <cell r="R47">
            <v>9088</v>
          </cell>
          <cell r="Y47">
            <v>2857</v>
          </cell>
          <cell r="AF47">
            <v>4233</v>
          </cell>
        </row>
        <row r="48">
          <cell r="H48">
            <v>662</v>
          </cell>
          <cell r="M48">
            <v>995</v>
          </cell>
          <cell r="R48">
            <v>10876</v>
          </cell>
          <cell r="Y48">
            <v>2744</v>
          </cell>
          <cell r="AF48">
            <v>6042</v>
          </cell>
        </row>
        <row r="49">
          <cell r="H49">
            <v>808</v>
          </cell>
          <cell r="M49">
            <v>1061</v>
          </cell>
          <cell r="R49">
            <v>8050</v>
          </cell>
          <cell r="Y49">
            <v>2544</v>
          </cell>
          <cell r="AF49">
            <v>6003</v>
          </cell>
        </row>
        <row r="50">
          <cell r="H50">
            <v>723</v>
          </cell>
          <cell r="M50">
            <v>1313</v>
          </cell>
          <cell r="R50">
            <v>6124</v>
          </cell>
          <cell r="Y50">
            <v>2821</v>
          </cell>
          <cell r="AF50">
            <v>10119</v>
          </cell>
        </row>
        <row r="53">
          <cell r="H53">
            <v>1069</v>
          </cell>
          <cell r="M53">
            <v>1146</v>
          </cell>
          <cell r="R53">
            <v>4960</v>
          </cell>
          <cell r="Y53">
            <v>2939</v>
          </cell>
          <cell r="AF53">
            <v>9628</v>
          </cell>
        </row>
        <row r="54">
          <cell r="H54">
            <v>1221</v>
          </cell>
          <cell r="M54">
            <v>1074</v>
          </cell>
          <cell r="R54">
            <v>6619</v>
          </cell>
          <cell r="Y54">
            <v>2239</v>
          </cell>
          <cell r="AF54">
            <v>12022</v>
          </cell>
        </row>
        <row r="55">
          <cell r="H55">
            <v>1001</v>
          </cell>
          <cell r="M55">
            <v>789</v>
          </cell>
          <cell r="R55">
            <v>8364</v>
          </cell>
          <cell r="Y55">
            <v>2218</v>
          </cell>
          <cell r="AF55">
            <v>5741</v>
          </cell>
        </row>
        <row r="56">
          <cell r="H56">
            <v>1448</v>
          </cell>
          <cell r="M56">
            <v>1105</v>
          </cell>
          <cell r="R56">
            <v>7731</v>
          </cell>
          <cell r="Y56">
            <v>2319</v>
          </cell>
          <cell r="AF56">
            <v>12874</v>
          </cell>
        </row>
        <row r="57">
          <cell r="H57">
            <v>694</v>
          </cell>
          <cell r="M57">
            <v>1080</v>
          </cell>
          <cell r="R57">
            <v>5767</v>
          </cell>
          <cell r="Y57">
            <v>2286</v>
          </cell>
          <cell r="AF57">
            <v>6824</v>
          </cell>
        </row>
        <row r="60">
          <cell r="H60">
            <v>1085</v>
          </cell>
          <cell r="M60">
            <v>1093</v>
          </cell>
          <cell r="R60">
            <v>7301</v>
          </cell>
          <cell r="Y60">
            <v>2805</v>
          </cell>
          <cell r="AF60">
            <v>5347</v>
          </cell>
        </row>
        <row r="61">
          <cell r="H61">
            <v>1248</v>
          </cell>
          <cell r="M61">
            <v>1078</v>
          </cell>
          <cell r="R61">
            <v>7553</v>
          </cell>
          <cell r="Y61">
            <v>2681</v>
          </cell>
          <cell r="AF61">
            <v>5350</v>
          </cell>
        </row>
        <row r="62">
          <cell r="H62">
            <v>1179</v>
          </cell>
          <cell r="M62">
            <v>1314</v>
          </cell>
          <cell r="R62">
            <v>10045</v>
          </cell>
          <cell r="Y62">
            <v>2107</v>
          </cell>
          <cell r="AF62">
            <v>5476</v>
          </cell>
        </row>
        <row r="63">
          <cell r="H63">
            <v>764</v>
          </cell>
          <cell r="M63">
            <v>1181</v>
          </cell>
          <cell r="R63">
            <v>6711</v>
          </cell>
          <cell r="Y63">
            <v>2230</v>
          </cell>
          <cell r="AF63">
            <v>8755</v>
          </cell>
        </row>
        <row r="64">
          <cell r="H64">
            <v>1120</v>
          </cell>
          <cell r="M64">
            <v>672</v>
          </cell>
          <cell r="R64">
            <v>6673</v>
          </cell>
          <cell r="Y64">
            <v>2383</v>
          </cell>
          <cell r="AF64">
            <v>4332</v>
          </cell>
        </row>
        <row r="67">
          <cell r="H67">
            <v>1164</v>
          </cell>
          <cell r="M67">
            <v>670</v>
          </cell>
          <cell r="R67">
            <v>5888</v>
          </cell>
          <cell r="Y67">
            <v>3392</v>
          </cell>
          <cell r="AF67">
            <v>3867</v>
          </cell>
        </row>
        <row r="68">
          <cell r="H68">
            <v>908</v>
          </cell>
          <cell r="M68">
            <v>698</v>
          </cell>
          <cell r="R68">
            <v>6259</v>
          </cell>
          <cell r="Y68">
            <v>2256</v>
          </cell>
          <cell r="AF68">
            <v>4919</v>
          </cell>
        </row>
        <row r="69">
          <cell r="H69">
            <v>1898</v>
          </cell>
          <cell r="M69">
            <v>910</v>
          </cell>
          <cell r="R69">
            <v>8717</v>
          </cell>
          <cell r="Y69">
            <v>2498</v>
          </cell>
          <cell r="AF69">
            <v>8457</v>
          </cell>
        </row>
        <row r="70">
          <cell r="H70">
            <v>1018</v>
          </cell>
          <cell r="M70">
            <v>751</v>
          </cell>
          <cell r="R70">
            <v>7452</v>
          </cell>
          <cell r="Y70">
            <v>2243</v>
          </cell>
          <cell r="AF70">
            <v>2101</v>
          </cell>
        </row>
        <row r="71">
          <cell r="H71">
            <v>774</v>
          </cell>
          <cell r="M71">
            <v>910</v>
          </cell>
          <cell r="R71">
            <v>6029</v>
          </cell>
          <cell r="Y71">
            <v>2332</v>
          </cell>
          <cell r="AF71">
            <v>4988</v>
          </cell>
        </row>
        <row r="74">
          <cell r="H74">
            <v>713</v>
          </cell>
          <cell r="M74">
            <v>563</v>
          </cell>
          <cell r="R74">
            <v>6896</v>
          </cell>
          <cell r="Y74">
            <v>3417</v>
          </cell>
          <cell r="AF74">
            <v>1947</v>
          </cell>
        </row>
        <row r="75">
          <cell r="H75">
            <v>1116</v>
          </cell>
          <cell r="M75">
            <v>795</v>
          </cell>
          <cell r="R75">
            <v>7118</v>
          </cell>
          <cell r="Y75">
            <v>2834</v>
          </cell>
          <cell r="AF75">
            <v>5777</v>
          </cell>
        </row>
        <row r="76">
          <cell r="H76">
            <v>908</v>
          </cell>
          <cell r="M76">
            <v>625</v>
          </cell>
          <cell r="R76">
            <v>7800</v>
          </cell>
          <cell r="Y76">
            <v>2457</v>
          </cell>
          <cell r="AF76">
            <v>4597</v>
          </cell>
        </row>
        <row r="77">
          <cell r="H77">
            <v>1275</v>
          </cell>
          <cell r="M77">
            <v>782</v>
          </cell>
          <cell r="R77">
            <v>9076</v>
          </cell>
          <cell r="Y77">
            <v>2579</v>
          </cell>
          <cell r="AF77">
            <v>2817</v>
          </cell>
        </row>
        <row r="78">
          <cell r="H78">
            <v>1157</v>
          </cell>
          <cell r="M78">
            <v>1256</v>
          </cell>
          <cell r="R78">
            <v>7619</v>
          </cell>
          <cell r="Y78">
            <v>2888</v>
          </cell>
          <cell r="AF78">
            <v>4765</v>
          </cell>
        </row>
        <row r="81">
          <cell r="H81">
            <v>1189</v>
          </cell>
          <cell r="M81">
            <v>974</v>
          </cell>
          <cell r="R81">
            <v>6000</v>
          </cell>
          <cell r="Y81">
            <v>2811</v>
          </cell>
          <cell r="AF81">
            <v>4311</v>
          </cell>
        </row>
        <row r="82">
          <cell r="H82">
            <v>830</v>
          </cell>
          <cell r="M82">
            <v>1034</v>
          </cell>
          <cell r="R82">
            <v>8221</v>
          </cell>
          <cell r="Y82">
            <v>2568</v>
          </cell>
          <cell r="AF82">
            <v>4459</v>
          </cell>
        </row>
        <row r="83">
          <cell r="H83">
            <v>1166</v>
          </cell>
          <cell r="M83">
            <v>1009</v>
          </cell>
          <cell r="R83">
            <v>8732</v>
          </cell>
          <cell r="Y83">
            <v>2662</v>
          </cell>
          <cell r="AF83">
            <v>5477</v>
          </cell>
        </row>
        <row r="84">
          <cell r="H84">
            <v>632</v>
          </cell>
          <cell r="M84">
            <v>893</v>
          </cell>
          <cell r="R84">
            <v>9516</v>
          </cell>
          <cell r="Y84">
            <v>3318</v>
          </cell>
          <cell r="AF84">
            <v>2837</v>
          </cell>
        </row>
        <row r="85">
          <cell r="H85">
            <v>612</v>
          </cell>
          <cell r="M85">
            <v>617</v>
          </cell>
          <cell r="R85">
            <v>10276</v>
          </cell>
          <cell r="Y85">
            <v>3130</v>
          </cell>
          <cell r="AF85">
            <v>1518</v>
          </cell>
        </row>
        <row r="88">
          <cell r="H88">
            <v>996</v>
          </cell>
          <cell r="M88">
            <v>800</v>
          </cell>
          <cell r="R88">
            <v>8396</v>
          </cell>
          <cell r="Y88">
            <v>3356</v>
          </cell>
          <cell r="AF88">
            <v>1318</v>
          </cell>
        </row>
        <row r="89">
          <cell r="H89">
            <v>954</v>
          </cell>
          <cell r="M89">
            <v>1278</v>
          </cell>
          <cell r="R89">
            <v>8664</v>
          </cell>
          <cell r="Y89">
            <v>2569</v>
          </cell>
          <cell r="AF89">
            <v>3100</v>
          </cell>
        </row>
        <row r="90">
          <cell r="H90">
            <v>1070</v>
          </cell>
          <cell r="M90">
            <v>810</v>
          </cell>
          <cell r="R90">
            <v>9413</v>
          </cell>
          <cell r="Y90">
            <v>3412</v>
          </cell>
          <cell r="AF90">
            <v>3783</v>
          </cell>
        </row>
        <row r="91">
          <cell r="H91">
            <v>749</v>
          </cell>
          <cell r="M91">
            <v>803</v>
          </cell>
          <cell r="R91">
            <v>8605</v>
          </cell>
          <cell r="Y91">
            <v>3255</v>
          </cell>
          <cell r="AF91">
            <v>3145</v>
          </cell>
        </row>
        <row r="92">
          <cell r="H92">
            <v>605</v>
          </cell>
          <cell r="M92">
            <v>1191</v>
          </cell>
          <cell r="R92">
            <v>7918</v>
          </cell>
          <cell r="Y92">
            <v>2816</v>
          </cell>
          <cell r="AF92">
            <v>6442</v>
          </cell>
        </row>
        <row r="95">
          <cell r="H95">
            <v>591</v>
          </cell>
          <cell r="M95">
            <v>666</v>
          </cell>
          <cell r="R95">
            <v>8118</v>
          </cell>
          <cell r="Y95">
            <v>4056</v>
          </cell>
          <cell r="AF95">
            <v>1350</v>
          </cell>
        </row>
        <row r="96">
          <cell r="H96">
            <v>1015</v>
          </cell>
          <cell r="M96">
            <v>874</v>
          </cell>
          <cell r="R96">
            <v>7118</v>
          </cell>
          <cell r="Y96">
            <v>2639</v>
          </cell>
          <cell r="AF96">
            <v>3593</v>
          </cell>
        </row>
        <row r="97">
          <cell r="H97">
            <v>715</v>
          </cell>
          <cell r="M97">
            <v>855</v>
          </cell>
          <cell r="R97">
            <v>9547</v>
          </cell>
          <cell r="Y97">
            <v>2837</v>
          </cell>
          <cell r="AF97">
            <v>3877</v>
          </cell>
        </row>
        <row r="98">
          <cell r="H98">
            <v>934</v>
          </cell>
          <cell r="M98">
            <v>890</v>
          </cell>
          <cell r="R98">
            <v>8760</v>
          </cell>
          <cell r="Y98">
            <v>2780</v>
          </cell>
          <cell r="AF98">
            <v>3475</v>
          </cell>
        </row>
        <row r="99">
          <cell r="H99">
            <v>591</v>
          </cell>
          <cell r="M99">
            <v>797</v>
          </cell>
          <cell r="R99">
            <v>6297</v>
          </cell>
          <cell r="Y99">
            <v>3151</v>
          </cell>
          <cell r="AF99">
            <v>1598</v>
          </cell>
        </row>
        <row r="102">
          <cell r="H102">
            <v>1140</v>
          </cell>
          <cell r="M102">
            <v>897</v>
          </cell>
          <cell r="R102">
            <v>7709</v>
          </cell>
          <cell r="Y102">
            <v>3119</v>
          </cell>
          <cell r="AF102">
            <v>4070</v>
          </cell>
        </row>
        <row r="103">
          <cell r="H103">
            <v>624</v>
          </cell>
          <cell r="M103">
            <v>841</v>
          </cell>
          <cell r="R103">
            <v>6850</v>
          </cell>
          <cell r="Y103">
            <v>2729</v>
          </cell>
          <cell r="AF103">
            <v>4250</v>
          </cell>
        </row>
        <row r="104">
          <cell r="H104">
            <v>821</v>
          </cell>
          <cell r="M104">
            <v>1053</v>
          </cell>
          <cell r="R104">
            <v>6120</v>
          </cell>
          <cell r="Y104">
            <v>2549</v>
          </cell>
          <cell r="AF104">
            <v>2594</v>
          </cell>
        </row>
        <row r="105">
          <cell r="H105">
            <v>465</v>
          </cell>
          <cell r="M105">
            <v>555</v>
          </cell>
          <cell r="R105">
            <v>7017</v>
          </cell>
          <cell r="Y105">
            <v>2339</v>
          </cell>
          <cell r="AF105">
            <v>4921</v>
          </cell>
        </row>
        <row r="110">
          <cell r="H110">
            <v>507</v>
          </cell>
          <cell r="M110">
            <v>805</v>
          </cell>
          <cell r="R110">
            <v>5463</v>
          </cell>
          <cell r="Y110">
            <v>3558</v>
          </cell>
          <cell r="AF110">
            <v>5488</v>
          </cell>
        </row>
        <row r="111">
          <cell r="H111">
            <v>332</v>
          </cell>
          <cell r="M111">
            <v>557</v>
          </cell>
          <cell r="R111">
            <v>6607</v>
          </cell>
          <cell r="Y111">
            <v>2659</v>
          </cell>
          <cell r="AF111">
            <v>5421</v>
          </cell>
        </row>
        <row r="112">
          <cell r="H112">
            <v>662</v>
          </cell>
          <cell r="M112">
            <v>880</v>
          </cell>
          <cell r="R112">
            <v>7625</v>
          </cell>
          <cell r="Y112">
            <v>2671</v>
          </cell>
          <cell r="AF112">
            <v>2976</v>
          </cell>
        </row>
        <row r="113">
          <cell r="H113">
            <v>758</v>
          </cell>
          <cell r="M113">
            <v>726</v>
          </cell>
          <cell r="R113">
            <v>6405</v>
          </cell>
          <cell r="Y113">
            <v>2872</v>
          </cell>
          <cell r="AF113">
            <v>1644</v>
          </cell>
        </row>
        <row r="114">
          <cell r="H114">
            <v>72</v>
          </cell>
          <cell r="M114"/>
          <cell r="R114" t="str">
            <v>-</v>
          </cell>
          <cell r="Y114">
            <v>0</v>
          </cell>
          <cell r="AF114"/>
        </row>
        <row r="116">
          <cell r="H116">
            <v>820</v>
          </cell>
          <cell r="M116">
            <v>871</v>
          </cell>
          <cell r="R116">
            <v>8095</v>
          </cell>
          <cell r="Y116">
            <v>3236</v>
          </cell>
          <cell r="AF116">
            <v>2008</v>
          </cell>
        </row>
        <row r="117">
          <cell r="H117">
            <v>1309</v>
          </cell>
          <cell r="M117">
            <v>957</v>
          </cell>
          <cell r="R117">
            <v>8871</v>
          </cell>
          <cell r="Y117">
            <v>2683</v>
          </cell>
          <cell r="AF117">
            <v>1655</v>
          </cell>
        </row>
        <row r="118">
          <cell r="H118">
            <v>1006</v>
          </cell>
          <cell r="M118">
            <v>897</v>
          </cell>
          <cell r="R118">
            <v>8384</v>
          </cell>
          <cell r="Y118">
            <v>2971</v>
          </cell>
          <cell r="AF118">
            <v>5627</v>
          </cell>
        </row>
        <row r="119">
          <cell r="H119">
            <v>419</v>
          </cell>
          <cell r="M119">
            <v>1169</v>
          </cell>
          <cell r="R119">
            <v>8178</v>
          </cell>
          <cell r="Y119">
            <v>2356</v>
          </cell>
          <cell r="AF119">
            <v>6263</v>
          </cell>
        </row>
        <row r="120">
          <cell r="H120">
            <v>528</v>
          </cell>
          <cell r="M120">
            <v>764</v>
          </cell>
          <cell r="R120">
            <v>7950</v>
          </cell>
          <cell r="Y120">
            <v>2993</v>
          </cell>
          <cell r="AF120">
            <v>5418</v>
          </cell>
        </row>
        <row r="121">
          <cell r="H121">
            <v>570</v>
          </cell>
          <cell r="M121">
            <v>305</v>
          </cell>
          <cell r="R121">
            <v>4029</v>
          </cell>
          <cell r="Y121">
            <v>509</v>
          </cell>
          <cell r="AF121">
            <v>2226</v>
          </cell>
        </row>
        <row r="123">
          <cell r="H123">
            <v>775</v>
          </cell>
          <cell r="M123">
            <v>764</v>
          </cell>
          <cell r="R123">
            <v>8093</v>
          </cell>
          <cell r="Y123">
            <v>3860</v>
          </cell>
          <cell r="AF123">
            <v>3312</v>
          </cell>
        </row>
        <row r="124">
          <cell r="H124">
            <v>695</v>
          </cell>
          <cell r="M124">
            <v>896</v>
          </cell>
          <cell r="R124">
            <v>7134</v>
          </cell>
          <cell r="Y124">
            <v>2917</v>
          </cell>
          <cell r="AF124">
            <v>6216</v>
          </cell>
        </row>
        <row r="125">
          <cell r="H125">
            <v>916</v>
          </cell>
          <cell r="M125">
            <v>802</v>
          </cell>
          <cell r="R125">
            <v>6866</v>
          </cell>
          <cell r="Y125">
            <v>2901</v>
          </cell>
          <cell r="AF125">
            <v>6312</v>
          </cell>
        </row>
        <row r="126">
          <cell r="H126">
            <v>642</v>
          </cell>
          <cell r="M126">
            <v>882</v>
          </cell>
          <cell r="R126">
            <v>7695</v>
          </cell>
          <cell r="Y126">
            <v>2667</v>
          </cell>
          <cell r="AF126">
            <v>4745</v>
          </cell>
        </row>
        <row r="127">
          <cell r="H127">
            <v>466</v>
          </cell>
          <cell r="M127">
            <v>571</v>
          </cell>
          <cell r="R127">
            <v>7297</v>
          </cell>
          <cell r="Y127">
            <v>2675</v>
          </cell>
          <cell r="AF127">
            <v>1778</v>
          </cell>
        </row>
        <row r="130">
          <cell r="H130">
            <v>975</v>
          </cell>
          <cell r="M130">
            <v>732</v>
          </cell>
          <cell r="R130">
            <v>7462</v>
          </cell>
          <cell r="Y130">
            <v>3811</v>
          </cell>
          <cell r="AF130">
            <v>4492</v>
          </cell>
        </row>
        <row r="131">
          <cell r="H131">
            <v>590</v>
          </cell>
          <cell r="M131">
            <v>716</v>
          </cell>
          <cell r="R131">
            <v>7076</v>
          </cell>
          <cell r="Y131">
            <v>2660</v>
          </cell>
          <cell r="AF131">
            <v>3177</v>
          </cell>
        </row>
        <row r="132">
          <cell r="H132">
            <v>578</v>
          </cell>
          <cell r="M132">
            <v>916</v>
          </cell>
          <cell r="R132">
            <v>8497</v>
          </cell>
          <cell r="Y132">
            <v>3058</v>
          </cell>
          <cell r="AF132">
            <v>1718</v>
          </cell>
        </row>
        <row r="133">
          <cell r="H133">
            <v>889</v>
          </cell>
          <cell r="M133">
            <v>618</v>
          </cell>
          <cell r="R133">
            <v>5077</v>
          </cell>
          <cell r="Y133">
            <v>2687</v>
          </cell>
          <cell r="AF133">
            <v>2519</v>
          </cell>
        </row>
        <row r="134">
          <cell r="H134">
            <v>670</v>
          </cell>
          <cell r="M134">
            <v>856</v>
          </cell>
          <cell r="R134">
            <v>7348</v>
          </cell>
          <cell r="Y134">
            <v>3108</v>
          </cell>
          <cell r="AF134">
            <v>3739</v>
          </cell>
        </row>
        <row r="137">
          <cell r="H137">
            <v>632</v>
          </cell>
          <cell r="M137">
            <v>815</v>
          </cell>
          <cell r="R137">
            <v>5602</v>
          </cell>
          <cell r="Y137">
            <v>3276</v>
          </cell>
          <cell r="AF137">
            <v>2189</v>
          </cell>
        </row>
        <row r="139">
          <cell r="H139">
            <v>337</v>
          </cell>
          <cell r="M139">
            <v>750</v>
          </cell>
          <cell r="R139">
            <v>9646</v>
          </cell>
          <cell r="Y139">
            <v>2947</v>
          </cell>
          <cell r="AF139">
            <v>4723</v>
          </cell>
        </row>
        <row r="140">
          <cell r="H140">
            <v>217</v>
          </cell>
          <cell r="M140">
            <v>693</v>
          </cell>
          <cell r="R140">
            <v>8644</v>
          </cell>
          <cell r="Y140">
            <v>2891</v>
          </cell>
          <cell r="AF140">
            <v>4187</v>
          </cell>
        </row>
        <row r="141">
          <cell r="H141">
            <v>565</v>
          </cell>
          <cell r="M141">
            <v>849</v>
          </cell>
          <cell r="R141">
            <v>8342</v>
          </cell>
          <cell r="Y141">
            <v>2833</v>
          </cell>
          <cell r="AF141">
            <v>3007</v>
          </cell>
        </row>
        <row r="144">
          <cell r="H144">
            <v>628</v>
          </cell>
          <cell r="M144">
            <v>481</v>
          </cell>
          <cell r="R144">
            <v>4619</v>
          </cell>
          <cell r="Y144">
            <v>2900</v>
          </cell>
          <cell r="AF144">
            <v>3875</v>
          </cell>
        </row>
        <row r="145">
          <cell r="H145">
            <v>577</v>
          </cell>
          <cell r="M145">
            <v>820</v>
          </cell>
          <cell r="R145">
            <v>7342</v>
          </cell>
          <cell r="Y145">
            <v>2383</v>
          </cell>
          <cell r="AF145">
            <v>7480</v>
          </cell>
        </row>
        <row r="146">
          <cell r="H146">
            <v>438</v>
          </cell>
          <cell r="M146">
            <v>962</v>
          </cell>
          <cell r="R146">
            <v>7886</v>
          </cell>
          <cell r="Y146">
            <v>2732</v>
          </cell>
          <cell r="AF146">
            <v>7905</v>
          </cell>
        </row>
        <row r="148">
          <cell r="H148">
            <v>583</v>
          </cell>
          <cell r="M148">
            <v>871</v>
          </cell>
          <cell r="R148">
            <v>8464</v>
          </cell>
          <cell r="Y148">
            <v>2757</v>
          </cell>
          <cell r="AF148">
            <v>1456</v>
          </cell>
        </row>
        <row r="151">
          <cell r="H151">
            <v>639</v>
          </cell>
          <cell r="M151">
            <v>863</v>
          </cell>
          <cell r="R151">
            <v>5625</v>
          </cell>
          <cell r="Y151">
            <v>2321</v>
          </cell>
          <cell r="AF151">
            <v>5565</v>
          </cell>
        </row>
        <row r="152">
          <cell r="H152">
            <v>595</v>
          </cell>
          <cell r="M152">
            <v>713</v>
          </cell>
          <cell r="R152">
            <v>6873</v>
          </cell>
          <cell r="Y152">
            <v>2158</v>
          </cell>
          <cell r="AF152">
            <v>4969</v>
          </cell>
        </row>
        <row r="153">
          <cell r="H153">
            <v>1127</v>
          </cell>
          <cell r="M153">
            <v>1016</v>
          </cell>
          <cell r="R153">
            <v>7043</v>
          </cell>
          <cell r="Y153">
            <v>2043</v>
          </cell>
          <cell r="AF153">
            <v>6448</v>
          </cell>
        </row>
        <row r="154">
          <cell r="H154">
            <v>816</v>
          </cell>
          <cell r="M154">
            <v>796</v>
          </cell>
          <cell r="R154">
            <v>6709</v>
          </cell>
          <cell r="Y154">
            <v>1929</v>
          </cell>
          <cell r="AF154">
            <v>7785</v>
          </cell>
        </row>
        <row r="155">
          <cell r="H155">
            <v>610</v>
          </cell>
          <cell r="M155">
            <v>854</v>
          </cell>
          <cell r="R155">
            <v>6877</v>
          </cell>
          <cell r="Y155">
            <v>2337</v>
          </cell>
          <cell r="AF155">
            <v>4968</v>
          </cell>
        </row>
        <row r="159">
          <cell r="H159">
            <v>893</v>
          </cell>
          <cell r="M159">
            <v>631</v>
          </cell>
          <cell r="R159">
            <v>6588</v>
          </cell>
          <cell r="Y159">
            <v>3145</v>
          </cell>
          <cell r="AF159">
            <v>3882</v>
          </cell>
        </row>
        <row r="160">
          <cell r="H160">
            <v>706</v>
          </cell>
          <cell r="M160">
            <v>785</v>
          </cell>
          <cell r="R160">
            <v>6512</v>
          </cell>
          <cell r="Y160">
            <v>2507</v>
          </cell>
          <cell r="AF160">
            <v>4020</v>
          </cell>
        </row>
        <row r="161">
          <cell r="H161">
            <v>572</v>
          </cell>
          <cell r="M161">
            <v>844</v>
          </cell>
          <cell r="R161">
            <v>7029</v>
          </cell>
          <cell r="Y161">
            <v>2414</v>
          </cell>
          <cell r="AF161">
            <v>3468</v>
          </cell>
        </row>
        <row r="162">
          <cell r="H162">
            <v>603</v>
          </cell>
          <cell r="M162">
            <v>740</v>
          </cell>
          <cell r="R162">
            <v>6598</v>
          </cell>
          <cell r="Y162">
            <v>1992</v>
          </cell>
          <cell r="AF162">
            <v>3649</v>
          </cell>
        </row>
        <row r="165">
          <cell r="H165">
            <v>742</v>
          </cell>
          <cell r="M165">
            <v>1030</v>
          </cell>
          <cell r="R165">
            <v>5566</v>
          </cell>
          <cell r="Y165">
            <v>3431</v>
          </cell>
          <cell r="AF165">
            <v>4586</v>
          </cell>
        </row>
        <row r="166">
          <cell r="H166">
            <v>784</v>
          </cell>
          <cell r="M166">
            <v>772</v>
          </cell>
          <cell r="R166">
            <v>5454</v>
          </cell>
          <cell r="Y166">
            <v>2232</v>
          </cell>
          <cell r="AF166">
            <v>4900</v>
          </cell>
        </row>
        <row r="167">
          <cell r="H167">
            <v>591</v>
          </cell>
          <cell r="M167">
            <v>714</v>
          </cell>
          <cell r="R167">
            <v>7152</v>
          </cell>
          <cell r="Y167">
            <v>2317</v>
          </cell>
          <cell r="AF167">
            <v>4367</v>
          </cell>
        </row>
        <row r="169">
          <cell r="H169">
            <v>756</v>
          </cell>
          <cell r="M169">
            <v>709</v>
          </cell>
          <cell r="R169">
            <v>6078</v>
          </cell>
          <cell r="Y169">
            <v>1906</v>
          </cell>
          <cell r="AF169">
            <v>1826</v>
          </cell>
        </row>
        <row r="172">
          <cell r="H172">
            <v>1079</v>
          </cell>
          <cell r="M172">
            <v>605</v>
          </cell>
          <cell r="R172">
            <v>5663</v>
          </cell>
          <cell r="Y172">
            <v>2437</v>
          </cell>
          <cell r="AF172">
            <v>4236</v>
          </cell>
        </row>
        <row r="173">
          <cell r="H173">
            <v>865</v>
          </cell>
          <cell r="M173">
            <v>700</v>
          </cell>
          <cell r="R173">
            <v>8160</v>
          </cell>
          <cell r="Y173">
            <v>2492</v>
          </cell>
          <cell r="AF173">
            <v>4713</v>
          </cell>
        </row>
        <row r="174">
          <cell r="H174">
            <v>1186</v>
          </cell>
          <cell r="M174">
            <v>873</v>
          </cell>
          <cell r="R174">
            <v>7076</v>
          </cell>
          <cell r="Y174">
            <v>2138</v>
          </cell>
          <cell r="AF174">
            <v>4903</v>
          </cell>
        </row>
        <row r="175">
          <cell r="H175">
            <v>706</v>
          </cell>
          <cell r="M175">
            <v>873</v>
          </cell>
          <cell r="R175">
            <v>7776</v>
          </cell>
          <cell r="Y175">
            <v>2397</v>
          </cell>
          <cell r="AF175">
            <v>4122</v>
          </cell>
        </row>
        <row r="176">
          <cell r="H176">
            <v>837</v>
          </cell>
          <cell r="M176">
            <v>834</v>
          </cell>
          <cell r="R176">
            <v>7503</v>
          </cell>
          <cell r="Y176">
            <v>2098</v>
          </cell>
          <cell r="AF176">
            <v>5029</v>
          </cell>
        </row>
        <row r="179">
          <cell r="H179">
            <v>839</v>
          </cell>
          <cell r="M179">
            <v>1019</v>
          </cell>
          <cell r="R179">
            <v>7096</v>
          </cell>
          <cell r="Y179">
            <v>2857</v>
          </cell>
          <cell r="AF179">
            <v>4523</v>
          </cell>
        </row>
        <row r="180">
          <cell r="H180">
            <v>1162</v>
          </cell>
          <cell r="M180">
            <v>1288</v>
          </cell>
          <cell r="R180">
            <v>7399</v>
          </cell>
          <cell r="Y180">
            <v>2649</v>
          </cell>
          <cell r="AF180">
            <v>4778</v>
          </cell>
        </row>
        <row r="181">
          <cell r="H181">
            <v>1097</v>
          </cell>
          <cell r="M181">
            <v>1102</v>
          </cell>
          <cell r="R181">
            <v>7477</v>
          </cell>
          <cell r="Y181">
            <v>2366</v>
          </cell>
          <cell r="AF181">
            <v>4570</v>
          </cell>
        </row>
        <row r="182">
          <cell r="H182">
            <v>1108</v>
          </cell>
          <cell r="M182">
            <v>1150</v>
          </cell>
          <cell r="R182">
            <v>6951</v>
          </cell>
          <cell r="Y182">
            <v>1958</v>
          </cell>
          <cell r="AF182">
            <v>3715</v>
          </cell>
        </row>
        <row r="183">
          <cell r="H183">
            <v>1142</v>
          </cell>
          <cell r="M183">
            <v>1516</v>
          </cell>
          <cell r="R183">
            <v>5895</v>
          </cell>
          <cell r="Y183">
            <v>2144</v>
          </cell>
          <cell r="AF183">
            <v>3028</v>
          </cell>
        </row>
        <row r="186">
          <cell r="H186">
            <v>910</v>
          </cell>
          <cell r="M186">
            <v>810</v>
          </cell>
          <cell r="R186">
            <v>5529</v>
          </cell>
          <cell r="Y186">
            <v>2453</v>
          </cell>
          <cell r="AF186">
            <v>4256</v>
          </cell>
        </row>
        <row r="187">
          <cell r="H187">
            <v>743</v>
          </cell>
          <cell r="M187">
            <v>927</v>
          </cell>
          <cell r="R187">
            <v>7163</v>
          </cell>
          <cell r="Y187">
            <v>2639</v>
          </cell>
          <cell r="AF187">
            <v>4575</v>
          </cell>
        </row>
        <row r="188">
          <cell r="H188">
            <v>520</v>
          </cell>
          <cell r="M188">
            <v>1068</v>
          </cell>
          <cell r="R188">
            <v>8534</v>
          </cell>
          <cell r="Y188">
            <v>2170</v>
          </cell>
          <cell r="AF188">
            <v>4576</v>
          </cell>
        </row>
        <row r="189">
          <cell r="H189">
            <v>933</v>
          </cell>
          <cell r="M189">
            <v>850</v>
          </cell>
          <cell r="R189">
            <v>8535</v>
          </cell>
          <cell r="Y189">
            <v>2476</v>
          </cell>
          <cell r="AF189">
            <v>3485</v>
          </cell>
        </row>
        <row r="190">
          <cell r="H190">
            <v>541</v>
          </cell>
          <cell r="M190">
            <v>928</v>
          </cell>
          <cell r="R190">
            <v>7918</v>
          </cell>
          <cell r="Y190">
            <v>2382</v>
          </cell>
          <cell r="AF190">
            <v>3005</v>
          </cell>
        </row>
        <row r="193">
          <cell r="H193">
            <v>946</v>
          </cell>
          <cell r="M193">
            <v>1164</v>
          </cell>
          <cell r="R193">
            <v>6664</v>
          </cell>
          <cell r="Y193">
            <v>3321</v>
          </cell>
          <cell r="AF193">
            <v>4374</v>
          </cell>
        </row>
        <row r="194">
          <cell r="H194">
            <v>807</v>
          </cell>
          <cell r="M194">
            <v>810</v>
          </cell>
          <cell r="R194">
            <v>7249</v>
          </cell>
          <cell r="Y194">
            <v>2689</v>
          </cell>
          <cell r="AF194">
            <v>3338</v>
          </cell>
        </row>
        <row r="195">
          <cell r="H195">
            <v>782</v>
          </cell>
          <cell r="M195">
            <v>844</v>
          </cell>
          <cell r="R195">
            <v>7381</v>
          </cell>
          <cell r="Y195">
            <v>1894</v>
          </cell>
          <cell r="AF195">
            <v>3452</v>
          </cell>
        </row>
        <row r="196">
          <cell r="H196">
            <v>1188</v>
          </cell>
          <cell r="M196">
            <v>644</v>
          </cell>
          <cell r="R196">
            <v>7035</v>
          </cell>
          <cell r="Y196">
            <v>1922</v>
          </cell>
          <cell r="AF196">
            <v>2392</v>
          </cell>
        </row>
        <row r="197">
          <cell r="H197">
            <v>733</v>
          </cell>
          <cell r="M197">
            <v>887</v>
          </cell>
          <cell r="R197">
            <v>6249</v>
          </cell>
          <cell r="Y197">
            <v>2197</v>
          </cell>
          <cell r="AF197">
            <v>4618</v>
          </cell>
        </row>
        <row r="200">
          <cell r="H200">
            <v>694</v>
          </cell>
          <cell r="M200">
            <v>755</v>
          </cell>
          <cell r="R200">
            <v>6161</v>
          </cell>
          <cell r="Y200">
            <v>3088</v>
          </cell>
          <cell r="AF200">
            <v>4318</v>
          </cell>
        </row>
        <row r="201">
          <cell r="H201">
            <v>862</v>
          </cell>
          <cell r="M201">
            <v>594</v>
          </cell>
          <cell r="R201">
            <v>5697</v>
          </cell>
          <cell r="Y201">
            <v>2556</v>
          </cell>
          <cell r="AF201">
            <v>3943</v>
          </cell>
        </row>
        <row r="202">
          <cell r="H202">
            <v>640</v>
          </cell>
          <cell r="M202">
            <v>739</v>
          </cell>
          <cell r="R202">
            <v>6518</v>
          </cell>
          <cell r="Y202">
            <v>1979</v>
          </cell>
          <cell r="AF202">
            <v>4956</v>
          </cell>
        </row>
        <row r="203">
          <cell r="H203">
            <v>659</v>
          </cell>
          <cell r="M203">
            <v>1001</v>
          </cell>
          <cell r="R203">
            <v>4197</v>
          </cell>
          <cell r="Y203">
            <v>2114</v>
          </cell>
          <cell r="AF203">
            <v>4990</v>
          </cell>
        </row>
        <row r="204">
          <cell r="H204">
            <v>834</v>
          </cell>
          <cell r="M204">
            <v>1117</v>
          </cell>
          <cell r="R204">
            <v>8229</v>
          </cell>
          <cell r="Y204">
            <v>1890</v>
          </cell>
          <cell r="AF204">
            <v>4675</v>
          </cell>
        </row>
        <row r="207">
          <cell r="H207">
            <v>531</v>
          </cell>
          <cell r="M207">
            <v>828</v>
          </cell>
          <cell r="R207">
            <v>6729</v>
          </cell>
          <cell r="Y207">
            <v>2885</v>
          </cell>
          <cell r="AF207">
            <v>4920</v>
          </cell>
        </row>
        <row r="208">
          <cell r="H208">
            <v>947</v>
          </cell>
          <cell r="M208">
            <v>1064</v>
          </cell>
          <cell r="R208">
            <v>7368</v>
          </cell>
          <cell r="Y208">
            <v>1953</v>
          </cell>
          <cell r="AF208">
            <v>4923</v>
          </cell>
        </row>
        <row r="209">
          <cell r="H209">
            <v>645</v>
          </cell>
          <cell r="M209">
            <v>687</v>
          </cell>
          <cell r="R209">
            <v>7867</v>
          </cell>
          <cell r="Y209">
            <v>2684</v>
          </cell>
          <cell r="AF209">
            <v>5044</v>
          </cell>
        </row>
        <row r="210">
          <cell r="H210">
            <v>870</v>
          </cell>
          <cell r="M210">
            <v>812</v>
          </cell>
          <cell r="R210">
            <v>7154</v>
          </cell>
          <cell r="Y210">
            <v>2631</v>
          </cell>
          <cell r="AF210">
            <v>4966</v>
          </cell>
        </row>
        <row r="211">
          <cell r="H211">
            <v>742</v>
          </cell>
          <cell r="M211">
            <v>489</v>
          </cell>
          <cell r="R211">
            <v>8688</v>
          </cell>
          <cell r="Y211">
            <v>2382</v>
          </cell>
          <cell r="AF211">
            <v>4868</v>
          </cell>
        </row>
        <row r="214">
          <cell r="H214">
            <v>747</v>
          </cell>
          <cell r="M214">
            <v>814</v>
          </cell>
          <cell r="R214">
            <v>6071</v>
          </cell>
          <cell r="Y214">
            <v>2977</v>
          </cell>
          <cell r="AF214">
            <v>5125</v>
          </cell>
        </row>
        <row r="215">
          <cell r="H215">
            <v>1158</v>
          </cell>
          <cell r="M215">
            <v>1113</v>
          </cell>
          <cell r="R215">
            <v>6304</v>
          </cell>
          <cell r="Y215">
            <v>2293</v>
          </cell>
          <cell r="AF215">
            <v>5395</v>
          </cell>
        </row>
        <row r="216">
          <cell r="H216">
            <v>718</v>
          </cell>
          <cell r="M216">
            <v>834</v>
          </cell>
          <cell r="R216">
            <v>6027</v>
          </cell>
          <cell r="Y216">
            <v>2024</v>
          </cell>
          <cell r="AF216">
            <v>5215</v>
          </cell>
        </row>
        <row r="217">
          <cell r="H217">
            <v>889</v>
          </cell>
          <cell r="M217">
            <v>831</v>
          </cell>
          <cell r="R217">
            <v>8132</v>
          </cell>
          <cell r="Y217">
            <v>2100</v>
          </cell>
          <cell r="AF217">
            <v>4628</v>
          </cell>
        </row>
        <row r="218">
          <cell r="H218">
            <v>501</v>
          </cell>
          <cell r="M218">
            <v>575</v>
          </cell>
          <cell r="R218">
            <v>6448</v>
          </cell>
          <cell r="Y218">
            <v>2641</v>
          </cell>
          <cell r="AF218">
            <v>4778</v>
          </cell>
        </row>
        <row r="221">
          <cell r="H221">
            <v>957</v>
          </cell>
          <cell r="M221">
            <v>724</v>
          </cell>
          <cell r="R221">
            <v>4980</v>
          </cell>
          <cell r="Y221">
            <v>2196</v>
          </cell>
          <cell r="AF221">
            <v>3784</v>
          </cell>
        </row>
        <row r="222">
          <cell r="H222">
            <v>1212</v>
          </cell>
          <cell r="M222">
            <v>944</v>
          </cell>
          <cell r="R222">
            <v>5597</v>
          </cell>
          <cell r="Y222">
            <v>1795</v>
          </cell>
          <cell r="AF222">
            <v>5116</v>
          </cell>
        </row>
        <row r="223">
          <cell r="H223">
            <v>938</v>
          </cell>
          <cell r="M223">
            <v>1098</v>
          </cell>
          <cell r="R223">
            <v>7459</v>
          </cell>
          <cell r="Y223">
            <v>2126</v>
          </cell>
          <cell r="AF223">
            <v>5218</v>
          </cell>
        </row>
        <row r="224">
          <cell r="H224">
            <v>1124</v>
          </cell>
          <cell r="M224">
            <v>1233</v>
          </cell>
          <cell r="R224">
            <v>4364</v>
          </cell>
          <cell r="Y224">
            <v>1545</v>
          </cell>
          <cell r="AF224">
            <v>4618</v>
          </cell>
        </row>
        <row r="225">
          <cell r="H225">
            <v>668</v>
          </cell>
          <cell r="M225">
            <v>1046</v>
          </cell>
          <cell r="R225">
            <v>5921</v>
          </cell>
          <cell r="Y225">
            <v>1800</v>
          </cell>
          <cell r="AF225">
            <v>3865</v>
          </cell>
        </row>
        <row r="228">
          <cell r="H228">
            <v>1248</v>
          </cell>
          <cell r="M228">
            <v>1410</v>
          </cell>
          <cell r="R228">
            <v>3967</v>
          </cell>
          <cell r="Y228">
            <v>2053</v>
          </cell>
          <cell r="AF228">
            <v>4578</v>
          </cell>
        </row>
        <row r="229">
          <cell r="H229">
            <v>850</v>
          </cell>
          <cell r="M229">
            <v>863</v>
          </cell>
          <cell r="R229">
            <v>5233</v>
          </cell>
          <cell r="Y229">
            <v>1814</v>
          </cell>
          <cell r="AF229">
            <v>5187</v>
          </cell>
        </row>
        <row r="230">
          <cell r="H230">
            <v>652</v>
          </cell>
          <cell r="M230">
            <v>1042</v>
          </cell>
          <cell r="R230">
            <v>5629</v>
          </cell>
          <cell r="Y230">
            <v>2077</v>
          </cell>
          <cell r="AF230">
            <v>5455</v>
          </cell>
        </row>
        <row r="231">
          <cell r="H231">
            <v>1022</v>
          </cell>
          <cell r="M231">
            <v>682</v>
          </cell>
          <cell r="R231">
            <v>5953</v>
          </cell>
          <cell r="Y231">
            <v>1997</v>
          </cell>
          <cell r="AF231">
            <v>5266</v>
          </cell>
        </row>
        <row r="232">
          <cell r="H232">
            <v>558</v>
          </cell>
          <cell r="M232">
            <v>1077</v>
          </cell>
          <cell r="R232">
            <v>5831</v>
          </cell>
          <cell r="Y232">
            <v>1956</v>
          </cell>
          <cell r="AF232">
            <v>4115</v>
          </cell>
        </row>
        <row r="235">
          <cell r="H235">
            <v>1127</v>
          </cell>
          <cell r="M235">
            <v>751</v>
          </cell>
          <cell r="R235">
            <v>5938</v>
          </cell>
          <cell r="Y235">
            <v>2561</v>
          </cell>
          <cell r="AF235">
            <v>4582</v>
          </cell>
        </row>
        <row r="236">
          <cell r="H236">
            <v>699</v>
          </cell>
          <cell r="M236">
            <v>587</v>
          </cell>
          <cell r="R236">
            <v>7154</v>
          </cell>
          <cell r="Y236">
            <v>1686</v>
          </cell>
          <cell r="AF236">
            <v>5483</v>
          </cell>
        </row>
        <row r="237">
          <cell r="H237">
            <v>667</v>
          </cell>
          <cell r="M237">
            <v>555</v>
          </cell>
          <cell r="R237">
            <v>7311</v>
          </cell>
          <cell r="Y237">
            <v>1920</v>
          </cell>
          <cell r="AF237">
            <v>6057</v>
          </cell>
        </row>
        <row r="238">
          <cell r="H238">
            <v>596</v>
          </cell>
          <cell r="M238">
            <v>995</v>
          </cell>
          <cell r="R238">
            <v>7756</v>
          </cell>
          <cell r="Y238">
            <v>2053</v>
          </cell>
          <cell r="AF238">
            <v>5076</v>
          </cell>
        </row>
        <row r="239">
          <cell r="H239">
            <v>289</v>
          </cell>
          <cell r="M239">
            <v>505</v>
          </cell>
          <cell r="R239">
            <v>4999</v>
          </cell>
          <cell r="Y239">
            <v>1770</v>
          </cell>
          <cell r="AF239">
            <v>4111</v>
          </cell>
        </row>
        <row r="242">
          <cell r="H242">
            <v>599</v>
          </cell>
          <cell r="M242">
            <v>512</v>
          </cell>
          <cell r="R242">
            <v>5645</v>
          </cell>
          <cell r="Y242">
            <v>1888</v>
          </cell>
          <cell r="AF242">
            <v>2679</v>
          </cell>
        </row>
        <row r="243">
          <cell r="H243">
            <v>658</v>
          </cell>
          <cell r="M243">
            <v>1170</v>
          </cell>
          <cell r="R243">
            <v>5029</v>
          </cell>
          <cell r="Y243">
            <v>2138</v>
          </cell>
          <cell r="AF243">
            <v>3064</v>
          </cell>
        </row>
        <row r="244">
          <cell r="H244">
            <v>669</v>
          </cell>
          <cell r="M244">
            <v>1064</v>
          </cell>
          <cell r="R244">
            <v>5882</v>
          </cell>
          <cell r="Y244">
            <v>1490</v>
          </cell>
          <cell r="AF244">
            <v>2424</v>
          </cell>
        </row>
        <row r="245">
          <cell r="H245">
            <v>582</v>
          </cell>
          <cell r="M245">
            <v>1006</v>
          </cell>
          <cell r="R245">
            <v>4580</v>
          </cell>
          <cell r="Y245">
            <v>1500</v>
          </cell>
          <cell r="AF245">
            <v>2251</v>
          </cell>
        </row>
        <row r="246">
          <cell r="H246">
            <v>333</v>
          </cell>
          <cell r="M246">
            <v>544</v>
          </cell>
          <cell r="R246">
            <v>5306</v>
          </cell>
          <cell r="Y246">
            <v>1690</v>
          </cell>
          <cell r="AF246">
            <v>1916</v>
          </cell>
        </row>
        <row r="247">
          <cell r="H247">
            <v>0</v>
          </cell>
          <cell r="M247"/>
          <cell r="R247" t="str">
            <v>-</v>
          </cell>
          <cell r="Y247">
            <v>0</v>
          </cell>
          <cell r="AF247"/>
        </row>
        <row r="248">
          <cell r="H248">
            <v>0</v>
          </cell>
          <cell r="M248"/>
          <cell r="R248" t="str">
            <v>-</v>
          </cell>
          <cell r="Y248">
            <v>0</v>
          </cell>
          <cell r="AF248"/>
        </row>
        <row r="249">
          <cell r="H249">
            <v>624</v>
          </cell>
          <cell r="M249">
            <v>434</v>
          </cell>
          <cell r="R249">
            <v>5673</v>
          </cell>
          <cell r="Y249">
            <v>2181</v>
          </cell>
          <cell r="AF249">
            <v>1726</v>
          </cell>
        </row>
        <row r="250">
          <cell r="H250">
            <v>855</v>
          </cell>
          <cell r="M250">
            <v>498</v>
          </cell>
          <cell r="R250">
            <v>4277</v>
          </cell>
          <cell r="Y250">
            <v>2062</v>
          </cell>
          <cell r="AF250">
            <v>3012</v>
          </cell>
        </row>
        <row r="251">
          <cell r="H251">
            <v>566</v>
          </cell>
          <cell r="M251">
            <v>944</v>
          </cell>
          <cell r="R251">
            <v>6898</v>
          </cell>
          <cell r="Y251">
            <v>2182</v>
          </cell>
          <cell r="AF251">
            <v>3956</v>
          </cell>
        </row>
        <row r="252">
          <cell r="H252">
            <v>563</v>
          </cell>
          <cell r="M252">
            <v>815</v>
          </cell>
          <cell r="R252">
            <v>5230</v>
          </cell>
          <cell r="Y252">
            <v>1930</v>
          </cell>
          <cell r="AF252">
            <v>3866</v>
          </cell>
        </row>
        <row r="253">
          <cell r="H253">
            <v>433</v>
          </cell>
          <cell r="M253">
            <v>676</v>
          </cell>
          <cell r="R253">
            <v>8348</v>
          </cell>
          <cell r="Y253">
            <v>2209</v>
          </cell>
          <cell r="AF253">
            <v>1560</v>
          </cell>
        </row>
        <row r="256">
          <cell r="H256">
            <v>428</v>
          </cell>
          <cell r="M256">
            <v>697</v>
          </cell>
          <cell r="R256">
            <v>5665</v>
          </cell>
          <cell r="Y256">
            <v>2834</v>
          </cell>
          <cell r="AF256">
            <v>2430</v>
          </cell>
        </row>
        <row r="257">
          <cell r="H257">
            <v>573</v>
          </cell>
          <cell r="M257">
            <v>1034</v>
          </cell>
          <cell r="R257">
            <v>7217</v>
          </cell>
          <cell r="Y257">
            <v>2310</v>
          </cell>
          <cell r="AF257">
            <v>2158</v>
          </cell>
        </row>
        <row r="258">
          <cell r="H258">
            <v>755</v>
          </cell>
          <cell r="M258">
            <v>1199</v>
          </cell>
          <cell r="R258">
            <v>6476</v>
          </cell>
          <cell r="Y258">
            <v>1949</v>
          </cell>
          <cell r="AF258">
            <v>2504</v>
          </cell>
        </row>
        <row r="259">
          <cell r="H259">
            <v>484</v>
          </cell>
          <cell r="M259">
            <v>1549</v>
          </cell>
          <cell r="R259">
            <v>7629</v>
          </cell>
          <cell r="Y259">
            <v>2030</v>
          </cell>
          <cell r="AF259">
            <v>2914</v>
          </cell>
        </row>
        <row r="260">
          <cell r="H260">
            <v>618</v>
          </cell>
          <cell r="M260">
            <v>1073</v>
          </cell>
          <cell r="R260">
            <v>8517</v>
          </cell>
          <cell r="Y260">
            <v>2532</v>
          </cell>
          <cell r="AF260">
            <v>3692</v>
          </cell>
        </row>
        <row r="263">
          <cell r="H263">
            <v>541</v>
          </cell>
          <cell r="M263">
            <v>932</v>
          </cell>
          <cell r="R263">
            <v>6562</v>
          </cell>
          <cell r="Y263">
            <v>2460</v>
          </cell>
          <cell r="AF263">
            <v>2268</v>
          </cell>
        </row>
        <row r="264">
          <cell r="H264">
            <v>448</v>
          </cell>
          <cell r="M264">
            <v>1069</v>
          </cell>
          <cell r="R264">
            <v>9164</v>
          </cell>
          <cell r="Y264">
            <v>2210</v>
          </cell>
          <cell r="AF264">
            <v>3813</v>
          </cell>
        </row>
        <row r="265">
          <cell r="H265">
            <v>696</v>
          </cell>
          <cell r="M265">
            <v>1033</v>
          </cell>
          <cell r="R265">
            <v>6892</v>
          </cell>
          <cell r="Y265">
            <v>2144</v>
          </cell>
          <cell r="AF265">
            <v>2740</v>
          </cell>
        </row>
        <row r="266">
          <cell r="H266">
            <v>500</v>
          </cell>
          <cell r="M266">
            <v>849</v>
          </cell>
          <cell r="R266">
            <v>8752</v>
          </cell>
          <cell r="Y266">
            <v>2156</v>
          </cell>
          <cell r="AF266">
            <v>3648</v>
          </cell>
        </row>
        <row r="267">
          <cell r="H267">
            <v>530</v>
          </cell>
          <cell r="M267">
            <v>759</v>
          </cell>
          <cell r="R267">
            <v>5815</v>
          </cell>
          <cell r="Y267">
            <v>1996</v>
          </cell>
          <cell r="AF267">
            <v>2008</v>
          </cell>
        </row>
        <row r="270">
          <cell r="H270">
            <v>491</v>
          </cell>
          <cell r="M270">
            <v>600</v>
          </cell>
          <cell r="R270">
            <v>7410</v>
          </cell>
          <cell r="Y270">
            <v>2519</v>
          </cell>
          <cell r="AF270">
            <v>4569</v>
          </cell>
        </row>
        <row r="271">
          <cell r="H271">
            <v>513</v>
          </cell>
          <cell r="M271">
            <v>581</v>
          </cell>
          <cell r="R271">
            <v>6039</v>
          </cell>
          <cell r="Y271">
            <v>2103</v>
          </cell>
          <cell r="AF271">
            <v>3200</v>
          </cell>
        </row>
        <row r="272">
          <cell r="H272">
            <v>647</v>
          </cell>
          <cell r="M272">
            <v>681</v>
          </cell>
          <cell r="R272">
            <v>7700</v>
          </cell>
          <cell r="Y272">
            <v>1886</v>
          </cell>
          <cell r="AF272">
            <v>2127</v>
          </cell>
        </row>
        <row r="273">
          <cell r="H273">
            <v>426</v>
          </cell>
          <cell r="M273">
            <v>697</v>
          </cell>
          <cell r="R273">
            <v>6658</v>
          </cell>
          <cell r="Y273">
            <v>1796</v>
          </cell>
          <cell r="AF273">
            <v>3770</v>
          </cell>
        </row>
        <row r="274">
          <cell r="H274">
            <v>666</v>
          </cell>
          <cell r="M274">
            <v>418</v>
          </cell>
          <cell r="R274">
            <v>4372</v>
          </cell>
          <cell r="Y274">
            <v>1516</v>
          </cell>
          <cell r="AF274">
            <v>4661</v>
          </cell>
        </row>
        <row r="277">
          <cell r="H277">
            <v>818</v>
          </cell>
          <cell r="M277">
            <v>432</v>
          </cell>
          <cell r="R277">
            <v>7869</v>
          </cell>
          <cell r="Y277">
            <v>2967</v>
          </cell>
          <cell r="AF277">
            <v>3810</v>
          </cell>
        </row>
        <row r="278">
          <cell r="H278">
            <v>948</v>
          </cell>
          <cell r="M278">
            <v>1125</v>
          </cell>
          <cell r="R278">
            <v>8460</v>
          </cell>
          <cell r="Y278">
            <v>2309</v>
          </cell>
          <cell r="AF278">
            <v>2892</v>
          </cell>
        </row>
        <row r="279">
          <cell r="H279">
            <v>716</v>
          </cell>
          <cell r="M279">
            <v>917</v>
          </cell>
          <cell r="R279">
            <v>8343</v>
          </cell>
          <cell r="Y279">
            <v>2427</v>
          </cell>
          <cell r="AF279">
            <v>6276</v>
          </cell>
        </row>
        <row r="280">
          <cell r="H280">
            <v>619</v>
          </cell>
          <cell r="M280">
            <v>955</v>
          </cell>
          <cell r="R280">
            <v>9274</v>
          </cell>
          <cell r="Y280">
            <v>2139</v>
          </cell>
          <cell r="AF280">
            <v>4475</v>
          </cell>
        </row>
        <row r="281">
          <cell r="H281">
            <v>809</v>
          </cell>
          <cell r="M281">
            <v>1204</v>
          </cell>
          <cell r="R281">
            <v>8536</v>
          </cell>
          <cell r="Y281">
            <v>2250</v>
          </cell>
          <cell r="AF281">
            <v>5608</v>
          </cell>
        </row>
        <row r="284">
          <cell r="H284">
            <v>798</v>
          </cell>
          <cell r="M284">
            <v>1137</v>
          </cell>
          <cell r="R284">
            <v>6523</v>
          </cell>
          <cell r="Y284">
            <v>3269</v>
          </cell>
          <cell r="AF284">
            <v>5604</v>
          </cell>
        </row>
        <row r="285">
          <cell r="H285">
            <v>529</v>
          </cell>
          <cell r="M285">
            <v>440</v>
          </cell>
          <cell r="R285">
            <v>7158</v>
          </cell>
          <cell r="Y285">
            <v>2471</v>
          </cell>
          <cell r="AF285">
            <v>3525</v>
          </cell>
        </row>
        <row r="286">
          <cell r="H286">
            <v>702</v>
          </cell>
          <cell r="M286">
            <v>891</v>
          </cell>
          <cell r="R286">
            <v>6730</v>
          </cell>
          <cell r="Y286">
            <v>2181</v>
          </cell>
          <cell r="AF286">
            <v>4451</v>
          </cell>
        </row>
        <row r="287">
          <cell r="H287">
            <v>805</v>
          </cell>
          <cell r="M287">
            <v>600</v>
          </cell>
          <cell r="R287">
            <v>6929</v>
          </cell>
          <cell r="Y287">
            <v>2031</v>
          </cell>
          <cell r="AF287">
            <v>5563</v>
          </cell>
        </row>
        <row r="288">
          <cell r="H288">
            <v>728</v>
          </cell>
          <cell r="M288">
            <v>442</v>
          </cell>
          <cell r="R288">
            <v>5930</v>
          </cell>
          <cell r="Y288">
            <v>2016</v>
          </cell>
          <cell r="AF288">
            <v>4525</v>
          </cell>
        </row>
        <row r="291">
          <cell r="H291">
            <v>643</v>
          </cell>
          <cell r="M291">
            <v>616</v>
          </cell>
          <cell r="R291">
            <v>7653</v>
          </cell>
          <cell r="Y291">
            <v>2750</v>
          </cell>
          <cell r="AF291">
            <v>5679</v>
          </cell>
        </row>
        <row r="292">
          <cell r="H292">
            <v>621</v>
          </cell>
          <cell r="M292">
            <v>1074</v>
          </cell>
          <cell r="R292">
            <v>5769</v>
          </cell>
          <cell r="Y292">
            <v>2404</v>
          </cell>
          <cell r="AF292">
            <v>6286</v>
          </cell>
        </row>
        <row r="294">
          <cell r="H294">
            <v>682</v>
          </cell>
          <cell r="M294">
            <v>733</v>
          </cell>
          <cell r="R294">
            <v>9001</v>
          </cell>
          <cell r="Y294">
            <v>2752</v>
          </cell>
          <cell r="AF294">
            <v>4711</v>
          </cell>
        </row>
        <row r="295">
          <cell r="H295">
            <v>907</v>
          </cell>
          <cell r="M295">
            <v>913</v>
          </cell>
          <cell r="R295">
            <v>6335</v>
          </cell>
          <cell r="Y295">
            <v>2382</v>
          </cell>
          <cell r="AF295">
            <v>2340</v>
          </cell>
        </row>
        <row r="298">
          <cell r="H298">
            <v>632</v>
          </cell>
          <cell r="M298">
            <v>704</v>
          </cell>
          <cell r="R298">
            <v>7538</v>
          </cell>
          <cell r="Y298">
            <v>3085</v>
          </cell>
          <cell r="AF298">
            <v>3584</v>
          </cell>
        </row>
        <row r="299">
          <cell r="H299">
            <v>636</v>
          </cell>
          <cell r="M299">
            <v>880</v>
          </cell>
          <cell r="R299">
            <v>4124</v>
          </cell>
          <cell r="Y299">
            <v>1889</v>
          </cell>
          <cell r="AF299">
            <v>5369</v>
          </cell>
        </row>
        <row r="300">
          <cell r="H300">
            <v>764</v>
          </cell>
          <cell r="M300">
            <v>1087</v>
          </cell>
          <cell r="R300">
            <v>6389</v>
          </cell>
          <cell r="Y300">
            <v>2329</v>
          </cell>
          <cell r="AF300">
            <v>5649</v>
          </cell>
        </row>
        <row r="301">
          <cell r="H301">
            <v>877</v>
          </cell>
          <cell r="M301">
            <v>1276</v>
          </cell>
          <cell r="R301">
            <v>6662</v>
          </cell>
          <cell r="Y301">
            <v>2192</v>
          </cell>
          <cell r="AF301">
            <v>6175</v>
          </cell>
        </row>
        <row r="302">
          <cell r="H302">
            <v>725</v>
          </cell>
          <cell r="M302">
            <v>1164</v>
          </cell>
          <cell r="R302">
            <v>7638</v>
          </cell>
          <cell r="Y302">
            <v>2136</v>
          </cell>
          <cell r="AF302">
            <v>3430</v>
          </cell>
        </row>
        <row r="303">
          <cell r="H303">
            <v>30</v>
          </cell>
          <cell r="M303">
            <v>1100</v>
          </cell>
          <cell r="R303">
            <v>2262</v>
          </cell>
          <cell r="Y303">
            <v>418</v>
          </cell>
          <cell r="AF303">
            <v>4078</v>
          </cell>
        </row>
        <row r="305">
          <cell r="H305">
            <v>1004</v>
          </cell>
          <cell r="M305">
            <v>1203</v>
          </cell>
          <cell r="R305">
            <v>9418</v>
          </cell>
          <cell r="Y305">
            <v>3206</v>
          </cell>
          <cell r="AF305">
            <v>8453</v>
          </cell>
        </row>
        <row r="306">
          <cell r="H306">
            <v>901</v>
          </cell>
          <cell r="M306">
            <v>978</v>
          </cell>
          <cell r="R306">
            <v>7351</v>
          </cell>
          <cell r="Y306">
            <v>2019</v>
          </cell>
          <cell r="AF306">
            <v>7632</v>
          </cell>
        </row>
        <row r="307">
          <cell r="H307">
            <v>823</v>
          </cell>
          <cell r="M307">
            <v>1432</v>
          </cell>
          <cell r="R307">
            <v>7728</v>
          </cell>
          <cell r="Y307">
            <v>2362</v>
          </cell>
          <cell r="AF307">
            <v>5524</v>
          </cell>
        </row>
        <row r="308">
          <cell r="H308">
            <v>780</v>
          </cell>
          <cell r="M308">
            <v>1302</v>
          </cell>
          <cell r="R308">
            <v>8110</v>
          </cell>
          <cell r="Y308">
            <v>2202</v>
          </cell>
          <cell r="AF308">
            <v>8681</v>
          </cell>
        </row>
        <row r="309">
          <cell r="H309">
            <v>623</v>
          </cell>
          <cell r="M309">
            <v>1013</v>
          </cell>
          <cell r="R309">
            <v>8446</v>
          </cell>
          <cell r="Y309">
            <v>2187</v>
          </cell>
          <cell r="AF309">
            <v>8307</v>
          </cell>
        </row>
        <row r="310">
          <cell r="H310">
            <v>195</v>
          </cell>
          <cell r="M310">
            <v>806</v>
          </cell>
          <cell r="R310">
            <v>3562</v>
          </cell>
          <cell r="Y310">
            <v>772</v>
          </cell>
          <cell r="AF310">
            <v>2396</v>
          </cell>
        </row>
        <row r="312">
          <cell r="H312">
            <v>804</v>
          </cell>
          <cell r="M312">
            <v>1206</v>
          </cell>
          <cell r="R312">
            <v>8572</v>
          </cell>
          <cell r="Y312">
            <v>3316</v>
          </cell>
          <cell r="AF312">
            <v>7622</v>
          </cell>
        </row>
        <row r="313">
          <cell r="H313">
            <v>854</v>
          </cell>
          <cell r="M313">
            <v>1010</v>
          </cell>
          <cell r="R313">
            <v>6126</v>
          </cell>
          <cell r="Y313">
            <v>2137</v>
          </cell>
          <cell r="AF313">
            <v>6141</v>
          </cell>
        </row>
        <row r="314">
          <cell r="H314">
            <v>678</v>
          </cell>
          <cell r="M314">
            <v>1134</v>
          </cell>
          <cell r="R314">
            <v>7216</v>
          </cell>
          <cell r="Y314">
            <v>2666</v>
          </cell>
          <cell r="AF314">
            <v>5416</v>
          </cell>
        </row>
        <row r="315">
          <cell r="H315">
            <v>671</v>
          </cell>
          <cell r="M315">
            <v>1154</v>
          </cell>
          <cell r="R315">
            <v>7111</v>
          </cell>
          <cell r="Y315">
            <v>2308</v>
          </cell>
          <cell r="AF315">
            <v>6438</v>
          </cell>
        </row>
        <row r="316">
          <cell r="H316">
            <v>506</v>
          </cell>
          <cell r="M316">
            <v>1016</v>
          </cell>
          <cell r="R316">
            <v>6846</v>
          </cell>
          <cell r="Y316">
            <v>2382</v>
          </cell>
          <cell r="AF316">
            <v>7645</v>
          </cell>
        </row>
        <row r="319">
          <cell r="H319">
            <v>763</v>
          </cell>
          <cell r="M319">
            <v>1407</v>
          </cell>
          <cell r="R319">
            <v>7889</v>
          </cell>
          <cell r="Y319">
            <v>3655</v>
          </cell>
          <cell r="AF319">
            <v>4224</v>
          </cell>
        </row>
        <row r="320">
          <cell r="H320">
            <v>1133</v>
          </cell>
          <cell r="M320">
            <v>1161</v>
          </cell>
          <cell r="R320">
            <v>8054</v>
          </cell>
          <cell r="Y320">
            <v>2906</v>
          </cell>
          <cell r="AF320">
            <v>5332</v>
          </cell>
        </row>
        <row r="321">
          <cell r="H321">
            <v>572</v>
          </cell>
          <cell r="M321">
            <v>664</v>
          </cell>
          <cell r="R321">
            <v>8567</v>
          </cell>
          <cell r="Y321">
            <v>2991</v>
          </cell>
          <cell r="AF321">
            <v>5559</v>
          </cell>
        </row>
        <row r="323">
          <cell r="H323">
            <v>1070</v>
          </cell>
          <cell r="M323">
            <v>897</v>
          </cell>
          <cell r="R323">
            <v>6919</v>
          </cell>
          <cell r="Y323">
            <v>2798</v>
          </cell>
          <cell r="AF323">
            <v>6722</v>
          </cell>
        </row>
        <row r="324">
          <cell r="H324">
            <v>229</v>
          </cell>
          <cell r="M324">
            <v>816</v>
          </cell>
          <cell r="R324">
            <v>2178</v>
          </cell>
          <cell r="Y324">
            <v>845</v>
          </cell>
          <cell r="AF324">
            <v>2910</v>
          </cell>
        </row>
        <row r="326">
          <cell r="H326">
            <v>616</v>
          </cell>
          <cell r="M326">
            <v>959</v>
          </cell>
          <cell r="R326">
            <v>9250</v>
          </cell>
          <cell r="Y326">
            <v>3677</v>
          </cell>
          <cell r="AF326">
            <v>4215</v>
          </cell>
        </row>
        <row r="327">
          <cell r="H327">
            <v>843</v>
          </cell>
          <cell r="M327">
            <v>1186</v>
          </cell>
          <cell r="R327">
            <v>9525</v>
          </cell>
          <cell r="Y327">
            <v>3073</v>
          </cell>
          <cell r="AF327">
            <v>6462</v>
          </cell>
        </row>
        <row r="328">
          <cell r="H328">
            <v>624</v>
          </cell>
          <cell r="M328">
            <v>1295</v>
          </cell>
          <cell r="R328">
            <v>7738</v>
          </cell>
          <cell r="Y328">
            <v>2805</v>
          </cell>
          <cell r="AF328">
            <v>4566</v>
          </cell>
        </row>
        <row r="329">
          <cell r="H329">
            <v>779</v>
          </cell>
          <cell r="M329">
            <v>1423</v>
          </cell>
          <cell r="R329">
            <v>10585</v>
          </cell>
          <cell r="Y329">
            <v>2533</v>
          </cell>
          <cell r="AF329">
            <v>3342</v>
          </cell>
        </row>
        <row r="330">
          <cell r="H330">
            <v>734</v>
          </cell>
          <cell r="M330">
            <v>1246</v>
          </cell>
          <cell r="R330">
            <v>10966</v>
          </cell>
          <cell r="Y330">
            <v>3192</v>
          </cell>
          <cell r="AF330">
            <v>4094</v>
          </cell>
        </row>
        <row r="331">
          <cell r="H331">
            <v>220</v>
          </cell>
          <cell r="M331">
            <v>1374</v>
          </cell>
          <cell r="R331">
            <v>2657</v>
          </cell>
          <cell r="Y331">
            <v>1067</v>
          </cell>
          <cell r="AF331">
            <v>2878</v>
          </cell>
        </row>
        <row r="333">
          <cell r="H333">
            <v>885</v>
          </cell>
          <cell r="M333">
            <v>1504</v>
          </cell>
          <cell r="R333">
            <v>11537</v>
          </cell>
          <cell r="Y333">
            <v>3680</v>
          </cell>
          <cell r="AF333">
            <v>3821</v>
          </cell>
        </row>
        <row r="334">
          <cell r="H334">
            <v>937</v>
          </cell>
          <cell r="M334">
            <v>1506</v>
          </cell>
          <cell r="R334">
            <v>10114</v>
          </cell>
          <cell r="Y334">
            <v>2981</v>
          </cell>
          <cell r="AF334">
            <v>6186</v>
          </cell>
        </row>
        <row r="335">
          <cell r="H335">
            <v>790</v>
          </cell>
          <cell r="M335">
            <v>1311</v>
          </cell>
          <cell r="R335">
            <v>11907</v>
          </cell>
          <cell r="Y335">
            <v>2750</v>
          </cell>
          <cell r="AF335">
            <v>4727</v>
          </cell>
        </row>
        <row r="336">
          <cell r="H336">
            <v>976</v>
          </cell>
          <cell r="M336">
            <v>1220</v>
          </cell>
          <cell r="R336">
            <v>6627</v>
          </cell>
          <cell r="Y336">
            <v>2525</v>
          </cell>
          <cell r="AF336">
            <v>4088</v>
          </cell>
        </row>
        <row r="337">
          <cell r="H337">
            <v>638</v>
          </cell>
          <cell r="M337">
            <v>1102</v>
          </cell>
          <cell r="R337">
            <v>6882</v>
          </cell>
          <cell r="Y337">
            <v>3426</v>
          </cell>
          <cell r="AF337">
            <v>3122</v>
          </cell>
        </row>
        <row r="338">
          <cell r="H338">
            <v>159</v>
          </cell>
          <cell r="M338">
            <v>587</v>
          </cell>
          <cell r="R338">
            <v>1964</v>
          </cell>
          <cell r="Y338">
            <v>894</v>
          </cell>
          <cell r="AF338">
            <v>2133</v>
          </cell>
        </row>
        <row r="340">
          <cell r="H340">
            <v>770</v>
          </cell>
          <cell r="M340">
            <v>1152</v>
          </cell>
          <cell r="R340">
            <v>11432</v>
          </cell>
          <cell r="Y340">
            <v>3405</v>
          </cell>
          <cell r="AF340">
            <v>3809</v>
          </cell>
        </row>
        <row r="341">
          <cell r="H341">
            <v>903</v>
          </cell>
          <cell r="M341">
            <v>1309</v>
          </cell>
          <cell r="R341">
            <v>7258</v>
          </cell>
          <cell r="Y341">
            <v>3056</v>
          </cell>
          <cell r="AF341">
            <v>6525</v>
          </cell>
        </row>
        <row r="342">
          <cell r="H342">
            <v>771</v>
          </cell>
          <cell r="M342">
            <v>1054</v>
          </cell>
          <cell r="R342">
            <v>8472</v>
          </cell>
          <cell r="Y342">
            <v>3078</v>
          </cell>
          <cell r="AF342">
            <v>4284</v>
          </cell>
        </row>
        <row r="343">
          <cell r="H343">
            <v>723</v>
          </cell>
          <cell r="M343">
            <v>1116</v>
          </cell>
          <cell r="R343">
            <v>7468</v>
          </cell>
          <cell r="Y343">
            <v>3253</v>
          </cell>
          <cell r="AF343">
            <v>7263</v>
          </cell>
        </row>
        <row r="344">
          <cell r="H344">
            <v>670</v>
          </cell>
          <cell r="M344">
            <v>912</v>
          </cell>
          <cell r="R344">
            <v>9359</v>
          </cell>
          <cell r="Y344">
            <v>3513</v>
          </cell>
          <cell r="AF344">
            <v>3118</v>
          </cell>
        </row>
        <row r="345">
          <cell r="H345">
            <v>1</v>
          </cell>
          <cell r="M345">
            <v>373</v>
          </cell>
          <cell r="R345">
            <v>2380</v>
          </cell>
          <cell r="Y345">
            <v>1103</v>
          </cell>
          <cell r="AF345">
            <v>2742</v>
          </cell>
        </row>
        <row r="347">
          <cell r="H347">
            <v>1050</v>
          </cell>
          <cell r="M347">
            <v>1230</v>
          </cell>
          <cell r="R347">
            <v>10486</v>
          </cell>
          <cell r="Y347">
            <v>4521</v>
          </cell>
          <cell r="AF347">
            <v>10660</v>
          </cell>
        </row>
        <row r="348">
          <cell r="H348">
            <v>916</v>
          </cell>
          <cell r="M348">
            <v>1405</v>
          </cell>
          <cell r="R348">
            <v>9337</v>
          </cell>
          <cell r="Y348">
            <v>3180</v>
          </cell>
          <cell r="AF348">
            <v>5459</v>
          </cell>
        </row>
        <row r="349">
          <cell r="H349">
            <v>678</v>
          </cell>
          <cell r="M349">
            <v>1183</v>
          </cell>
          <cell r="R349">
            <v>12021</v>
          </cell>
          <cell r="Y349">
            <v>3274</v>
          </cell>
          <cell r="AF349">
            <v>7633</v>
          </cell>
        </row>
        <row r="350">
          <cell r="H350">
            <v>840</v>
          </cell>
          <cell r="M350">
            <v>1135</v>
          </cell>
          <cell r="R350">
            <v>10419</v>
          </cell>
          <cell r="Y350">
            <v>3097</v>
          </cell>
          <cell r="AF350">
            <v>10020</v>
          </cell>
        </row>
        <row r="351">
          <cell r="H351">
            <v>959</v>
          </cell>
          <cell r="M351">
            <v>1040</v>
          </cell>
          <cell r="R351">
            <v>11379</v>
          </cell>
          <cell r="Y351">
            <v>3229</v>
          </cell>
          <cell r="AF351">
            <v>8822</v>
          </cell>
        </row>
        <row r="352">
          <cell r="H352">
            <v>144</v>
          </cell>
          <cell r="M352">
            <v>818</v>
          </cell>
          <cell r="R352">
            <v>14569</v>
          </cell>
          <cell r="Y352">
            <v>2789</v>
          </cell>
          <cell r="AF352">
            <v>5662</v>
          </cell>
        </row>
        <row r="354">
          <cell r="H354">
            <v>977</v>
          </cell>
          <cell r="M354">
            <v>1439</v>
          </cell>
          <cell r="R354">
            <v>11977</v>
          </cell>
          <cell r="Y354">
            <v>3845</v>
          </cell>
          <cell r="AF354">
            <v>6208</v>
          </cell>
        </row>
        <row r="355">
          <cell r="H355">
            <v>786</v>
          </cell>
          <cell r="M355">
            <v>1299</v>
          </cell>
          <cell r="R355">
            <v>11211</v>
          </cell>
          <cell r="Y355">
            <v>4060</v>
          </cell>
          <cell r="AF355">
            <v>7954</v>
          </cell>
        </row>
        <row r="356">
          <cell r="H356">
            <v>733</v>
          </cell>
          <cell r="M356">
            <v>1211</v>
          </cell>
          <cell r="R356">
            <v>12198</v>
          </cell>
          <cell r="Y356">
            <v>3100</v>
          </cell>
          <cell r="AF356">
            <v>7437</v>
          </cell>
        </row>
        <row r="357">
          <cell r="H357">
            <v>645</v>
          </cell>
          <cell r="M357">
            <v>1178</v>
          </cell>
          <cell r="R357">
            <v>8400</v>
          </cell>
          <cell r="Y357">
            <v>2885</v>
          </cell>
          <cell r="AF357">
            <v>12443</v>
          </cell>
        </row>
        <row r="358">
          <cell r="H358">
            <v>1110</v>
          </cell>
          <cell r="M358">
            <v>1606</v>
          </cell>
          <cell r="R358">
            <v>10844</v>
          </cell>
          <cell r="Y358">
            <v>3651</v>
          </cell>
          <cell r="AF358">
            <v>10436</v>
          </cell>
        </row>
        <row r="361">
          <cell r="H361">
            <v>1016</v>
          </cell>
          <cell r="M361">
            <v>1325</v>
          </cell>
          <cell r="R361">
            <v>11388</v>
          </cell>
          <cell r="Y361">
            <v>5453</v>
          </cell>
          <cell r="AF361">
            <v>9999</v>
          </cell>
        </row>
        <row r="362">
          <cell r="H362">
            <v>948</v>
          </cell>
          <cell r="M362">
            <v>1259</v>
          </cell>
          <cell r="R362">
            <v>9048</v>
          </cell>
          <cell r="Y362">
            <v>3457</v>
          </cell>
          <cell r="AF362">
            <v>15592</v>
          </cell>
        </row>
        <row r="363">
          <cell r="H363">
            <v>771</v>
          </cell>
          <cell r="M363">
            <v>906</v>
          </cell>
          <cell r="R363">
            <v>11183</v>
          </cell>
          <cell r="Y363">
            <v>4299</v>
          </cell>
          <cell r="AF363">
            <v>15549</v>
          </cell>
        </row>
        <row r="364">
          <cell r="H364">
            <v>1022</v>
          </cell>
          <cell r="M364">
            <v>1159</v>
          </cell>
          <cell r="R364">
            <v>9780</v>
          </cell>
          <cell r="Y364">
            <v>3913</v>
          </cell>
          <cell r="AF364">
            <v>10923</v>
          </cell>
        </row>
        <row r="365">
          <cell r="H365">
            <v>609</v>
          </cell>
          <cell r="M365">
            <v>1092</v>
          </cell>
          <cell r="R365">
            <v>13442</v>
          </cell>
          <cell r="Y365">
            <v>4434</v>
          </cell>
          <cell r="AF365">
            <v>8129</v>
          </cell>
        </row>
        <row r="366">
          <cell r="H366">
            <v>137</v>
          </cell>
          <cell r="M366">
            <v>586</v>
          </cell>
          <cell r="R366">
            <v>13425</v>
          </cell>
          <cell r="Y366">
            <v>3735</v>
          </cell>
          <cell r="AF366">
            <v>1426</v>
          </cell>
        </row>
        <row r="368">
          <cell r="H368">
            <v>406</v>
          </cell>
          <cell r="M368">
            <v>790</v>
          </cell>
          <cell r="R368">
            <v>11384</v>
          </cell>
          <cell r="Y368">
            <v>5808</v>
          </cell>
          <cell r="AF368">
            <v>7243</v>
          </cell>
        </row>
        <row r="369">
          <cell r="H369">
            <v>906</v>
          </cell>
          <cell r="M369">
            <v>1237</v>
          </cell>
          <cell r="R369">
            <v>11601</v>
          </cell>
          <cell r="Y369">
            <v>4117</v>
          </cell>
          <cell r="AF369">
            <v>6989</v>
          </cell>
        </row>
        <row r="370">
          <cell r="H370">
            <v>764</v>
          </cell>
          <cell r="M370">
            <v>1069</v>
          </cell>
          <cell r="R370">
            <v>15456</v>
          </cell>
          <cell r="Y370">
            <v>3268</v>
          </cell>
          <cell r="AF370">
            <v>4912</v>
          </cell>
        </row>
        <row r="371">
          <cell r="H371">
            <v>866</v>
          </cell>
          <cell r="M371">
            <v>1000</v>
          </cell>
          <cell r="R371">
            <v>3481</v>
          </cell>
          <cell r="Y371">
            <v>2523</v>
          </cell>
          <cell r="AF371">
            <v>5772</v>
          </cell>
        </row>
        <row r="372">
          <cell r="H372">
            <v>346</v>
          </cell>
          <cell r="M372">
            <v>319</v>
          </cell>
          <cell r="R372">
            <v>1402</v>
          </cell>
          <cell r="Y372">
            <v>887</v>
          </cell>
          <cell r="AF372">
            <v>963</v>
          </cell>
        </row>
        <row r="378">
          <cell r="H378">
            <v>237</v>
          </cell>
          <cell r="M378">
            <v>271</v>
          </cell>
          <cell r="R378">
            <v>4714</v>
          </cell>
          <cell r="Y378">
            <v>2862</v>
          </cell>
          <cell r="AF378"/>
        </row>
        <row r="379">
          <cell r="H379">
            <v>3</v>
          </cell>
          <cell r="M379"/>
          <cell r="R379" t="str">
            <v>-</v>
          </cell>
          <cell r="Y379">
            <v>0</v>
          </cell>
          <cell r="AF379"/>
        </row>
      </sheetData>
      <sheetData sheetId="2"/>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hiteboard"/>
      <sheetName val="Tagesübersicht"/>
      <sheetName val="Bartolo 1100"/>
      <sheetName val="Cilas 1200"/>
      <sheetName val="N.N. 1310"/>
      <sheetName val="Keller 5200+5300+5500"/>
      <sheetName val="Gmelin 5400"/>
    </sheetNames>
    <sheetDataSet>
      <sheetData sheetId="0"/>
      <sheetData sheetId="1">
        <row r="19">
          <cell r="G19">
            <v>203</v>
          </cell>
          <cell r="S19">
            <v>1094</v>
          </cell>
          <cell r="AB19">
            <v>6896</v>
          </cell>
          <cell r="AI19">
            <v>5425</v>
          </cell>
          <cell r="AU19"/>
        </row>
        <row r="20">
          <cell r="G20">
            <v>460</v>
          </cell>
          <cell r="S20">
            <v>864</v>
          </cell>
          <cell r="AB20">
            <v>10467</v>
          </cell>
          <cell r="AI20">
            <v>2589</v>
          </cell>
          <cell r="AU20"/>
        </row>
        <row r="21">
          <cell r="G21">
            <v>285</v>
          </cell>
          <cell r="S21">
            <v>1111</v>
          </cell>
          <cell r="AB21">
            <v>11888</v>
          </cell>
          <cell r="AI21">
            <v>2635</v>
          </cell>
          <cell r="AU21"/>
        </row>
        <row r="24">
          <cell r="G24">
            <v>697</v>
          </cell>
          <cell r="S24">
            <v>966</v>
          </cell>
          <cell r="AB24">
            <v>8468</v>
          </cell>
          <cell r="AI24">
            <v>2846</v>
          </cell>
          <cell r="AU24">
            <v>3162</v>
          </cell>
        </row>
        <row r="25">
          <cell r="G25">
            <v>744</v>
          </cell>
          <cell r="S25">
            <v>790</v>
          </cell>
          <cell r="AB25">
            <v>10497</v>
          </cell>
          <cell r="AI25">
            <v>2666</v>
          </cell>
          <cell r="AU25">
            <v>6865</v>
          </cell>
        </row>
        <row r="26">
          <cell r="G26">
            <v>902</v>
          </cell>
          <cell r="S26">
            <v>930</v>
          </cell>
          <cell r="AB26">
            <v>9795</v>
          </cell>
          <cell r="AI26">
            <v>2418</v>
          </cell>
          <cell r="AU26">
            <v>4749</v>
          </cell>
        </row>
        <row r="27">
          <cell r="G27">
            <v>873</v>
          </cell>
          <cell r="S27">
            <v>1213</v>
          </cell>
          <cell r="AB27">
            <v>9755</v>
          </cell>
          <cell r="AI27">
            <v>2551</v>
          </cell>
          <cell r="AU27">
            <v>5532</v>
          </cell>
        </row>
        <row r="28">
          <cell r="G28">
            <v>944</v>
          </cell>
          <cell r="S28">
            <v>1716</v>
          </cell>
          <cell r="AB28">
            <v>9871</v>
          </cell>
          <cell r="AI28">
            <v>2942</v>
          </cell>
          <cell r="AU28">
            <v>6170</v>
          </cell>
        </row>
        <row r="31">
          <cell r="G31">
            <v>695</v>
          </cell>
          <cell r="S31">
            <v>950</v>
          </cell>
          <cell r="AB31">
            <v>8894</v>
          </cell>
          <cell r="AI31">
            <v>3580</v>
          </cell>
          <cell r="AU31">
            <v>4330</v>
          </cell>
        </row>
        <row r="32">
          <cell r="G32">
            <v>935</v>
          </cell>
          <cell r="S32">
            <v>613</v>
          </cell>
          <cell r="AB32">
            <v>7022</v>
          </cell>
          <cell r="AI32">
            <v>2865</v>
          </cell>
          <cell r="AU32">
            <v>3463</v>
          </cell>
        </row>
        <row r="33">
          <cell r="G33">
            <v>1171</v>
          </cell>
          <cell r="S33">
            <v>1234</v>
          </cell>
          <cell r="AB33">
            <v>6513</v>
          </cell>
          <cell r="AI33">
            <v>2020</v>
          </cell>
          <cell r="AU33">
            <v>5111</v>
          </cell>
        </row>
        <row r="34">
          <cell r="G34">
            <v>1157</v>
          </cell>
          <cell r="S34">
            <v>1274</v>
          </cell>
          <cell r="AB34">
            <v>9072</v>
          </cell>
          <cell r="AI34">
            <v>2510</v>
          </cell>
          <cell r="AU34">
            <v>4669</v>
          </cell>
        </row>
        <row r="35">
          <cell r="G35">
            <v>733</v>
          </cell>
          <cell r="S35">
            <v>1032</v>
          </cell>
          <cell r="AB35">
            <v>6194</v>
          </cell>
          <cell r="AI35">
            <v>2137</v>
          </cell>
          <cell r="AU35">
            <v>2030</v>
          </cell>
        </row>
        <row r="38">
          <cell r="G38">
            <v>1129</v>
          </cell>
          <cell r="S38">
            <v>1024</v>
          </cell>
          <cell r="AB38">
            <v>10219</v>
          </cell>
          <cell r="AI38">
            <v>3453</v>
          </cell>
          <cell r="AU38">
            <v>4702</v>
          </cell>
        </row>
        <row r="39">
          <cell r="G39">
            <v>886</v>
          </cell>
          <cell r="S39">
            <v>930</v>
          </cell>
          <cell r="AB39">
            <v>8467</v>
          </cell>
          <cell r="AI39">
            <v>2801</v>
          </cell>
          <cell r="AU39">
            <v>7523</v>
          </cell>
        </row>
        <row r="40">
          <cell r="G40">
            <v>891</v>
          </cell>
          <cell r="S40">
            <v>974</v>
          </cell>
          <cell r="AB40">
            <v>7977</v>
          </cell>
          <cell r="AI40">
            <v>2246</v>
          </cell>
          <cell r="AU40">
            <v>6820</v>
          </cell>
        </row>
        <row r="41">
          <cell r="G41">
            <v>1008</v>
          </cell>
          <cell r="S41">
            <v>1103</v>
          </cell>
          <cell r="AB41">
            <v>9698</v>
          </cell>
          <cell r="AI41">
            <v>2895</v>
          </cell>
          <cell r="AU41">
            <v>7948</v>
          </cell>
        </row>
        <row r="42">
          <cell r="G42">
            <v>719</v>
          </cell>
          <cell r="S42">
            <v>1228</v>
          </cell>
          <cell r="AB42">
            <v>8614</v>
          </cell>
          <cell r="AI42">
            <v>2930</v>
          </cell>
          <cell r="AU42">
            <v>3606</v>
          </cell>
        </row>
        <row r="45">
          <cell r="G45">
            <v>1278</v>
          </cell>
          <cell r="S45">
            <v>878</v>
          </cell>
          <cell r="AB45">
            <v>7948</v>
          </cell>
          <cell r="AI45">
            <v>3556</v>
          </cell>
          <cell r="AU45">
            <v>5073</v>
          </cell>
        </row>
        <row r="46">
          <cell r="G46">
            <v>916</v>
          </cell>
          <cell r="S46">
            <v>957</v>
          </cell>
          <cell r="AB46">
            <v>7313</v>
          </cell>
          <cell r="AI46">
            <v>2470</v>
          </cell>
          <cell r="AU46">
            <v>4380</v>
          </cell>
        </row>
        <row r="47">
          <cell r="G47">
            <v>1089</v>
          </cell>
          <cell r="S47">
            <v>1643</v>
          </cell>
          <cell r="AB47">
            <v>6281</v>
          </cell>
          <cell r="AI47">
            <v>2515</v>
          </cell>
          <cell r="AU47">
            <v>6235</v>
          </cell>
        </row>
        <row r="48">
          <cell r="G48">
            <v>1013</v>
          </cell>
          <cell r="S48">
            <v>949</v>
          </cell>
          <cell r="AB48">
            <v>8703</v>
          </cell>
          <cell r="AI48">
            <v>2554</v>
          </cell>
          <cell r="AU48">
            <v>6861</v>
          </cell>
        </row>
        <row r="49">
          <cell r="G49">
            <v>1100</v>
          </cell>
          <cell r="S49">
            <v>992</v>
          </cell>
          <cell r="AB49">
            <v>6495</v>
          </cell>
          <cell r="AI49">
            <v>2344</v>
          </cell>
          <cell r="AU49">
            <v>5351</v>
          </cell>
        </row>
        <row r="52">
          <cell r="G52">
            <v>812</v>
          </cell>
          <cell r="S52">
            <v>977</v>
          </cell>
          <cell r="AB52">
            <v>7828</v>
          </cell>
          <cell r="AI52">
            <v>3236</v>
          </cell>
          <cell r="AU52">
            <v>3520</v>
          </cell>
        </row>
        <row r="53">
          <cell r="G53">
            <v>1182</v>
          </cell>
          <cell r="S53">
            <v>1101</v>
          </cell>
          <cell r="AB53">
            <v>6854</v>
          </cell>
          <cell r="AI53">
            <v>2250</v>
          </cell>
          <cell r="AU53">
            <v>2556</v>
          </cell>
        </row>
        <row r="54">
          <cell r="G54">
            <v>752</v>
          </cell>
          <cell r="S54">
            <v>966</v>
          </cell>
          <cell r="AB54">
            <v>6655</v>
          </cell>
          <cell r="AI54">
            <v>2302</v>
          </cell>
          <cell r="AU54">
            <v>4249</v>
          </cell>
        </row>
        <row r="55">
          <cell r="G55">
            <v>1204</v>
          </cell>
          <cell r="S55">
            <v>1056</v>
          </cell>
          <cell r="AB55">
            <v>7853</v>
          </cell>
          <cell r="AI55">
            <v>2202</v>
          </cell>
          <cell r="AU55">
            <v>3791</v>
          </cell>
        </row>
        <row r="56">
          <cell r="G56">
            <v>1103</v>
          </cell>
          <cell r="S56">
            <v>1144</v>
          </cell>
          <cell r="AB56">
            <v>7306</v>
          </cell>
          <cell r="AI56">
            <v>2071</v>
          </cell>
          <cell r="AU56">
            <v>3184</v>
          </cell>
        </row>
        <row r="59">
          <cell r="G59">
            <v>920</v>
          </cell>
          <cell r="S59">
            <v>993</v>
          </cell>
          <cell r="AB59">
            <v>6537</v>
          </cell>
          <cell r="AI59">
            <v>3239</v>
          </cell>
          <cell r="AU59">
            <v>4958</v>
          </cell>
        </row>
        <row r="60">
          <cell r="G60">
            <v>1072</v>
          </cell>
          <cell r="S60">
            <v>1015</v>
          </cell>
          <cell r="AB60">
            <v>5768</v>
          </cell>
          <cell r="AI60">
            <v>1989</v>
          </cell>
          <cell r="AU60">
            <v>5898</v>
          </cell>
        </row>
        <row r="61">
          <cell r="G61">
            <v>953</v>
          </cell>
          <cell r="S61">
            <v>654</v>
          </cell>
          <cell r="AB61">
            <v>7549</v>
          </cell>
          <cell r="AI61">
            <v>2519</v>
          </cell>
          <cell r="AU61">
            <v>5655</v>
          </cell>
        </row>
        <row r="62">
          <cell r="G62">
            <v>841</v>
          </cell>
          <cell r="S62">
            <v>1226</v>
          </cell>
          <cell r="AB62">
            <v>6423</v>
          </cell>
          <cell r="AI62">
            <v>2075</v>
          </cell>
          <cell r="AU62">
            <v>3932</v>
          </cell>
        </row>
        <row r="63">
          <cell r="G63">
            <v>1232</v>
          </cell>
          <cell r="S63">
            <v>833</v>
          </cell>
          <cell r="AB63">
            <v>6471</v>
          </cell>
          <cell r="AI63">
            <v>2495</v>
          </cell>
          <cell r="AU63">
            <v>2840</v>
          </cell>
        </row>
        <row r="66">
          <cell r="G66">
            <v>1140</v>
          </cell>
          <cell r="S66">
            <v>816</v>
          </cell>
          <cell r="AB66">
            <v>6659</v>
          </cell>
          <cell r="AI66">
            <v>2502</v>
          </cell>
          <cell r="AU66">
            <v>5972</v>
          </cell>
        </row>
        <row r="67">
          <cell r="G67">
            <v>1098</v>
          </cell>
          <cell r="S67">
            <v>911</v>
          </cell>
          <cell r="AB67">
            <v>7487</v>
          </cell>
          <cell r="AI67">
            <v>2148</v>
          </cell>
          <cell r="AU67">
            <v>3775</v>
          </cell>
        </row>
        <row r="68">
          <cell r="G68">
            <v>1161</v>
          </cell>
          <cell r="S68">
            <v>1131</v>
          </cell>
          <cell r="AB68">
            <v>7204</v>
          </cell>
          <cell r="AI68">
            <v>2209</v>
          </cell>
          <cell r="AU68">
            <v>3781</v>
          </cell>
        </row>
        <row r="69">
          <cell r="G69">
            <v>1105</v>
          </cell>
          <cell r="S69">
            <v>1290</v>
          </cell>
          <cell r="AB69">
            <v>6311</v>
          </cell>
          <cell r="AI69">
            <v>2280</v>
          </cell>
          <cell r="AU69">
            <v>5603</v>
          </cell>
        </row>
        <row r="70">
          <cell r="G70">
            <v>1314</v>
          </cell>
          <cell r="S70">
            <v>1156</v>
          </cell>
          <cell r="AB70">
            <v>6334</v>
          </cell>
          <cell r="AI70">
            <v>2211</v>
          </cell>
          <cell r="AU70">
            <v>7285</v>
          </cell>
        </row>
        <row r="73">
          <cell r="G73">
            <v>1281</v>
          </cell>
          <cell r="S73">
            <v>1001</v>
          </cell>
          <cell r="AB73">
            <v>6392</v>
          </cell>
          <cell r="AI73">
            <v>3192</v>
          </cell>
          <cell r="AU73">
            <v>3766</v>
          </cell>
        </row>
        <row r="74">
          <cell r="G74">
            <v>1322</v>
          </cell>
          <cell r="S74">
            <v>830</v>
          </cell>
          <cell r="AB74">
            <v>5001</v>
          </cell>
          <cell r="AI74">
            <v>2296</v>
          </cell>
          <cell r="AU74">
            <v>5798</v>
          </cell>
        </row>
        <row r="75">
          <cell r="G75">
            <v>830</v>
          </cell>
          <cell r="S75">
            <v>917</v>
          </cell>
          <cell r="AB75">
            <v>6689</v>
          </cell>
          <cell r="AI75">
            <v>2253</v>
          </cell>
          <cell r="AU75">
            <v>3477</v>
          </cell>
        </row>
        <row r="76">
          <cell r="G76">
            <v>1252</v>
          </cell>
          <cell r="S76">
            <v>1135</v>
          </cell>
          <cell r="AB76">
            <v>8155</v>
          </cell>
          <cell r="AI76">
            <v>2217</v>
          </cell>
          <cell r="AU76">
            <v>5265</v>
          </cell>
        </row>
        <row r="77">
          <cell r="G77">
            <v>870</v>
          </cell>
          <cell r="S77">
            <v>976</v>
          </cell>
          <cell r="AB77">
            <v>5828</v>
          </cell>
          <cell r="AI77">
            <v>2896</v>
          </cell>
          <cell r="AU77">
            <v>4709</v>
          </cell>
        </row>
        <row r="80">
          <cell r="G80">
            <v>736</v>
          </cell>
          <cell r="S80">
            <v>771</v>
          </cell>
          <cell r="AB80">
            <v>7532</v>
          </cell>
          <cell r="AI80">
            <v>3772</v>
          </cell>
          <cell r="AU80">
            <v>3643</v>
          </cell>
        </row>
        <row r="81">
          <cell r="G81">
            <v>876</v>
          </cell>
          <cell r="S81">
            <v>964</v>
          </cell>
          <cell r="AB81">
            <v>7771</v>
          </cell>
          <cell r="AI81">
            <v>2658</v>
          </cell>
          <cell r="AU81">
            <v>9080</v>
          </cell>
        </row>
        <row r="82">
          <cell r="G82">
            <v>1295</v>
          </cell>
          <cell r="S82">
            <v>1013</v>
          </cell>
          <cell r="AB82">
            <v>7778</v>
          </cell>
          <cell r="AI82">
            <v>2412</v>
          </cell>
          <cell r="AU82">
            <v>6018</v>
          </cell>
        </row>
        <row r="83">
          <cell r="G83">
            <v>1240</v>
          </cell>
          <cell r="S83">
            <v>1068</v>
          </cell>
          <cell r="AB83">
            <v>8626</v>
          </cell>
          <cell r="AI83">
            <v>2626</v>
          </cell>
          <cell r="AU83">
            <v>6059</v>
          </cell>
        </row>
        <row r="84">
          <cell r="G84">
            <v>1044</v>
          </cell>
          <cell r="S84">
            <v>951</v>
          </cell>
          <cell r="AB84">
            <v>7310</v>
          </cell>
          <cell r="AI84">
            <v>2571</v>
          </cell>
          <cell r="AU84">
            <v>3444</v>
          </cell>
        </row>
        <row r="85">
          <cell r="G85">
            <v>982</v>
          </cell>
          <cell r="S85"/>
          <cell r="AB85" t="str">
            <v>-</v>
          </cell>
          <cell r="AI85">
            <v>0</v>
          </cell>
          <cell r="AU85"/>
        </row>
        <row r="87">
          <cell r="G87">
            <v>1175</v>
          </cell>
          <cell r="S87">
            <v>1317</v>
          </cell>
          <cell r="AB87">
            <v>8263</v>
          </cell>
          <cell r="AI87">
            <v>3551</v>
          </cell>
          <cell r="AU87">
            <v>4046</v>
          </cell>
        </row>
        <row r="88">
          <cell r="G88">
            <v>722</v>
          </cell>
          <cell r="S88">
            <v>1251</v>
          </cell>
          <cell r="AB88">
            <v>7704</v>
          </cell>
          <cell r="AI88">
            <v>2580</v>
          </cell>
          <cell r="AU88">
            <v>4841</v>
          </cell>
        </row>
        <row r="89">
          <cell r="G89">
            <v>1072</v>
          </cell>
          <cell r="S89">
            <v>1344</v>
          </cell>
          <cell r="AB89">
            <v>4565</v>
          </cell>
          <cell r="AI89">
            <v>2671</v>
          </cell>
          <cell r="AU89">
            <v>4622</v>
          </cell>
        </row>
        <row r="90">
          <cell r="G90">
            <v>1049</v>
          </cell>
          <cell r="S90">
            <v>900</v>
          </cell>
          <cell r="AB90">
            <v>8041</v>
          </cell>
          <cell r="AI90">
            <v>2930</v>
          </cell>
          <cell r="AU90">
            <v>5708</v>
          </cell>
        </row>
        <row r="91">
          <cell r="G91">
            <v>1029</v>
          </cell>
          <cell r="S91">
            <v>1269</v>
          </cell>
          <cell r="AB91">
            <v>8768</v>
          </cell>
          <cell r="AI91">
            <v>2619</v>
          </cell>
          <cell r="AU91">
            <v>4921</v>
          </cell>
        </row>
        <row r="94">
          <cell r="G94">
            <v>754</v>
          </cell>
          <cell r="S94">
            <v>1561</v>
          </cell>
          <cell r="AB94">
            <v>8012</v>
          </cell>
          <cell r="AI94">
            <v>4101</v>
          </cell>
          <cell r="AU94">
            <v>4115</v>
          </cell>
        </row>
        <row r="95">
          <cell r="G95">
            <v>612</v>
          </cell>
          <cell r="S95">
            <v>1290</v>
          </cell>
          <cell r="AB95">
            <v>8097</v>
          </cell>
          <cell r="AI95">
            <v>2727</v>
          </cell>
          <cell r="AU95">
            <v>3031</v>
          </cell>
        </row>
        <row r="96">
          <cell r="G96">
            <v>1046</v>
          </cell>
          <cell r="S96">
            <v>853</v>
          </cell>
          <cell r="AB96">
            <v>8745</v>
          </cell>
          <cell r="AI96">
            <v>2395</v>
          </cell>
          <cell r="AU96">
            <v>5623</v>
          </cell>
        </row>
        <row r="97">
          <cell r="G97">
            <v>563</v>
          </cell>
          <cell r="S97">
            <v>1216</v>
          </cell>
          <cell r="AB97">
            <v>8894</v>
          </cell>
          <cell r="AI97">
            <v>2647</v>
          </cell>
          <cell r="AU97">
            <v>4273</v>
          </cell>
        </row>
        <row r="98">
          <cell r="G98">
            <v>498</v>
          </cell>
          <cell r="S98">
            <v>1452</v>
          </cell>
          <cell r="AB98">
            <v>8982</v>
          </cell>
          <cell r="AI98">
            <v>2849</v>
          </cell>
          <cell r="AU98">
            <v>3489</v>
          </cell>
        </row>
        <row r="101">
          <cell r="G101">
            <v>452</v>
          </cell>
          <cell r="S101">
            <v>1319</v>
          </cell>
          <cell r="AB101">
            <v>10363</v>
          </cell>
          <cell r="AI101">
            <v>3962</v>
          </cell>
          <cell r="AU101">
            <v>2318</v>
          </cell>
        </row>
        <row r="102">
          <cell r="G102">
            <v>851</v>
          </cell>
          <cell r="S102">
            <v>1232</v>
          </cell>
          <cell r="AB102">
            <v>10339</v>
          </cell>
          <cell r="AI102">
            <v>3241</v>
          </cell>
          <cell r="AU102">
            <v>3381</v>
          </cell>
        </row>
        <row r="103">
          <cell r="G103">
            <v>791</v>
          </cell>
          <cell r="S103">
            <v>1052</v>
          </cell>
          <cell r="AB103">
            <v>8714</v>
          </cell>
          <cell r="AI103">
            <v>2907</v>
          </cell>
          <cell r="AU103">
            <v>3190</v>
          </cell>
        </row>
        <row r="104">
          <cell r="G104">
            <v>873</v>
          </cell>
          <cell r="S104">
            <v>1729</v>
          </cell>
          <cell r="AB104">
            <v>10361</v>
          </cell>
          <cell r="AI104">
            <v>2596</v>
          </cell>
          <cell r="AU104">
            <v>2568</v>
          </cell>
        </row>
        <row r="105">
          <cell r="G105">
            <v>673</v>
          </cell>
          <cell r="S105">
            <v>1020</v>
          </cell>
          <cell r="AB105">
            <v>7873</v>
          </cell>
          <cell r="AI105">
            <v>2653</v>
          </cell>
          <cell r="AU105">
            <v>2866</v>
          </cell>
        </row>
        <row r="108">
          <cell r="G108">
            <v>756</v>
          </cell>
          <cell r="S108">
            <v>833</v>
          </cell>
          <cell r="AB108">
            <v>6717</v>
          </cell>
          <cell r="AI108">
            <v>3513</v>
          </cell>
          <cell r="AU108">
            <v>2026</v>
          </cell>
        </row>
        <row r="109">
          <cell r="G109"/>
          <cell r="S109">
            <v>424</v>
          </cell>
          <cell r="AB109">
            <v>8032</v>
          </cell>
          <cell r="AI109">
            <v>2521</v>
          </cell>
          <cell r="AU109">
            <v>3567</v>
          </cell>
        </row>
        <row r="110">
          <cell r="G110">
            <v>417</v>
          </cell>
          <cell r="S110">
            <v>978</v>
          </cell>
          <cell r="AB110">
            <v>6847</v>
          </cell>
          <cell r="AI110">
            <v>2407</v>
          </cell>
          <cell r="AU110">
            <v>4678</v>
          </cell>
        </row>
        <row r="111">
          <cell r="G111">
            <v>693</v>
          </cell>
          <cell r="S111">
            <v>845</v>
          </cell>
          <cell r="AB111">
            <v>8104</v>
          </cell>
          <cell r="AI111">
            <v>2491</v>
          </cell>
          <cell r="AU111">
            <v>5036</v>
          </cell>
        </row>
        <row r="112">
          <cell r="G112">
            <v>832</v>
          </cell>
          <cell r="S112">
            <v>959</v>
          </cell>
          <cell r="AB112">
            <v>7902</v>
          </cell>
          <cell r="AI112">
            <v>2652</v>
          </cell>
          <cell r="AU112">
            <v>1472</v>
          </cell>
        </row>
        <row r="115">
          <cell r="G115">
            <v>948</v>
          </cell>
          <cell r="S115">
            <v>856</v>
          </cell>
          <cell r="AB115">
            <v>7994</v>
          </cell>
          <cell r="AI115">
            <v>3651</v>
          </cell>
          <cell r="AU115">
            <v>3169</v>
          </cell>
        </row>
        <row r="116">
          <cell r="G116">
            <v>819</v>
          </cell>
          <cell r="S116">
            <v>904</v>
          </cell>
          <cell r="AB116">
            <v>8488</v>
          </cell>
          <cell r="AI116">
            <v>2229</v>
          </cell>
          <cell r="AU116">
            <v>3136</v>
          </cell>
        </row>
        <row r="117">
          <cell r="G117">
            <v>667</v>
          </cell>
          <cell r="S117">
            <v>998</v>
          </cell>
          <cell r="AB117">
            <v>6217</v>
          </cell>
          <cell r="AI117">
            <v>2091</v>
          </cell>
          <cell r="AU117">
            <v>4107</v>
          </cell>
        </row>
        <row r="118">
          <cell r="G118">
            <v>932</v>
          </cell>
          <cell r="S118">
            <v>684</v>
          </cell>
          <cell r="AB118">
            <v>5903</v>
          </cell>
          <cell r="AI118">
            <v>2120</v>
          </cell>
          <cell r="AU118">
            <v>3749</v>
          </cell>
        </row>
        <row r="119">
          <cell r="G119">
            <v>647</v>
          </cell>
          <cell r="S119">
            <v>500</v>
          </cell>
          <cell r="AB119">
            <v>6378</v>
          </cell>
          <cell r="AI119">
            <v>2287</v>
          </cell>
          <cell r="AU119">
            <v>2954</v>
          </cell>
        </row>
        <row r="122">
          <cell r="G122">
            <v>576</v>
          </cell>
          <cell r="S122">
            <v>991</v>
          </cell>
          <cell r="AB122">
            <v>7331</v>
          </cell>
          <cell r="AI122">
            <v>3294</v>
          </cell>
          <cell r="AU122">
            <v>5203</v>
          </cell>
        </row>
        <row r="123">
          <cell r="G123">
            <v>479</v>
          </cell>
          <cell r="S123">
            <v>677</v>
          </cell>
          <cell r="AB123">
            <v>6482</v>
          </cell>
          <cell r="AI123">
            <v>2118</v>
          </cell>
          <cell r="AU123">
            <v>5616</v>
          </cell>
        </row>
        <row r="124">
          <cell r="G124">
            <v>481</v>
          </cell>
          <cell r="S124">
            <v>739</v>
          </cell>
          <cell r="AB124">
            <v>7060</v>
          </cell>
          <cell r="AI124">
            <v>2036</v>
          </cell>
          <cell r="AU124">
            <v>4922</v>
          </cell>
        </row>
        <row r="125">
          <cell r="G125">
            <v>454</v>
          </cell>
          <cell r="S125">
            <v>733</v>
          </cell>
          <cell r="AB125">
            <v>5633</v>
          </cell>
          <cell r="AI125">
            <v>2334</v>
          </cell>
          <cell r="AU125">
            <v>3726</v>
          </cell>
        </row>
        <row r="126">
          <cell r="G126">
            <v>0</v>
          </cell>
          <cell r="S126"/>
          <cell r="AB126" t="str">
            <v>-</v>
          </cell>
          <cell r="AI126">
            <v>0</v>
          </cell>
          <cell r="AU126"/>
        </row>
        <row r="129">
          <cell r="G129">
            <v>0</v>
          </cell>
          <cell r="S129"/>
          <cell r="AB129" t="str">
            <v>-</v>
          </cell>
          <cell r="AI129">
            <v>0</v>
          </cell>
          <cell r="AU129"/>
        </row>
        <row r="130">
          <cell r="G130">
            <v>821</v>
          </cell>
          <cell r="S130">
            <v>548</v>
          </cell>
          <cell r="AB130">
            <v>6270</v>
          </cell>
          <cell r="AI130">
            <v>3482</v>
          </cell>
          <cell r="AU130">
            <v>2914</v>
          </cell>
        </row>
        <row r="131">
          <cell r="G131">
            <v>849</v>
          </cell>
          <cell r="S131">
            <v>834</v>
          </cell>
          <cell r="AB131">
            <v>7925</v>
          </cell>
          <cell r="AI131">
            <v>2300</v>
          </cell>
          <cell r="AU131">
            <v>2720</v>
          </cell>
        </row>
        <row r="132">
          <cell r="G132">
            <v>924</v>
          </cell>
          <cell r="S132">
            <v>881</v>
          </cell>
          <cell r="AB132">
            <v>7603</v>
          </cell>
          <cell r="AI132">
            <v>2511</v>
          </cell>
          <cell r="AU132">
            <v>1885</v>
          </cell>
        </row>
        <row r="133">
          <cell r="G133">
            <v>832</v>
          </cell>
          <cell r="S133">
            <v>640</v>
          </cell>
          <cell r="AB133">
            <v>6173</v>
          </cell>
          <cell r="AI133">
            <v>2118</v>
          </cell>
          <cell r="AU133">
            <v>2815</v>
          </cell>
        </row>
        <row r="136">
          <cell r="G136">
            <v>805</v>
          </cell>
          <cell r="S136">
            <v>799</v>
          </cell>
          <cell r="AB136">
            <v>9080</v>
          </cell>
          <cell r="AI136">
            <v>3660</v>
          </cell>
          <cell r="AU136">
            <v>4591</v>
          </cell>
        </row>
        <row r="137">
          <cell r="G137">
            <v>1039</v>
          </cell>
          <cell r="S137">
            <v>830</v>
          </cell>
          <cell r="AB137">
            <v>8918</v>
          </cell>
          <cell r="AI137">
            <v>2738</v>
          </cell>
          <cell r="AU137">
            <v>4424</v>
          </cell>
        </row>
        <row r="138">
          <cell r="G138"/>
          <cell r="S138"/>
          <cell r="AB138" t="str">
            <v>-</v>
          </cell>
          <cell r="AI138">
            <v>0</v>
          </cell>
          <cell r="AU138"/>
        </row>
        <row r="139">
          <cell r="G139">
            <v>908</v>
          </cell>
          <cell r="S139">
            <v>1024</v>
          </cell>
          <cell r="AB139">
            <v>8493</v>
          </cell>
          <cell r="AI139">
            <v>2899</v>
          </cell>
          <cell r="AU139">
            <v>2906</v>
          </cell>
        </row>
        <row r="140">
          <cell r="G140">
            <v>1317</v>
          </cell>
          <cell r="S140">
            <v>814</v>
          </cell>
          <cell r="AB140">
            <v>8783</v>
          </cell>
          <cell r="AI140">
            <v>2264</v>
          </cell>
          <cell r="AU140">
            <v>2987</v>
          </cell>
        </row>
        <row r="143">
          <cell r="G143">
            <v>686</v>
          </cell>
          <cell r="S143">
            <v>1235</v>
          </cell>
          <cell r="AB143">
            <v>7323</v>
          </cell>
          <cell r="AI143">
            <v>3696</v>
          </cell>
          <cell r="AU143">
            <v>4542</v>
          </cell>
        </row>
        <row r="144">
          <cell r="G144">
            <v>808</v>
          </cell>
          <cell r="S144">
            <v>1004</v>
          </cell>
          <cell r="AB144">
            <v>6862</v>
          </cell>
          <cell r="AI144">
            <v>2370</v>
          </cell>
          <cell r="AU144">
            <v>4202</v>
          </cell>
        </row>
        <row r="145">
          <cell r="G145">
            <v>638</v>
          </cell>
          <cell r="S145">
            <v>1153</v>
          </cell>
          <cell r="AB145">
            <v>8941</v>
          </cell>
          <cell r="AI145">
            <v>2475</v>
          </cell>
          <cell r="AU145">
            <v>7312</v>
          </cell>
        </row>
        <row r="146">
          <cell r="G146">
            <v>872</v>
          </cell>
          <cell r="S146">
            <v>910</v>
          </cell>
          <cell r="AB146">
            <v>6365</v>
          </cell>
          <cell r="AI146">
            <v>1926</v>
          </cell>
          <cell r="AU146">
            <v>6558</v>
          </cell>
        </row>
        <row r="147">
          <cell r="G147"/>
          <cell r="S147">
            <v>888</v>
          </cell>
          <cell r="AB147">
            <v>7357</v>
          </cell>
          <cell r="AI147">
            <v>2356</v>
          </cell>
          <cell r="AU147">
            <v>6820</v>
          </cell>
        </row>
        <row r="150">
          <cell r="G150">
            <v>1228</v>
          </cell>
          <cell r="S150">
            <v>834</v>
          </cell>
          <cell r="AB150">
            <v>10064</v>
          </cell>
          <cell r="AI150">
            <v>3459</v>
          </cell>
          <cell r="AU150">
            <v>6986</v>
          </cell>
        </row>
        <row r="151">
          <cell r="G151">
            <v>1015</v>
          </cell>
          <cell r="S151">
            <v>1048</v>
          </cell>
          <cell r="AB151">
            <v>8499</v>
          </cell>
          <cell r="AI151">
            <v>2794</v>
          </cell>
          <cell r="AU151">
            <v>6969</v>
          </cell>
        </row>
        <row r="152">
          <cell r="G152">
            <v>869</v>
          </cell>
          <cell r="S152">
            <v>769</v>
          </cell>
          <cell r="AB152">
            <v>7716</v>
          </cell>
          <cell r="AI152">
            <v>2116</v>
          </cell>
          <cell r="AU152">
            <v>7420</v>
          </cell>
        </row>
        <row r="153">
          <cell r="G153">
            <v>1073</v>
          </cell>
          <cell r="S153">
            <v>1230</v>
          </cell>
          <cell r="AB153">
            <v>9342</v>
          </cell>
          <cell r="AI153">
            <v>2179</v>
          </cell>
          <cell r="AU153">
            <v>4498</v>
          </cell>
        </row>
        <row r="154">
          <cell r="G154">
            <v>799</v>
          </cell>
          <cell r="S154">
            <v>1132</v>
          </cell>
          <cell r="AB154">
            <v>9091</v>
          </cell>
          <cell r="AI154">
            <v>2276</v>
          </cell>
          <cell r="AU154">
            <v>3264</v>
          </cell>
        </row>
        <row r="157">
          <cell r="G157">
            <v>834</v>
          </cell>
          <cell r="S157">
            <v>854</v>
          </cell>
          <cell r="AB157">
            <v>7195</v>
          </cell>
          <cell r="AI157">
            <v>2971</v>
          </cell>
          <cell r="AU157">
            <v>3056</v>
          </cell>
        </row>
        <row r="158">
          <cell r="G158"/>
          <cell r="S158">
            <v>667</v>
          </cell>
          <cell r="AB158">
            <v>7330</v>
          </cell>
          <cell r="AI158">
            <v>2289</v>
          </cell>
          <cell r="AU158">
            <v>2970</v>
          </cell>
        </row>
        <row r="159">
          <cell r="G159">
            <v>1119</v>
          </cell>
          <cell r="S159">
            <v>1056</v>
          </cell>
          <cell r="AB159">
            <v>6819</v>
          </cell>
          <cell r="AI159">
            <v>2712</v>
          </cell>
          <cell r="AU159">
            <v>3677</v>
          </cell>
        </row>
        <row r="160">
          <cell r="G160">
            <v>928</v>
          </cell>
          <cell r="S160">
            <v>795</v>
          </cell>
          <cell r="AB160">
            <v>7053</v>
          </cell>
          <cell r="AI160">
            <v>2454</v>
          </cell>
          <cell r="AU160">
            <v>5027</v>
          </cell>
        </row>
        <row r="161">
          <cell r="G161">
            <v>982</v>
          </cell>
          <cell r="S161">
            <v>1052</v>
          </cell>
          <cell r="AB161">
            <v>8207</v>
          </cell>
          <cell r="AI161">
            <v>2667</v>
          </cell>
          <cell r="AU161">
            <v>2575</v>
          </cell>
        </row>
        <row r="164">
          <cell r="G164">
            <v>806</v>
          </cell>
          <cell r="S164">
            <v>503</v>
          </cell>
          <cell r="AB164">
            <v>6461</v>
          </cell>
          <cell r="AI164">
            <v>3168</v>
          </cell>
          <cell r="AU164">
            <v>4288</v>
          </cell>
        </row>
        <row r="165">
          <cell r="G165">
            <v>987</v>
          </cell>
          <cell r="S165">
            <v>847</v>
          </cell>
          <cell r="AB165">
            <v>6117</v>
          </cell>
          <cell r="AI165">
            <v>2266</v>
          </cell>
          <cell r="AU165">
            <v>4606</v>
          </cell>
        </row>
        <row r="166">
          <cell r="G166">
            <v>827</v>
          </cell>
          <cell r="S166">
            <v>913</v>
          </cell>
          <cell r="AB166">
            <v>6534</v>
          </cell>
          <cell r="AI166">
            <v>2329</v>
          </cell>
          <cell r="AU166">
            <v>5332</v>
          </cell>
        </row>
        <row r="167">
          <cell r="G167">
            <v>0</v>
          </cell>
          <cell r="S167"/>
          <cell r="AB167" t="str">
            <v>-</v>
          </cell>
          <cell r="AI167">
            <v>0</v>
          </cell>
          <cell r="AU167"/>
        </row>
        <row r="168">
          <cell r="G168"/>
          <cell r="S168">
            <v>883</v>
          </cell>
          <cell r="AB168">
            <v>6544</v>
          </cell>
          <cell r="AI168">
            <v>2600</v>
          </cell>
          <cell r="AU168">
            <v>2896</v>
          </cell>
        </row>
        <row r="171">
          <cell r="G171">
            <v>1128</v>
          </cell>
          <cell r="S171">
            <v>856</v>
          </cell>
          <cell r="AB171">
            <v>7840</v>
          </cell>
          <cell r="AI171">
            <v>2999</v>
          </cell>
          <cell r="AU171">
            <v>5596</v>
          </cell>
        </row>
        <row r="172">
          <cell r="G172">
            <v>1128</v>
          </cell>
          <cell r="S172">
            <v>1410</v>
          </cell>
          <cell r="AB172">
            <v>6962</v>
          </cell>
          <cell r="AI172">
            <v>2273</v>
          </cell>
          <cell r="AU172">
            <v>3361</v>
          </cell>
        </row>
        <row r="173">
          <cell r="G173">
            <v>1056</v>
          </cell>
          <cell r="S173">
            <v>913</v>
          </cell>
          <cell r="AB173">
            <v>5530</v>
          </cell>
          <cell r="AI173">
            <v>1917</v>
          </cell>
          <cell r="AU173">
            <v>6631</v>
          </cell>
        </row>
        <row r="174">
          <cell r="G174">
            <v>1184</v>
          </cell>
          <cell r="S174">
            <v>788</v>
          </cell>
          <cell r="AB174">
            <v>7307</v>
          </cell>
          <cell r="AI174">
            <v>2041</v>
          </cell>
          <cell r="AU174">
            <v>3575</v>
          </cell>
        </row>
        <row r="175">
          <cell r="G175">
            <v>872</v>
          </cell>
          <cell r="S175">
            <v>1339</v>
          </cell>
          <cell r="AB175">
            <v>7645</v>
          </cell>
          <cell r="AI175">
            <v>2490</v>
          </cell>
          <cell r="AU175">
            <v>12200</v>
          </cell>
        </row>
        <row r="179">
          <cell r="G179">
            <v>835</v>
          </cell>
          <cell r="S179">
            <v>1262</v>
          </cell>
          <cell r="AB179">
            <v>8519</v>
          </cell>
          <cell r="AI179">
            <v>3633</v>
          </cell>
          <cell r="AU179">
            <v>10855</v>
          </cell>
        </row>
        <row r="180">
          <cell r="G180">
            <v>756</v>
          </cell>
          <cell r="S180">
            <v>1003</v>
          </cell>
          <cell r="AB180">
            <v>7832</v>
          </cell>
          <cell r="AI180">
            <v>2406</v>
          </cell>
          <cell r="AU180">
            <v>6116</v>
          </cell>
        </row>
        <row r="181">
          <cell r="G181">
            <v>1231</v>
          </cell>
          <cell r="S181">
            <v>896</v>
          </cell>
          <cell r="AB181">
            <v>10189</v>
          </cell>
          <cell r="AI181">
            <v>2732</v>
          </cell>
          <cell r="AU181"/>
        </row>
        <row r="182">
          <cell r="G182">
            <v>815</v>
          </cell>
          <cell r="S182"/>
          <cell r="AB182">
            <v>10530</v>
          </cell>
          <cell r="AI182">
            <v>3306</v>
          </cell>
          <cell r="AU182"/>
        </row>
        <row r="183">
          <cell r="G183">
            <v>399</v>
          </cell>
          <cell r="S183"/>
          <cell r="AB183">
            <v>5801</v>
          </cell>
          <cell r="AI183">
            <v>0</v>
          </cell>
          <cell r="AU183"/>
        </row>
      </sheetData>
      <sheetData sheetId="2"/>
      <sheetData sheetId="3"/>
      <sheetData sheetId="4"/>
      <sheetData sheetId="5"/>
      <sheetData sheetId="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1.xml"/><Relationship Id="rId7"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3.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S65"/>
  <sheetViews>
    <sheetView topLeftCell="A22" zoomScale="73" zoomScaleNormal="73" workbookViewId="0">
      <selection activeCell="N4" sqref="N4"/>
    </sheetView>
  </sheetViews>
  <sheetFormatPr baseColWidth="10" defaultRowHeight="14.4" x14ac:dyDescent="0.3"/>
  <cols>
    <col min="2" max="6" width="15.6640625" style="106" customWidth="1"/>
    <col min="7" max="11" width="15.6640625" style="118" customWidth="1"/>
    <col min="12" max="16" width="15.77734375" style="107" customWidth="1"/>
    <col min="17" max="17" width="13.77734375" bestFit="1" customWidth="1"/>
    <col min="18" max="18" width="23.77734375" customWidth="1"/>
  </cols>
  <sheetData>
    <row r="1" spans="1:18" s="125" customFormat="1" ht="15" thickBot="1" x14ac:dyDescent="0.35">
      <c r="A1" s="121"/>
      <c r="B1" s="210">
        <v>2018</v>
      </c>
      <c r="C1" s="210"/>
      <c r="D1" s="210"/>
      <c r="E1" s="210"/>
      <c r="F1" s="210"/>
      <c r="G1" s="211">
        <v>2019</v>
      </c>
      <c r="H1" s="211"/>
      <c r="I1" s="211"/>
      <c r="J1" s="211"/>
      <c r="K1" s="211"/>
      <c r="L1" s="212" t="s">
        <v>249</v>
      </c>
      <c r="M1" s="212"/>
      <c r="N1" s="212"/>
      <c r="O1" s="212"/>
      <c r="P1" s="212"/>
    </row>
    <row r="2" spans="1:18" s="125" customFormat="1" ht="15" thickBot="1" x14ac:dyDescent="0.35">
      <c r="A2" s="121"/>
      <c r="B2" s="122" t="s">
        <v>52</v>
      </c>
      <c r="C2" s="122" t="s">
        <v>53</v>
      </c>
      <c r="D2" s="122" t="s">
        <v>54</v>
      </c>
      <c r="E2" s="122" t="s">
        <v>55</v>
      </c>
      <c r="F2" s="122" t="s">
        <v>56</v>
      </c>
      <c r="G2" s="123" t="s">
        <v>52</v>
      </c>
      <c r="H2" s="123" t="s">
        <v>53</v>
      </c>
      <c r="I2" s="123" t="s">
        <v>54</v>
      </c>
      <c r="J2" s="123" t="s">
        <v>55</v>
      </c>
      <c r="K2" s="123" t="s">
        <v>56</v>
      </c>
      <c r="L2" s="124" t="s">
        <v>52</v>
      </c>
      <c r="M2" s="124" t="s">
        <v>53</v>
      </c>
      <c r="N2" s="124" t="s">
        <v>54</v>
      </c>
      <c r="O2" s="124" t="s">
        <v>55</v>
      </c>
      <c r="P2" s="124" t="s">
        <v>56</v>
      </c>
    </row>
    <row r="3" spans="1:18" ht="29.4" thickBot="1" x14ac:dyDescent="0.35">
      <c r="A3" s="1"/>
      <c r="B3" s="104" t="s">
        <v>57</v>
      </c>
      <c r="C3" s="105" t="s">
        <v>58</v>
      </c>
      <c r="D3" s="104" t="s">
        <v>59</v>
      </c>
      <c r="E3" s="105" t="s">
        <v>60</v>
      </c>
      <c r="F3" s="105" t="s">
        <v>61</v>
      </c>
      <c r="G3" s="112" t="s">
        <v>57</v>
      </c>
      <c r="H3" s="113" t="s">
        <v>58</v>
      </c>
      <c r="I3" s="112" t="s">
        <v>59</v>
      </c>
      <c r="J3" s="113" t="s">
        <v>60</v>
      </c>
      <c r="K3" s="113" t="s">
        <v>61</v>
      </c>
      <c r="L3" s="204" t="s">
        <v>57</v>
      </c>
      <c r="M3" s="205" t="s">
        <v>58</v>
      </c>
      <c r="N3" s="204" t="s">
        <v>59</v>
      </c>
      <c r="O3" s="205" t="s">
        <v>60</v>
      </c>
      <c r="P3" s="205" t="s">
        <v>61</v>
      </c>
    </row>
    <row r="4" spans="1:18" ht="15" thickBot="1" x14ac:dyDescent="0.35">
      <c r="A4" s="1" t="s">
        <v>0</v>
      </c>
      <c r="B4" s="108">
        <f>SUM([1]Tagesübersicht!$H$19:$H$22)</f>
        <v>1679</v>
      </c>
      <c r="C4" s="108">
        <f>SUM([1]Tagesübersicht!$M$19:$M$22)</f>
        <v>3236</v>
      </c>
      <c r="D4" s="108">
        <f>SUM([1]Tagesübersicht!$R$19:$R$22)</f>
        <v>40191</v>
      </c>
      <c r="E4" s="108">
        <f>SUM([1]Tagesübersicht!$Y$19:$Y$22)</f>
        <v>14202</v>
      </c>
      <c r="F4" s="108">
        <f>SUM([1]Tagesübersicht!$AF$19:$AF$22)</f>
        <v>0</v>
      </c>
      <c r="G4" s="114">
        <f>SUM([2]Tagesübersicht!$G$19:$G$21)</f>
        <v>948</v>
      </c>
      <c r="H4" s="114">
        <f>SUM([2]Tagesübersicht!$S$19:$S$21)</f>
        <v>3069</v>
      </c>
      <c r="I4" s="114">
        <f>SUM([2]Tagesübersicht!$AB$19:$AB$21)</f>
        <v>29251</v>
      </c>
      <c r="J4" s="114">
        <f>SUM([2]Tagesübersicht!$AI$19:$AI$21)</f>
        <v>10649</v>
      </c>
      <c r="K4" s="114">
        <f>SUM([2]Tagesübersicht!$AU$19:$AU$21)</f>
        <v>0</v>
      </c>
      <c r="L4" s="164">
        <f>G4</f>
        <v>948</v>
      </c>
      <c r="M4" s="164">
        <f>H4</f>
        <v>3069</v>
      </c>
      <c r="N4" s="164">
        <f>(I4+'Forecast  '!B2)</f>
        <v>63007</v>
      </c>
      <c r="O4" s="164">
        <f>J4</f>
        <v>10649</v>
      </c>
      <c r="P4" s="164">
        <f>K4</f>
        <v>0</v>
      </c>
    </row>
    <row r="5" spans="1:18" ht="15" thickBot="1" x14ac:dyDescent="0.35">
      <c r="A5" s="1" t="s">
        <v>1</v>
      </c>
      <c r="B5" s="108">
        <f>SUM([1]Tagesübersicht!$H$25:$H$29)</f>
        <v>3220</v>
      </c>
      <c r="C5" s="108">
        <f>SUM([1]Tagesübersicht!$M$25:$M$29)</f>
        <v>4949</v>
      </c>
      <c r="D5" s="108">
        <f>SUM([1]Tagesübersicht!$R$25:$R$29)</f>
        <v>43758</v>
      </c>
      <c r="E5" s="108">
        <f>SUM([1]Tagesübersicht!$Y$25:$Y$29)</f>
        <v>15665</v>
      </c>
      <c r="F5" s="108">
        <f>SUM([1]Tagesübersicht!$AF$25:$AF$29)</f>
        <v>23529</v>
      </c>
      <c r="G5" s="114">
        <f>SUM([2]Tagesübersicht!$G24:$G28)</f>
        <v>4160</v>
      </c>
      <c r="H5" s="114">
        <f>SUM([2]Tagesübersicht!$S24:$S28)</f>
        <v>5615</v>
      </c>
      <c r="I5" s="114">
        <f>SUM([2]Tagesübersicht!$AB24:$AB28)</f>
        <v>48386</v>
      </c>
      <c r="J5" s="114">
        <f>SUM([2]Tagesübersicht!$AI24:$AI28)</f>
        <v>13423</v>
      </c>
      <c r="K5" s="114">
        <f>SUM([2]Tagesübersicht!$AU24:$AU28)</f>
        <v>26478</v>
      </c>
      <c r="L5" s="164">
        <f t="shared" ref="L5:L55" si="0">G5</f>
        <v>4160</v>
      </c>
      <c r="M5" s="164">
        <f t="shared" ref="M5:M55" si="1">H5</f>
        <v>5615</v>
      </c>
      <c r="N5" s="164">
        <f>(I5+'Forecast  '!B3)</f>
        <v>81070</v>
      </c>
      <c r="O5" s="164">
        <f t="shared" ref="O5:O55" si="2">J5</f>
        <v>13423</v>
      </c>
      <c r="P5" s="164">
        <f t="shared" ref="P5:P55" si="3">K5</f>
        <v>26478</v>
      </c>
    </row>
    <row r="6" spans="1:18" ht="15" thickBot="1" x14ac:dyDescent="0.35">
      <c r="A6" s="1" t="s">
        <v>2</v>
      </c>
      <c r="B6" s="108">
        <f>SUM([1]Tagesübersicht!$H$32:$H$36)</f>
        <v>3467</v>
      </c>
      <c r="C6" s="108">
        <f>SUM([1]Tagesübersicht!$M$32:$M$36)</f>
        <v>4444</v>
      </c>
      <c r="D6" s="108">
        <f>SUM([1]Tagesübersicht!$R$32:$R$36)</f>
        <v>41938</v>
      </c>
      <c r="E6" s="108">
        <f>SUM([1]Tagesübersicht!$Y$32:$Y$36)</f>
        <v>13819</v>
      </c>
      <c r="F6" s="108">
        <f>SUM([1]Tagesübersicht!$AF$32:$AF$36)</f>
        <v>28521</v>
      </c>
      <c r="G6" s="114">
        <f>SUM([2]Tagesübersicht!$G31:$G35)</f>
        <v>4691</v>
      </c>
      <c r="H6" s="114">
        <f>SUM([2]Tagesübersicht!$S31:$S35)</f>
        <v>5103</v>
      </c>
      <c r="I6" s="114">
        <f>SUM([2]Tagesübersicht!$AB31:$AB35)</f>
        <v>37695</v>
      </c>
      <c r="J6" s="114">
        <f>SUM([2]Tagesübersicht!$AI31:$AI35)</f>
        <v>13112</v>
      </c>
      <c r="K6" s="114">
        <f>SUM([2]Tagesübersicht!$AU31:$AU35)</f>
        <v>19603</v>
      </c>
      <c r="L6" s="164">
        <f t="shared" si="0"/>
        <v>4691</v>
      </c>
      <c r="M6" s="164">
        <f t="shared" si="1"/>
        <v>5103</v>
      </c>
      <c r="N6" s="164">
        <f>(I6+'Forecast  '!B4)</f>
        <v>68250</v>
      </c>
      <c r="O6" s="164">
        <f t="shared" si="2"/>
        <v>13112</v>
      </c>
      <c r="P6" s="164">
        <f t="shared" si="3"/>
        <v>19603</v>
      </c>
    </row>
    <row r="7" spans="1:18" ht="15" thickBot="1" x14ac:dyDescent="0.35">
      <c r="A7" s="1" t="s">
        <v>3</v>
      </c>
      <c r="B7" s="108">
        <f>SUM([1]Tagesübersicht!$H$39:$H$43)</f>
        <v>3347</v>
      </c>
      <c r="C7" s="108">
        <f>SUM([1]Tagesübersicht!$M$39:$M$43)</f>
        <v>4789</v>
      </c>
      <c r="D7" s="108">
        <f>SUM([1]Tagesübersicht!$R$39:$R$43)</f>
        <v>45024</v>
      </c>
      <c r="E7" s="108">
        <f>SUM([1]Tagesübersicht!$Y$39:$Y$43)</f>
        <v>15753</v>
      </c>
      <c r="F7" s="108">
        <f>SUM([1]Tagesübersicht!$AF$39:$AF$43)</f>
        <v>22058</v>
      </c>
      <c r="G7" s="114">
        <f>SUM([2]Tagesübersicht!$G$38:$G$42)</f>
        <v>4633</v>
      </c>
      <c r="H7" s="114">
        <f>SUM([2]Tagesübersicht!$S$38:$S$42)</f>
        <v>5259</v>
      </c>
      <c r="I7" s="114">
        <f>SUM([2]Tagesübersicht!$AB$38:$AB$42)</f>
        <v>44975</v>
      </c>
      <c r="J7" s="114">
        <f>SUM([2]Tagesübersicht!$AI$38:$AI$42)</f>
        <v>14325</v>
      </c>
      <c r="K7" s="114">
        <f>SUM([2]Tagesübersicht!$AU$38:$AU$42)</f>
        <v>30599</v>
      </c>
      <c r="L7" s="164">
        <f t="shared" si="0"/>
        <v>4633</v>
      </c>
      <c r="M7" s="164">
        <f t="shared" si="1"/>
        <v>5259</v>
      </c>
      <c r="N7" s="164">
        <f>(I7+'Forecast  '!B5)</f>
        <v>68007</v>
      </c>
      <c r="O7" s="164">
        <f t="shared" si="2"/>
        <v>14325</v>
      </c>
      <c r="P7" s="164">
        <f t="shared" si="3"/>
        <v>30599</v>
      </c>
      <c r="R7" s="102"/>
    </row>
    <row r="8" spans="1:18" ht="15" thickBot="1" x14ac:dyDescent="0.35">
      <c r="A8" s="1" t="s">
        <v>4</v>
      </c>
      <c r="B8" s="108">
        <f>SUM([1]Tagesübersicht!$H$46:$H$50)</f>
        <v>3458</v>
      </c>
      <c r="C8" s="108">
        <f>SUM([1]Tagesübersicht!$M$46:$M$50)</f>
        <v>4764</v>
      </c>
      <c r="D8" s="108">
        <f>SUM([1]Tagesübersicht!$R$46:$R$50)</f>
        <v>42033</v>
      </c>
      <c r="E8" s="108">
        <f>SUM([1]Tagesübersicht!$Y$46:$Y$50)</f>
        <v>14717</v>
      </c>
      <c r="F8" s="108">
        <f>SUM([1]Tagesübersicht!$AF$46:$AF$50)</f>
        <v>30476</v>
      </c>
      <c r="G8" s="114">
        <f>SUM([2]Tagesübersicht!$G$45:$G$49)</f>
        <v>5396</v>
      </c>
      <c r="H8" s="114">
        <f>SUM([2]Tagesübersicht!$S$45:$S$49)</f>
        <v>5419</v>
      </c>
      <c r="I8" s="114">
        <f>SUM([2]Tagesübersicht!$AB$45:$AB$49)</f>
        <v>36740</v>
      </c>
      <c r="J8" s="114">
        <f>SUM([2]Tagesübersicht!$AI$45:$AI$49)</f>
        <v>13439</v>
      </c>
      <c r="K8" s="114">
        <f>SUM([2]Tagesübersicht!$AU$45:$AU$49)</f>
        <v>27900</v>
      </c>
      <c r="L8" s="164">
        <f t="shared" si="0"/>
        <v>5396</v>
      </c>
      <c r="M8" s="164">
        <f t="shared" si="1"/>
        <v>5419</v>
      </c>
      <c r="N8" s="164">
        <f>(I8+'Forecast  '!B6)</f>
        <v>61594</v>
      </c>
      <c r="O8" s="164">
        <f t="shared" si="2"/>
        <v>13439</v>
      </c>
      <c r="P8" s="164">
        <f t="shared" si="3"/>
        <v>27900</v>
      </c>
      <c r="Q8" s="109"/>
    </row>
    <row r="9" spans="1:18" ht="15" thickBot="1" x14ac:dyDescent="0.35">
      <c r="A9" s="1" t="s">
        <v>5</v>
      </c>
      <c r="B9" s="108">
        <f>SUM([1]Tagesübersicht!$H$53:$H$57)</f>
        <v>5433</v>
      </c>
      <c r="C9" s="108">
        <f>SUM([1]Tagesübersicht!$M$53:$M$57)</f>
        <v>5194</v>
      </c>
      <c r="D9" s="108">
        <f>SUM([1]Tagesübersicht!$R$53:$R$57)</f>
        <v>33441</v>
      </c>
      <c r="E9" s="108">
        <f>SUM([1]Tagesübersicht!$Y$53:$Y$57)</f>
        <v>12001</v>
      </c>
      <c r="F9" s="108">
        <f>SUM([1]Tagesübersicht!$AF$53:$AF$57)</f>
        <v>47089</v>
      </c>
      <c r="G9" s="114">
        <f>SUM([2]Tagesübersicht!$G$52:$G$56)</f>
        <v>5053</v>
      </c>
      <c r="H9" s="114">
        <f>SUM([2]Tagesübersicht!$S$52:$S$56)</f>
        <v>5244</v>
      </c>
      <c r="I9" s="114">
        <f>SUM([2]Tagesübersicht!$AB$52:$AB$56)</f>
        <v>36496</v>
      </c>
      <c r="J9" s="114">
        <f>SUM([2]Tagesübersicht!$AI$52:$AI$56)</f>
        <v>12061</v>
      </c>
      <c r="K9" s="114">
        <f>SUM([2]Tagesübersicht!$AU$52:$AU$56)</f>
        <v>17300</v>
      </c>
      <c r="L9" s="164">
        <f t="shared" si="0"/>
        <v>5053</v>
      </c>
      <c r="M9" s="164">
        <f t="shared" si="1"/>
        <v>5244</v>
      </c>
      <c r="N9" s="164">
        <f>(I9+'Forecast  '!B7)</f>
        <v>59406</v>
      </c>
      <c r="O9" s="164">
        <f t="shared" si="2"/>
        <v>12061</v>
      </c>
      <c r="P9" s="164">
        <f t="shared" si="3"/>
        <v>17300</v>
      </c>
      <c r="Q9" s="110"/>
    </row>
    <row r="10" spans="1:18" ht="15" thickBot="1" x14ac:dyDescent="0.35">
      <c r="A10" s="1" t="s">
        <v>6</v>
      </c>
      <c r="B10" s="108">
        <f>SUM([1]Tagesübersicht!$H$60:$H$64)</f>
        <v>5396</v>
      </c>
      <c r="C10" s="108">
        <f>SUM([1]Tagesübersicht!$M$60:$M$64)</f>
        <v>5338</v>
      </c>
      <c r="D10" s="108">
        <f>SUM([1]Tagesübersicht!$R$60:$R$64)</f>
        <v>38283</v>
      </c>
      <c r="E10" s="108">
        <f>SUM([1]Tagesübersicht!$Y$60:$Y$64)</f>
        <v>12206</v>
      </c>
      <c r="F10" s="108">
        <f>SUM([1]Tagesübersicht!$AF$60:$AF$64)</f>
        <v>29260</v>
      </c>
      <c r="G10" s="114">
        <f>SUM([2]Tagesübersicht!$G$59:$G$63)</f>
        <v>5018</v>
      </c>
      <c r="H10" s="114">
        <f>SUM([2]Tagesübersicht!$S$59:$S$63)</f>
        <v>4721</v>
      </c>
      <c r="I10" s="114">
        <f>SUM([2]Tagesübersicht!$AB$59:$AB$63)</f>
        <v>32748</v>
      </c>
      <c r="J10" s="114">
        <f>SUM([2]Tagesübersicht!$AI$59:$AI$63)</f>
        <v>12317</v>
      </c>
      <c r="K10" s="114">
        <f>SUM([2]Tagesübersicht!$AU$59:$AU$63)</f>
        <v>23283</v>
      </c>
      <c r="L10" s="164">
        <f t="shared" si="0"/>
        <v>5018</v>
      </c>
      <c r="M10" s="164">
        <f t="shared" si="1"/>
        <v>4721</v>
      </c>
      <c r="N10" s="164">
        <f>(I10+'Forecast  '!B8)</f>
        <v>55294</v>
      </c>
      <c r="O10" s="164">
        <f t="shared" si="2"/>
        <v>12317</v>
      </c>
      <c r="P10" s="164">
        <f t="shared" si="3"/>
        <v>23283</v>
      </c>
    </row>
    <row r="11" spans="1:18" ht="15" thickBot="1" x14ac:dyDescent="0.35">
      <c r="A11" s="1" t="s">
        <v>7</v>
      </c>
      <c r="B11" s="108">
        <f>SUM([1]Tagesübersicht!$H$67:$H$71)</f>
        <v>5762</v>
      </c>
      <c r="C11" s="108">
        <f>SUM([1]Tagesübersicht!$M$67:$M$71)</f>
        <v>3939</v>
      </c>
      <c r="D11" s="108">
        <f>SUM([1]Tagesübersicht!$R$67:$R$71)</f>
        <v>34345</v>
      </c>
      <c r="E11" s="108">
        <f>SUM([1]Tagesübersicht!$Y$67:Y$71)</f>
        <v>12721</v>
      </c>
      <c r="F11" s="108">
        <f>SUM([1]Tagesübersicht!$AF$67:$AF$71)</f>
        <v>24332</v>
      </c>
      <c r="G11" s="114">
        <f>SUM([2]Tagesübersicht!$G$66:$G$70)</f>
        <v>5818</v>
      </c>
      <c r="H11" s="114">
        <f>SUM([2]Tagesübersicht!$S$66:$S$70)</f>
        <v>5304</v>
      </c>
      <c r="I11" s="114">
        <f>SUM([2]Tagesübersicht!$AB$66:$AB$70)</f>
        <v>33995</v>
      </c>
      <c r="J11" s="114">
        <f>SUM([2]Tagesübersicht!$AI$66:$AI$70)</f>
        <v>11350</v>
      </c>
      <c r="K11" s="114">
        <f>SUM([2]Tagesübersicht!$AU$66:$AU$70)</f>
        <v>26416</v>
      </c>
      <c r="L11" s="164">
        <f t="shared" si="0"/>
        <v>5818</v>
      </c>
      <c r="M11" s="164">
        <f t="shared" si="1"/>
        <v>5304</v>
      </c>
      <c r="N11" s="164">
        <f>(I11+'Forecast  '!B9)</f>
        <v>62651</v>
      </c>
      <c r="O11" s="164">
        <f t="shared" si="2"/>
        <v>11350</v>
      </c>
      <c r="P11" s="164">
        <f t="shared" si="3"/>
        <v>26416</v>
      </c>
    </row>
    <row r="12" spans="1:18" ht="15" thickBot="1" x14ac:dyDescent="0.35">
      <c r="A12" s="1" t="s">
        <v>8</v>
      </c>
      <c r="B12" s="108">
        <f>SUM([1]Tagesübersicht!$H$74:$H$78)</f>
        <v>5169</v>
      </c>
      <c r="C12" s="108">
        <f>SUM([1]Tagesübersicht!$M$74:$M$78)</f>
        <v>4021</v>
      </c>
      <c r="D12" s="108">
        <f>SUM([1]Tagesübersicht!$R$74:$R$78)</f>
        <v>38509</v>
      </c>
      <c r="E12" s="108">
        <f>SUM([1]Tagesübersicht!$Y$74:$Y$78)</f>
        <v>14175</v>
      </c>
      <c r="F12" s="108">
        <f>SUM([1]Tagesübersicht!$AF$74:$AF$78)</f>
        <v>19903</v>
      </c>
      <c r="G12" s="114">
        <f>SUM([2]Tagesübersicht!$G$73:$G$77)</f>
        <v>5555</v>
      </c>
      <c r="H12" s="114">
        <f>SUM([2]Tagesübersicht!$S$73:$S$77)</f>
        <v>4859</v>
      </c>
      <c r="I12" s="114">
        <f>SUM([2]Tagesübersicht!$AB$73:$AB$77)</f>
        <v>32065</v>
      </c>
      <c r="J12" s="114">
        <f>SUM([2]Tagesübersicht!$AI$73:$AI$77)</f>
        <v>12854</v>
      </c>
      <c r="K12" s="114">
        <f>SUM([2]Tagesübersicht!$AU$73:$AU$77)</f>
        <v>23015</v>
      </c>
      <c r="L12" s="164">
        <f t="shared" si="0"/>
        <v>5555</v>
      </c>
      <c r="M12" s="164">
        <f t="shared" si="1"/>
        <v>4859</v>
      </c>
      <c r="N12" s="164">
        <f>(I12+'Forecast  '!B10)</f>
        <v>57323</v>
      </c>
      <c r="O12" s="164">
        <f t="shared" si="2"/>
        <v>12854</v>
      </c>
      <c r="P12" s="164">
        <f t="shared" si="3"/>
        <v>23015</v>
      </c>
    </row>
    <row r="13" spans="1:18" ht="15" thickBot="1" x14ac:dyDescent="0.35">
      <c r="A13" s="1" t="s">
        <v>9</v>
      </c>
      <c r="B13" s="108">
        <f>SUM([1]Tagesübersicht!$H$81:$H$85)</f>
        <v>4429</v>
      </c>
      <c r="C13" s="108">
        <f>SUM([1]Tagesübersicht!$M$81:$M$85)</f>
        <v>4527</v>
      </c>
      <c r="D13" s="108">
        <f>SUM([1]Tagesübersicht!$R$81:$R$85)</f>
        <v>42745</v>
      </c>
      <c r="E13" s="108">
        <f>SUM([1]Tagesübersicht!$Y$81:$Y$85)</f>
        <v>14489</v>
      </c>
      <c r="F13" s="108">
        <f>SUM([1]Tagesübersicht!$AF$81:$AF$85)</f>
        <v>18602</v>
      </c>
      <c r="G13" s="114">
        <f>SUM([2]Tagesübersicht!$G$80:$G$85)</f>
        <v>6173</v>
      </c>
      <c r="H13" s="114">
        <f>SUM([2]Tagesübersicht!$S$80:$S$85)</f>
        <v>4767</v>
      </c>
      <c r="I13" s="114">
        <f>SUM([2]Tagesübersicht!$AB$80:$AB$85)</f>
        <v>39017</v>
      </c>
      <c r="J13" s="114">
        <f>SUM([2]Tagesübersicht!$AI$80:$AI$85)</f>
        <v>14039</v>
      </c>
      <c r="K13" s="114">
        <f>SUM([2]Tagesübersicht!$AU$80:$AU$85)</f>
        <v>28244</v>
      </c>
      <c r="L13" s="164">
        <f t="shared" si="0"/>
        <v>6173</v>
      </c>
      <c r="M13" s="164">
        <f t="shared" si="1"/>
        <v>4767</v>
      </c>
      <c r="N13" s="164">
        <f>(I13+'Forecast  '!B11)</f>
        <v>63375</v>
      </c>
      <c r="O13" s="164">
        <f t="shared" si="2"/>
        <v>14039</v>
      </c>
      <c r="P13" s="164">
        <f t="shared" si="3"/>
        <v>28244</v>
      </c>
    </row>
    <row r="14" spans="1:18" ht="15" thickBot="1" x14ac:dyDescent="0.35">
      <c r="A14" s="1" t="s">
        <v>10</v>
      </c>
      <c r="B14" s="108">
        <f>SUM([1]Tagesübersicht!$H$88:$H$92)</f>
        <v>4374</v>
      </c>
      <c r="C14" s="108">
        <f>SUM([1]Tagesübersicht!$M$88:$M$92)</f>
        <v>4882</v>
      </c>
      <c r="D14" s="108">
        <f>SUM([1]Tagesübersicht!$R$88:$R$92)</f>
        <v>42996</v>
      </c>
      <c r="E14" s="108">
        <f>SUM([1]Tagesübersicht!$Y$88:$Y$92)</f>
        <v>15408</v>
      </c>
      <c r="F14" s="108">
        <f>SUM([1]Tagesübersicht!$AF$88:$AF$92)</f>
        <v>17788</v>
      </c>
      <c r="G14" s="114">
        <f>SUM([2]Tagesübersicht!$G$87:$G$91)</f>
        <v>5047</v>
      </c>
      <c r="H14" s="114">
        <f>SUM([2]Tagesübersicht!$S$87:$S$91)</f>
        <v>6081</v>
      </c>
      <c r="I14" s="114">
        <f>SUM([2]Tagesübersicht!$AB$87:$AB$91)</f>
        <v>37341</v>
      </c>
      <c r="J14" s="114">
        <f>SUM([2]Tagesübersicht!$AI$87:$AI$91)</f>
        <v>14351</v>
      </c>
      <c r="K14" s="114">
        <f>SUM([2]Tagesübersicht!$AU$87:$AU$91)</f>
        <v>24138</v>
      </c>
      <c r="L14" s="164">
        <f t="shared" si="0"/>
        <v>5047</v>
      </c>
      <c r="M14" s="164">
        <f t="shared" si="1"/>
        <v>6081</v>
      </c>
      <c r="N14" s="164">
        <f>(I14+'Forecast  '!B12)</f>
        <v>60358</v>
      </c>
      <c r="O14" s="164">
        <f t="shared" si="2"/>
        <v>14351</v>
      </c>
      <c r="P14" s="164">
        <f t="shared" si="3"/>
        <v>24138</v>
      </c>
    </row>
    <row r="15" spans="1:18" ht="15" thickBot="1" x14ac:dyDescent="0.35">
      <c r="A15" s="1" t="s">
        <v>11</v>
      </c>
      <c r="B15" s="108">
        <f>SUM([1]Tagesübersicht!$H$95:$H$99)</f>
        <v>3846</v>
      </c>
      <c r="C15" s="108">
        <f>SUM([1]Tagesübersicht!$M$95:$M$99)</f>
        <v>4082</v>
      </c>
      <c r="D15" s="108">
        <f>SUM([1]Tagesübersicht!$R$95:$R$99)</f>
        <v>39840</v>
      </c>
      <c r="E15" s="108">
        <f>SUM([1]Tagesübersicht!$Y$95:$Y$99)</f>
        <v>15463</v>
      </c>
      <c r="F15" s="108">
        <f>SUM([1]Tagesübersicht!$AF$95:$AF$99)</f>
        <v>13893</v>
      </c>
      <c r="G15" s="114">
        <f>SUM([2]Tagesübersicht!$G$94:$G$98)</f>
        <v>3473</v>
      </c>
      <c r="H15" s="114">
        <f>SUM([2]Tagesübersicht!$S$94:$S$98)</f>
        <v>6372</v>
      </c>
      <c r="I15" s="114">
        <f>SUM([2]Tagesübersicht!$AB$94:$AB$98)</f>
        <v>42730</v>
      </c>
      <c r="J15" s="114">
        <f>SUM([2]Tagesübersicht!$AI$94:$AI$98)</f>
        <v>14719</v>
      </c>
      <c r="K15" s="114">
        <f>SUM([2]Tagesübersicht!$AU$94:$AU$98)</f>
        <v>20531</v>
      </c>
      <c r="L15" s="164">
        <f t="shared" si="0"/>
        <v>3473</v>
      </c>
      <c r="M15" s="164">
        <f t="shared" si="1"/>
        <v>6372</v>
      </c>
      <c r="N15" s="164">
        <f>(I15+'Forecast  '!B13)</f>
        <v>73729</v>
      </c>
      <c r="O15" s="164">
        <f t="shared" si="2"/>
        <v>14719</v>
      </c>
      <c r="P15" s="164">
        <f t="shared" si="3"/>
        <v>20531</v>
      </c>
    </row>
    <row r="16" spans="1:18" ht="15" thickBot="1" x14ac:dyDescent="0.35">
      <c r="A16" s="1" t="s">
        <v>12</v>
      </c>
      <c r="B16" s="108">
        <f>SUM([1]Tagesübersicht!$H$102:$H$105)</f>
        <v>3050</v>
      </c>
      <c r="C16" s="108">
        <f>SUM([1]Tagesübersicht!$M$102:$M$105)</f>
        <v>3346</v>
      </c>
      <c r="D16" s="108">
        <f>SUM([1]Tagesübersicht!$R$102:$R$105)</f>
        <v>27696</v>
      </c>
      <c r="E16" s="108">
        <f>SUM([1]Tagesübersicht!$Y$102:$Y$105)</f>
        <v>10736</v>
      </c>
      <c r="F16" s="108">
        <f>SUM([1]Tagesübersicht!AF$102:$AF$105)</f>
        <v>15835</v>
      </c>
      <c r="G16" s="114">
        <f>SUM([2]Tagesübersicht!$G$101:$G$105)</f>
        <v>3640</v>
      </c>
      <c r="H16" s="114">
        <f>SUM([2]Tagesübersicht!$S$101:$S$105)</f>
        <v>6352</v>
      </c>
      <c r="I16" s="114">
        <f>SUM([2]Tagesübersicht!$AB$101:$AB$105)</f>
        <v>47650</v>
      </c>
      <c r="J16" s="114">
        <f>SUM([2]Tagesübersicht!$AI$101:$AI$105)</f>
        <v>15359</v>
      </c>
      <c r="K16" s="114">
        <f>SUM([2]Tagesübersicht!$AU$101:$AU$105)</f>
        <v>14323</v>
      </c>
      <c r="L16" s="164">
        <f t="shared" si="0"/>
        <v>3640</v>
      </c>
      <c r="M16" s="164">
        <f t="shared" si="1"/>
        <v>6352</v>
      </c>
      <c r="N16" s="164">
        <f>(I16+'Forecast  '!B14)</f>
        <v>70436</v>
      </c>
      <c r="O16" s="164">
        <f t="shared" si="2"/>
        <v>15359</v>
      </c>
      <c r="P16" s="164">
        <f t="shared" si="3"/>
        <v>14323</v>
      </c>
    </row>
    <row r="17" spans="1:16" ht="15" thickBot="1" x14ac:dyDescent="0.35">
      <c r="A17" s="1" t="s">
        <v>13</v>
      </c>
      <c r="B17" s="108">
        <f>SUM([1]Tagesübersicht!$H$110,[1]Tagesübersicht!$H$111,[1]Tagesübersicht!$H$112,[1]Tagesübersicht!$H$113,[1]Tagesübersicht!$H$114)</f>
        <v>2331</v>
      </c>
      <c r="C17" s="108">
        <f>SUM([1]Tagesübersicht!$M$110,[1]Tagesübersicht!$M$111,[1]Tagesübersicht!$M$112,[1]Tagesübersicht!$M$113,[1]Tagesübersicht!$M$114)</f>
        <v>2968</v>
      </c>
      <c r="D17" s="108">
        <f>SUM([1]Tagesübersicht!$R$110,[1]Tagesübersicht!$R$111,[1]Tagesübersicht!$R$112,[1]Tagesübersicht!$R$113,[1]Tagesübersicht!$R$114)</f>
        <v>26100</v>
      </c>
      <c r="E17" s="108">
        <f>SUM([1]Tagesübersicht!$Y$110,[1]Tagesübersicht!$Y$111,[1]Tagesübersicht!$Y$112,[1]Tagesübersicht!$Y$113,[1]Tagesübersicht!$Y$114)</f>
        <v>11760</v>
      </c>
      <c r="F17" s="108">
        <f>SUM([1]Tagesübersicht!$AF$110,[1]Tagesübersicht!$AF$111,[1]Tagesübersicht!$AF$112,[1]Tagesübersicht!$AF$113,[1]Tagesübersicht!$AF$114)</f>
        <v>15529</v>
      </c>
      <c r="G17" s="114">
        <f>SUM([2]Tagesübersicht!$G$108:$G$112)</f>
        <v>2698</v>
      </c>
      <c r="H17" s="114">
        <f>SUM([2]Tagesübersicht!$S$108:$S$112)</f>
        <v>4039</v>
      </c>
      <c r="I17" s="114">
        <f>SUM([2]Tagesübersicht!$AB$108:$AB$112)</f>
        <v>37602</v>
      </c>
      <c r="J17" s="114">
        <f>SUM([2]Tagesübersicht!$AI$108:$AI$112)</f>
        <v>13584</v>
      </c>
      <c r="K17" s="114">
        <f>SUM([2]Tagesübersicht!$AU$108:$AU$112)</f>
        <v>16779</v>
      </c>
      <c r="L17" s="164">
        <f t="shared" si="0"/>
        <v>2698</v>
      </c>
      <c r="M17" s="164">
        <f t="shared" si="1"/>
        <v>4039</v>
      </c>
      <c r="N17" s="164">
        <f>(I17+'Forecast  '!B15)</f>
        <v>57809</v>
      </c>
      <c r="O17" s="164">
        <f t="shared" si="2"/>
        <v>13584</v>
      </c>
      <c r="P17" s="164">
        <f t="shared" si="3"/>
        <v>16779</v>
      </c>
    </row>
    <row r="18" spans="1:16" ht="15" thickBot="1" x14ac:dyDescent="0.35">
      <c r="A18" s="1" t="s">
        <v>14</v>
      </c>
      <c r="B18" s="108">
        <f>SUM([1]Tagesübersicht!$H$116:$H$121)</f>
        <v>4652</v>
      </c>
      <c r="C18" s="108">
        <f>SUM([1]Tagesübersicht!$M$116:$M$121)</f>
        <v>4963</v>
      </c>
      <c r="D18" s="108">
        <f>SUM([1]Tagesübersicht!$R$116:$R$121)</f>
        <v>45507</v>
      </c>
      <c r="E18" s="108">
        <f>SUM([1]Tagesübersicht!$Y$116:$Y$121)</f>
        <v>14748</v>
      </c>
      <c r="F18" s="108">
        <f>SUM([1]Tagesübersicht!$AF$116:$AF$121)</f>
        <v>23197</v>
      </c>
      <c r="G18" s="114">
        <f>SUM([2]Tagesübersicht!$G$115:$G$119)</f>
        <v>4013</v>
      </c>
      <c r="H18" s="114">
        <f>SUM([2]Tagesübersicht!$S$115:$S$119)</f>
        <v>3942</v>
      </c>
      <c r="I18" s="114">
        <f>SUM([2]Tagesübersicht!$AB$115:$AB$119)</f>
        <v>34980</v>
      </c>
      <c r="J18" s="114">
        <f>SUM([2]Tagesübersicht!$AI$115:$AI$119)</f>
        <v>12378</v>
      </c>
      <c r="K18" s="114">
        <f>SUM([2]Tagesübersicht!$AU$115:$AU$119)</f>
        <v>17115</v>
      </c>
      <c r="L18" s="164">
        <f t="shared" si="0"/>
        <v>4013</v>
      </c>
      <c r="M18" s="164">
        <f t="shared" si="1"/>
        <v>3942</v>
      </c>
      <c r="N18" s="164">
        <f>(I18+'Forecast  '!B16)</f>
        <v>57116</v>
      </c>
      <c r="O18" s="164">
        <f t="shared" si="2"/>
        <v>12378</v>
      </c>
      <c r="P18" s="164">
        <f t="shared" si="3"/>
        <v>17115</v>
      </c>
    </row>
    <row r="19" spans="1:16" ht="15" thickBot="1" x14ac:dyDescent="0.35">
      <c r="A19" s="1" t="s">
        <v>15</v>
      </c>
      <c r="B19" s="108">
        <f>SUM([1]Tagesübersicht!$H$123:$H$127)</f>
        <v>3494</v>
      </c>
      <c r="C19" s="108">
        <f>SUM([1]Tagesübersicht!$M$123:$M$127)</f>
        <v>3915</v>
      </c>
      <c r="D19" s="108">
        <f>SUM([1]Tagesübersicht!$R$123:$R$127)</f>
        <v>37085</v>
      </c>
      <c r="E19" s="108">
        <f>SUM([1]Tagesübersicht!$Y$123:$Y$127)</f>
        <v>15020</v>
      </c>
      <c r="F19" s="108">
        <f>SUM([1]Tagesübersicht!$AF$123:$AF$127)</f>
        <v>22363</v>
      </c>
      <c r="G19" s="114">
        <f>SUM([2]Tagesübersicht!$G$122:$G$126)</f>
        <v>1990</v>
      </c>
      <c r="H19" s="114">
        <f>SUM([2]Tagesübersicht!$S$122:$S$126)</f>
        <v>3140</v>
      </c>
      <c r="I19" s="114">
        <f>SUM([2]Tagesübersicht!$AB$122:$AB$126)</f>
        <v>26506</v>
      </c>
      <c r="J19" s="114">
        <f>SUM([2]Tagesübersicht!$AI$122:$AI$126)</f>
        <v>9782</v>
      </c>
      <c r="K19" s="114">
        <f>SUM([2]Tagesübersicht!$AU$122:$AU$126)</f>
        <v>19467</v>
      </c>
      <c r="L19" s="164">
        <f t="shared" si="0"/>
        <v>1990</v>
      </c>
      <c r="M19" s="164">
        <f t="shared" si="1"/>
        <v>3140</v>
      </c>
      <c r="N19" s="164">
        <f>(I19+'Forecast  '!B17)</f>
        <v>42271</v>
      </c>
      <c r="O19" s="164">
        <f t="shared" si="2"/>
        <v>9782</v>
      </c>
      <c r="P19" s="164">
        <f t="shared" si="3"/>
        <v>19467</v>
      </c>
    </row>
    <row r="20" spans="1:16" ht="15" thickBot="1" x14ac:dyDescent="0.35">
      <c r="A20" s="1" t="s">
        <v>16</v>
      </c>
      <c r="B20" s="108">
        <f>SUM([1]Tagesübersicht!$H$130:$H$134)</f>
        <v>3702</v>
      </c>
      <c r="C20" s="108">
        <f>SUM([1]Tagesübersicht!$M$130:$M$134)</f>
        <v>3838</v>
      </c>
      <c r="D20" s="108">
        <f>SUM([1]Tagesübersicht!$R$130:$R$134)</f>
        <v>35460</v>
      </c>
      <c r="E20" s="108">
        <f>SUM([1]Tagesübersicht!$Y$130:$Y$134)</f>
        <v>15324</v>
      </c>
      <c r="F20" s="108">
        <f>SUM([1]Tagesübersicht!$AF$130:$AF$134)</f>
        <v>15645</v>
      </c>
      <c r="G20" s="114">
        <f>SUM([2]Tagesübersicht!$G$129:$G$133)</f>
        <v>3426</v>
      </c>
      <c r="H20" s="114">
        <f>SUM([2]Tagesübersicht!$S$129:$S$133)</f>
        <v>2903</v>
      </c>
      <c r="I20" s="114">
        <f>SUM([2]Tagesübersicht!$AB$129:$AB$133)</f>
        <v>27971</v>
      </c>
      <c r="J20" s="114">
        <f>SUM([2]Tagesübersicht!$AI$129:$AI$133)</f>
        <v>10411</v>
      </c>
      <c r="K20" s="114">
        <f>SUM([2]Tagesübersicht!$AU$129:$AU$133)</f>
        <v>10334</v>
      </c>
      <c r="L20" s="164">
        <f t="shared" si="0"/>
        <v>3426</v>
      </c>
      <c r="M20" s="164">
        <f t="shared" si="1"/>
        <v>2903</v>
      </c>
      <c r="N20" s="164">
        <f>(I20+'Forecast  '!B18)</f>
        <v>48070</v>
      </c>
      <c r="O20" s="164">
        <f t="shared" si="2"/>
        <v>10411</v>
      </c>
      <c r="P20" s="164">
        <f t="shared" si="3"/>
        <v>10334</v>
      </c>
    </row>
    <row r="21" spans="1:16" ht="15" thickBot="1" x14ac:dyDescent="0.35">
      <c r="A21" s="1" t="s">
        <v>17</v>
      </c>
      <c r="B21" s="108">
        <f>SUM([1]Tagesübersicht!$H$137,[1]Tagesübersicht!$H$139,[1]Tagesübersicht!$H$140,[1]Tagesübersicht!$H$141)</f>
        <v>1751</v>
      </c>
      <c r="C21" s="108">
        <f>SUM([1]Tagesübersicht!$M$137,[1]Tagesübersicht!$M$139,[1]Tagesübersicht!$M$140,[1]Tagesübersicht!$M$141)</f>
        <v>3107</v>
      </c>
      <c r="D21" s="108">
        <f>SUM([1]Tagesübersicht!$R$137,[1]Tagesübersicht!$R$139,[1]Tagesübersicht!$R$140,[1]Tagesübersicht!$R$141)</f>
        <v>32234</v>
      </c>
      <c r="E21" s="108">
        <f>SUM([1]Tagesübersicht!$Y$137,[1]Tagesübersicht!$Y$139,[1]Tagesübersicht!$Y$140,[1]Tagesübersicht!$Y$141)</f>
        <v>11947</v>
      </c>
      <c r="F21" s="108">
        <f>SUM([1]Tagesübersicht!$AF$137,[1]Tagesübersicht!$AF$139,[1]Tagesübersicht!$AF$140,[1]Tagesübersicht!$AF$141)</f>
        <v>14106</v>
      </c>
      <c r="G21" s="114">
        <f>SUM([2]Tagesübersicht!$G$136:$G$140)</f>
        <v>4069</v>
      </c>
      <c r="H21" s="114">
        <f>SUM([2]Tagesübersicht!$S$136:$S$140)</f>
        <v>3467</v>
      </c>
      <c r="I21" s="114">
        <f>SUM([2]Tagesübersicht!$AB$136:$AB$140)</f>
        <v>35274</v>
      </c>
      <c r="J21" s="114">
        <f>SUM([2]Tagesübersicht!$AI$136:$AI$140)</f>
        <v>11561</v>
      </c>
      <c r="K21" s="114">
        <f>SUM([2]Tagesübersicht!$AU$136:$AU$140)</f>
        <v>14908</v>
      </c>
      <c r="L21" s="164">
        <f t="shared" si="0"/>
        <v>4069</v>
      </c>
      <c r="M21" s="164">
        <f t="shared" si="1"/>
        <v>3467</v>
      </c>
      <c r="N21" s="164">
        <f>(I21+'Forecast  '!B19)</f>
        <v>54035</v>
      </c>
      <c r="O21" s="164">
        <f t="shared" si="2"/>
        <v>11561</v>
      </c>
      <c r="P21" s="164">
        <f t="shared" si="3"/>
        <v>14908</v>
      </c>
    </row>
    <row r="22" spans="1:16" ht="15" thickBot="1" x14ac:dyDescent="0.35">
      <c r="A22" s="1" t="s">
        <v>18</v>
      </c>
      <c r="B22" s="108">
        <f>SUM([1]Tagesübersicht!$H$144,[1]Tagesübersicht!$H$145,[1]Tagesübersicht!$H$146,[1]Tagesübersicht!$H$148)</f>
        <v>2226</v>
      </c>
      <c r="C22" s="108">
        <f>SUM([1]Tagesübersicht!$M$144,[1]Tagesübersicht!$M$145,[1]Tagesübersicht!$M$146,[1]Tagesübersicht!$M$148)</f>
        <v>3134</v>
      </c>
      <c r="D22" s="108">
        <f>SUM([1]Tagesübersicht!$R$144,[1]Tagesübersicht!$R$145,[1]Tagesübersicht!$R$146,[1]Tagesübersicht!$R$148)</f>
        <v>28311</v>
      </c>
      <c r="E22" s="108">
        <f>SUM([1]Tagesübersicht!$Y$144,[1]Tagesübersicht!$Y$145,[1]Tagesübersicht!$Y$146,[1]Tagesübersicht!$Y$148)</f>
        <v>10772</v>
      </c>
      <c r="F22" s="108">
        <f>SUM([1]Tagesübersicht!$AF$144,[1]Tagesübersicht!$AF$145,[1]Tagesübersicht!$AF$146,[1]Tagesübersicht!$AF$148)</f>
        <v>20716</v>
      </c>
      <c r="G22" s="114">
        <f>SUM([2]Tagesübersicht!$G$143:$G$147)</f>
        <v>3004</v>
      </c>
      <c r="H22" s="114">
        <f>SUM([2]Tagesübersicht!$S$143:$S$147)</f>
        <v>5190</v>
      </c>
      <c r="I22" s="114">
        <f>SUM([2]Tagesübersicht!$AB$143:$AB$147)</f>
        <v>36848</v>
      </c>
      <c r="J22" s="114">
        <f>SUM([2]Tagesübersicht!$AI$143:$AI$147)</f>
        <v>12823</v>
      </c>
      <c r="K22" s="114">
        <f>SUM([2]Tagesübersicht!$AU$143:$AU$147)</f>
        <v>29434</v>
      </c>
      <c r="L22" s="164">
        <f t="shared" si="0"/>
        <v>3004</v>
      </c>
      <c r="M22" s="164">
        <f t="shared" si="1"/>
        <v>5190</v>
      </c>
      <c r="N22" s="164">
        <f>(I22+'Forecast  '!B20)</f>
        <v>59391</v>
      </c>
      <c r="O22" s="164">
        <f t="shared" si="2"/>
        <v>12823</v>
      </c>
      <c r="P22" s="164">
        <f t="shared" si="3"/>
        <v>29434</v>
      </c>
    </row>
    <row r="23" spans="1:16" ht="15" thickBot="1" x14ac:dyDescent="0.35">
      <c r="A23" s="1" t="s">
        <v>19</v>
      </c>
      <c r="B23" s="108">
        <f>SUM([1]Tagesübersicht!$H$151:$H$155)</f>
        <v>3787</v>
      </c>
      <c r="C23" s="108">
        <f>SUM([1]Tagesübersicht!$M$151:$M$155)</f>
        <v>4242</v>
      </c>
      <c r="D23" s="108">
        <f>SUM([1]Tagesübersicht!$R$151:$R$155)</f>
        <v>33127</v>
      </c>
      <c r="E23" s="108">
        <f>SUM([1]Tagesübersicht!$Y$151:$Y$155)</f>
        <v>10788</v>
      </c>
      <c r="F23" s="108">
        <f>SUM([1]Tagesübersicht!$AF$151:$AF$155)</f>
        <v>29735</v>
      </c>
      <c r="G23" s="114">
        <f>SUM([2]Tagesübersicht!$G$150:$G$154)</f>
        <v>4984</v>
      </c>
      <c r="H23" s="114">
        <f>SUM([2]Tagesübersicht!$S$150:$S$154)</f>
        <v>5013</v>
      </c>
      <c r="I23" s="114">
        <f>SUM([2]Tagesübersicht!$AB$150:$AB$154)</f>
        <v>44712</v>
      </c>
      <c r="J23" s="114">
        <f>SUM([2]Tagesübersicht!$AI$150:$AI$154)</f>
        <v>12824</v>
      </c>
      <c r="K23" s="114">
        <f>SUM([2]Tagesübersicht!$AU$150:$AU$154)</f>
        <v>29137</v>
      </c>
      <c r="L23" s="164">
        <f t="shared" si="0"/>
        <v>4984</v>
      </c>
      <c r="M23" s="164">
        <f t="shared" si="1"/>
        <v>5013</v>
      </c>
      <c r="N23" s="164">
        <f>(I23+'Forecast  '!B21)</f>
        <v>67701</v>
      </c>
      <c r="O23" s="164">
        <f t="shared" si="2"/>
        <v>12824</v>
      </c>
      <c r="P23" s="164">
        <f t="shared" si="3"/>
        <v>29137</v>
      </c>
    </row>
    <row r="24" spans="1:16" ht="15" thickBot="1" x14ac:dyDescent="0.35">
      <c r="A24" s="1" t="s">
        <v>20</v>
      </c>
      <c r="B24" s="108">
        <f>SUM([1]Tagesübersicht!$H$159:$H$162)</f>
        <v>2774</v>
      </c>
      <c r="C24" s="108">
        <f>SUM([1]Tagesübersicht!$M$159:$M$162)</f>
        <v>3000</v>
      </c>
      <c r="D24" s="108">
        <f>SUM([1]Tagesübersicht!$R$159:$R$162)</f>
        <v>26727</v>
      </c>
      <c r="E24" s="108">
        <f>SUM([1]Tagesübersicht!$Y$159:$Y$162)</f>
        <v>10058</v>
      </c>
      <c r="F24" s="108">
        <f>SUM([1]Tagesübersicht!$AF$159:$AF$162)</f>
        <v>15019</v>
      </c>
      <c r="G24" s="114">
        <f>SUM([2]Tagesübersicht!$G$157:$G$161)</f>
        <v>3863</v>
      </c>
      <c r="H24" s="114">
        <f>SUM([2]Tagesübersicht!$S$157:$S$161)</f>
        <v>4424</v>
      </c>
      <c r="I24" s="114">
        <f>SUM([2]Tagesübersicht!$AB$157:$AB$161)</f>
        <v>36604</v>
      </c>
      <c r="J24" s="114">
        <f>SUM([2]Tagesübersicht!$AI$157:$AI$161)</f>
        <v>13093</v>
      </c>
      <c r="K24" s="114">
        <f>SUM([2]Tagesübersicht!$AU$157:$AU$161)</f>
        <v>17305</v>
      </c>
      <c r="L24" s="164">
        <f t="shared" si="0"/>
        <v>3863</v>
      </c>
      <c r="M24" s="164">
        <f t="shared" si="1"/>
        <v>4424</v>
      </c>
      <c r="N24" s="164">
        <f>(I24+'Forecast  '!B22)</f>
        <v>62213</v>
      </c>
      <c r="O24" s="164">
        <f t="shared" si="2"/>
        <v>13093</v>
      </c>
      <c r="P24" s="164">
        <f t="shared" si="3"/>
        <v>17305</v>
      </c>
    </row>
    <row r="25" spans="1:16" ht="15" thickBot="1" x14ac:dyDescent="0.35">
      <c r="A25" s="1" t="s">
        <v>21</v>
      </c>
      <c r="B25" s="108">
        <f>SUM([1]Tagesübersicht!$H$165,[1]Tagesübersicht!$H$166,[1]Tagesübersicht!$H$167,[1]Tagesübersicht!$H$169)</f>
        <v>2873</v>
      </c>
      <c r="C25" s="108">
        <f>SUM([1]Tagesübersicht!$M$165,[1]Tagesübersicht!$M$166,[1]Tagesübersicht!$M$167,[1]Tagesübersicht!$M$169)</f>
        <v>3225</v>
      </c>
      <c r="D25" s="108">
        <f>SUM([1]Tagesübersicht!$R$165,[1]Tagesübersicht!$R$166,[1]Tagesübersicht!$R$167,[1]Tagesübersicht!$R$169)</f>
        <v>24250</v>
      </c>
      <c r="E25" s="108">
        <f>SUM([1]Tagesübersicht!$Y$165,[1]Tagesübersicht!$Y$166,[1]Tagesübersicht!$Y$167,[1]Tagesübersicht!$Y$169)</f>
        <v>9886</v>
      </c>
      <c r="F25" s="108">
        <f>SUM([1]Tagesübersicht!$AF$165,[1]Tagesübersicht!$AF$166,[1]Tagesübersicht!$AF$167,[1]Tagesübersicht!$AF$169)</f>
        <v>15679</v>
      </c>
      <c r="G25" s="114">
        <f>SUM([2]Tagesübersicht!$G$164:$G$168)</f>
        <v>2620</v>
      </c>
      <c r="H25" s="114">
        <f>SUM([2]Tagesübersicht!$S$164:$S$168)</f>
        <v>3146</v>
      </c>
      <c r="I25" s="114">
        <f>SUM([2]Tagesübersicht!$AB$164:$AB$168)</f>
        <v>25656</v>
      </c>
      <c r="J25" s="114">
        <f>SUM([2]Tagesübersicht!$AI$164:$AI$168)</f>
        <v>10363</v>
      </c>
      <c r="K25" s="114">
        <f>SUM([2]Tagesübersicht!$AU$164:$AU$168)</f>
        <v>17122</v>
      </c>
      <c r="L25" s="164">
        <f t="shared" si="0"/>
        <v>2620</v>
      </c>
      <c r="M25" s="164">
        <f t="shared" si="1"/>
        <v>3146</v>
      </c>
      <c r="N25" s="164">
        <f>(I25+'Forecast  '!B23)</f>
        <v>41977</v>
      </c>
      <c r="O25" s="164">
        <f t="shared" si="2"/>
        <v>10363</v>
      </c>
      <c r="P25" s="164">
        <f t="shared" si="3"/>
        <v>17122</v>
      </c>
    </row>
    <row r="26" spans="1:16" ht="15" thickBot="1" x14ac:dyDescent="0.35">
      <c r="A26" s="1" t="s">
        <v>22</v>
      </c>
      <c r="B26" s="108">
        <f>SUM([1]Tagesübersicht!$H$172:$H$176)</f>
        <v>4673</v>
      </c>
      <c r="C26" s="108">
        <f>SUM([1]Tagesübersicht!$M$172:$M$176)</f>
        <v>3885</v>
      </c>
      <c r="D26" s="108">
        <f>SUM([1]Tagesübersicht!$R$172:$R$176)</f>
        <v>36178</v>
      </c>
      <c r="E26" s="108">
        <f>SUM([1]Tagesübersicht!$Y$172:$Y$176)</f>
        <v>11562</v>
      </c>
      <c r="F26" s="108">
        <f>SUM([1]Tagesübersicht!$AF$172:$AF$176)</f>
        <v>23003</v>
      </c>
      <c r="G26" s="114">
        <f>SUM([2]Tagesübersicht!$G$171:$G$175)</f>
        <v>5368</v>
      </c>
      <c r="H26" s="114">
        <f>SUM([2]Tagesübersicht!$S$171:$S$175)</f>
        <v>5306</v>
      </c>
      <c r="I26" s="114">
        <f>SUM([2]Tagesübersicht!$AB$171:$AB$175)</f>
        <v>35284</v>
      </c>
      <c r="J26" s="114">
        <f>SUM([2]Tagesübersicht!$AI$171:$AI$175)</f>
        <v>11720</v>
      </c>
      <c r="K26" s="114">
        <f>SUM([2]Tagesübersicht!$AU$171:$AU$175)</f>
        <v>31363</v>
      </c>
      <c r="L26" s="164">
        <f t="shared" si="0"/>
        <v>5368</v>
      </c>
      <c r="M26" s="164">
        <f t="shared" si="1"/>
        <v>5306</v>
      </c>
      <c r="N26" s="164">
        <f>(I26+'Forecast  '!B24)</f>
        <v>55312.100000000006</v>
      </c>
      <c r="O26" s="164">
        <f t="shared" si="2"/>
        <v>11720</v>
      </c>
      <c r="P26" s="164">
        <f t="shared" si="3"/>
        <v>31363</v>
      </c>
    </row>
    <row r="27" spans="1:16" ht="15" thickBot="1" x14ac:dyDescent="0.35">
      <c r="A27" s="1" t="s">
        <v>23</v>
      </c>
      <c r="B27" s="108">
        <f>SUM([1]Tagesübersicht!$H$179:$H$183)</f>
        <v>5348</v>
      </c>
      <c r="C27" s="108">
        <f>SUM([1]Tagesübersicht!$M$179:$M$183)</f>
        <v>6075</v>
      </c>
      <c r="D27" s="108">
        <f>SUM([1]Tagesübersicht!$R$179:$R$183)</f>
        <v>34818</v>
      </c>
      <c r="E27" s="108">
        <f>SUM([1]Tagesübersicht!$Y$179:$Y$183)</f>
        <v>11974</v>
      </c>
      <c r="F27" s="108">
        <f>SUM([1]Tagesübersicht!$AF$179:$AF$183)</f>
        <v>20614</v>
      </c>
      <c r="G27" s="114">
        <f>SUM([2]Tagesübersicht!$G$179:$G$183)</f>
        <v>4036</v>
      </c>
      <c r="H27" s="114">
        <f>SUM([2]Tagesübersicht!$S$179:$S$183)</f>
        <v>3161</v>
      </c>
      <c r="I27" s="114">
        <f>SUM([2]Tagesübersicht!$AB$179:$AB$183)</f>
        <v>42871</v>
      </c>
      <c r="J27" s="114">
        <f>SUM([2]Tagesübersicht!$AI$179:$AI$183)</f>
        <v>12077</v>
      </c>
      <c r="K27" s="114">
        <f>SUM([2]Tagesübersicht!$AU$179:$AU$183)</f>
        <v>16971</v>
      </c>
      <c r="L27" s="164">
        <f t="shared" si="0"/>
        <v>4036</v>
      </c>
      <c r="M27" s="164">
        <f t="shared" si="1"/>
        <v>3161</v>
      </c>
      <c r="N27" s="164">
        <f>(I27+'Forecast  '!B25)</f>
        <v>61209.119999999995</v>
      </c>
      <c r="O27" s="164">
        <f t="shared" si="2"/>
        <v>12077</v>
      </c>
      <c r="P27" s="164">
        <f t="shared" si="3"/>
        <v>16971</v>
      </c>
    </row>
    <row r="28" spans="1:16" ht="15" thickBot="1" x14ac:dyDescent="0.35">
      <c r="A28" s="1" t="s">
        <v>24</v>
      </c>
      <c r="B28" s="108">
        <f>SUM([1]Tagesübersicht!$H$186:$H$190)</f>
        <v>3647</v>
      </c>
      <c r="C28" s="108">
        <f>SUM([1]Tagesübersicht!$M$186:$M$190)</f>
        <v>4583</v>
      </c>
      <c r="D28" s="108">
        <f>SUM([1]Tagesübersicht!$R$186:$R$190)</f>
        <v>37679</v>
      </c>
      <c r="E28" s="108">
        <f>SUM([1]Tagesübersicht!$Y$186:$Y$190)</f>
        <v>12120</v>
      </c>
      <c r="F28" s="108">
        <f>SUM([1]Tagesübersicht!$AF$186:$AF$190)</f>
        <v>19897</v>
      </c>
      <c r="G28" s="115">
        <f>B28+(B28*'Différence 2018-2019'!$B$4)</f>
        <v>4172.0369828528583</v>
      </c>
      <c r="H28" s="116">
        <f>C28+(C28*'Différence 2018-2019'!$C$4)</f>
        <v>5285.2178281542228</v>
      </c>
      <c r="I28" s="117">
        <f>D28+(D28*'Différence 2018-2019'!$D$4)</f>
        <v>39314.062886457948</v>
      </c>
      <c r="J28" s="117">
        <f>E28+(E28*'Différence 2018-2019'!$E$4)</f>
        <v>11876.670706232866</v>
      </c>
      <c r="K28" s="117">
        <f>F28+(F28*'Différence 2018-2019'!$F$4)</f>
        <v>20775.87961887725</v>
      </c>
      <c r="L28" s="164">
        <f t="shared" si="0"/>
        <v>4172.0369828528583</v>
      </c>
      <c r="M28" s="164">
        <f t="shared" si="1"/>
        <v>5285.2178281542228</v>
      </c>
      <c r="N28" s="164">
        <f>(I28+'Forecast  '!B26)</f>
        <v>59049.582886457953</v>
      </c>
      <c r="O28" s="164">
        <f t="shared" si="2"/>
        <v>11876.670706232866</v>
      </c>
      <c r="P28" s="164">
        <f t="shared" si="3"/>
        <v>20775.87961887725</v>
      </c>
    </row>
    <row r="29" spans="1:16" ht="15" thickBot="1" x14ac:dyDescent="0.35">
      <c r="A29" s="1" t="s">
        <v>25</v>
      </c>
      <c r="B29" s="108">
        <f>SUM([1]Tagesübersicht!$H$193:$H$197)</f>
        <v>4456</v>
      </c>
      <c r="C29" s="108">
        <f>SUM([1]Tagesübersicht!$M$193:$M$197)</f>
        <v>4349</v>
      </c>
      <c r="D29" s="108">
        <f>SUM([1]Tagesübersicht!$R$193:$R$197)</f>
        <v>34578</v>
      </c>
      <c r="E29" s="108">
        <f>SUM([1]Tagesübersicht!$Y$193:$Y$197)</f>
        <v>12023</v>
      </c>
      <c r="F29" s="108">
        <f>SUM([1]Tagesübersicht!$AF$193:$AF$197)</f>
        <v>18174</v>
      </c>
      <c r="G29" s="115">
        <f>B29+(B29*'Différence 2018-2019'!$B$4)</f>
        <v>5097.5039198224122</v>
      </c>
      <c r="H29" s="116">
        <f>C29+(C29*'Différence 2018-2019'!$C$4)</f>
        <v>5015.3638085626699</v>
      </c>
      <c r="I29" s="117">
        <f>D29+(D29*'Différence 2018-2019'!$D$4)</f>
        <v>36078.496416782371</v>
      </c>
      <c r="J29" s="117">
        <f>E29+(E29*'Différence 2018-2019'!$E$4)</f>
        <v>11781.618143649979</v>
      </c>
      <c r="K29" s="117">
        <f>F29+(F29*'Différence 2018-2019'!$F$4)</f>
        <v>18976.772186433889</v>
      </c>
      <c r="L29" s="164">
        <f t="shared" si="0"/>
        <v>5097.5039198224122</v>
      </c>
      <c r="M29" s="164">
        <f t="shared" si="1"/>
        <v>5015.3638085626699</v>
      </c>
      <c r="N29" s="164">
        <f>(I29+'Forecast  '!B27)</f>
        <v>52646.776416782377</v>
      </c>
      <c r="O29" s="164">
        <f t="shared" si="2"/>
        <v>11781.618143649979</v>
      </c>
      <c r="P29" s="164">
        <f t="shared" si="3"/>
        <v>18976.772186433889</v>
      </c>
    </row>
    <row r="30" spans="1:16" s="4" customFormat="1" ht="15" thickBot="1" x14ac:dyDescent="0.35">
      <c r="A30" s="3" t="s">
        <v>26</v>
      </c>
      <c r="B30" s="108">
        <f>SUM([1]Tagesübersicht!$H$200:$H$204)</f>
        <v>3689</v>
      </c>
      <c r="C30" s="108">
        <f>SUM([1]Tagesübersicht!$M$200:$M$204)</f>
        <v>4206</v>
      </c>
      <c r="D30" s="108">
        <f>SUM([1]Tagesübersicht!$R$200:$R$204)</f>
        <v>30802</v>
      </c>
      <c r="E30" s="108">
        <f>SUM([1]Tagesübersicht!$Y$200:$Y$204)</f>
        <v>11627</v>
      </c>
      <c r="F30" s="108">
        <f>SUM([1]Tagesübersicht!$AF$200:$AF$204)</f>
        <v>22882</v>
      </c>
      <c r="G30" s="115">
        <f>B30+(B30*'Différence 2018-2019'!$B$4)</f>
        <v>4220.0834740181499</v>
      </c>
      <c r="H30" s="116">
        <f>C30+(C30*'Différence 2018-2019'!$C$4)</f>
        <v>4850.4530188122762</v>
      </c>
      <c r="I30" s="117">
        <f>D30+(D30*'Différence 2018-2019'!$D$4)</f>
        <v>32138.638632359609</v>
      </c>
      <c r="J30" s="117">
        <f>E30+(E30*'Différence 2018-2019'!$E$4)</f>
        <v>11393.568506713658</v>
      </c>
      <c r="K30" s="117">
        <f>F30+(F30*'Différence 2018-2019'!$F$4)</f>
        <v>23892.731438867628</v>
      </c>
      <c r="L30" s="164">
        <f t="shared" si="0"/>
        <v>4220.0834740181499</v>
      </c>
      <c r="M30" s="164">
        <f t="shared" si="1"/>
        <v>4850.4530188122762</v>
      </c>
      <c r="N30" s="164">
        <f>(I30+'Forecast  '!B28)</f>
        <v>50875.17863235961</v>
      </c>
      <c r="O30" s="164">
        <f t="shared" si="2"/>
        <v>11393.568506713658</v>
      </c>
      <c r="P30" s="164">
        <f t="shared" si="3"/>
        <v>23892.731438867628</v>
      </c>
    </row>
    <row r="31" spans="1:16" ht="15" thickBot="1" x14ac:dyDescent="0.35">
      <c r="A31" s="1" t="s">
        <v>27</v>
      </c>
      <c r="B31" s="108">
        <f>SUM([1]Tagesübersicht!$H$207:$H$211)</f>
        <v>3735</v>
      </c>
      <c r="C31" s="108">
        <f>SUM([1]Tagesübersicht!$M$207:$M$211)</f>
        <v>3880</v>
      </c>
      <c r="D31" s="108">
        <f>SUM([1]Tagesübersicht!$R$207:$R$211)</f>
        <v>37806</v>
      </c>
      <c r="E31" s="108">
        <f>SUM([1]Tagesübersicht!$Y$207:$Y$211)</f>
        <v>12535</v>
      </c>
      <c r="F31" s="108">
        <f>SUM([1]Tagesübersicht!$AF$207:$AF$211)</f>
        <v>24721</v>
      </c>
      <c r="G31" s="115">
        <f>B31+(B31*'Différence 2018-2019'!$B$4)</f>
        <v>4272.7058214848985</v>
      </c>
      <c r="H31" s="116">
        <f>C31+(C31*'Différence 2018-2019'!$C$4)</f>
        <v>4474.5025470736164</v>
      </c>
      <c r="I31" s="117">
        <f>D31+(D31*'Différence 2018-2019'!$D$4)</f>
        <v>39446.57399308445</v>
      </c>
      <c r="J31" s="117">
        <f>E31+(E31*'Différence 2018-2019'!$E$4)</f>
        <v>12283.338886355526</v>
      </c>
      <c r="K31" s="117">
        <f>F31+(F31*'Différence 2018-2019'!$F$4)</f>
        <v>25812.962761133058</v>
      </c>
      <c r="L31" s="164">
        <f t="shared" si="0"/>
        <v>4272.7058214848985</v>
      </c>
      <c r="M31" s="164">
        <f t="shared" si="1"/>
        <v>4474.5025470736164</v>
      </c>
      <c r="N31" s="164">
        <f>(I31+'Forecast  '!B29)</f>
        <v>61217.613993084451</v>
      </c>
      <c r="O31" s="164">
        <f t="shared" si="2"/>
        <v>12283.338886355526</v>
      </c>
      <c r="P31" s="164">
        <f t="shared" si="3"/>
        <v>25812.962761133058</v>
      </c>
    </row>
    <row r="32" spans="1:16" ht="15" thickBot="1" x14ac:dyDescent="0.35">
      <c r="A32" s="1" t="s">
        <v>28</v>
      </c>
      <c r="B32" s="108">
        <f>SUM([1]Tagesübersicht!$H$214:$H$218)</f>
        <v>4013</v>
      </c>
      <c r="C32" s="108">
        <f>SUM([1]Tagesübersicht!$M$214:$M$218)</f>
        <v>4167</v>
      </c>
      <c r="D32" s="108">
        <f>SUM([1]Tagesübersicht!$R$214:$R$218)</f>
        <v>32982</v>
      </c>
      <c r="E32" s="108">
        <f>SUM([1]Tagesübersicht!$Y$214:$Y$218)</f>
        <v>12035</v>
      </c>
      <c r="F32" s="108">
        <f>SUM([1]Tagesübersicht!$AF$214:$AF$218)</f>
        <v>25141</v>
      </c>
      <c r="G32" s="115">
        <f>B32+(B32*'Différence 2018-2019'!$B$4)</f>
        <v>4590.7278344361175</v>
      </c>
      <c r="H32" s="116">
        <f>C32+(C32*'Différence 2018-2019'!$C$4)</f>
        <v>4805.4773488803512</v>
      </c>
      <c r="I32" s="117">
        <f>D32+(D32*'Différence 2018-2019'!$D$4)</f>
        <v>34413.238730357916</v>
      </c>
      <c r="J32" s="117">
        <f>E32+(E32*'Différence 2018-2019'!$E$4)</f>
        <v>11793.37722355714</v>
      </c>
      <c r="K32" s="117">
        <f>F32+(F32*'Différence 2018-2019'!$F$4)</f>
        <v>26251.514776006079</v>
      </c>
      <c r="L32" s="164">
        <f t="shared" si="0"/>
        <v>4590.7278344361175</v>
      </c>
      <c r="M32" s="164">
        <f t="shared" si="1"/>
        <v>4805.4773488803512</v>
      </c>
      <c r="N32" s="164">
        <f>(I32+'Forecast  '!B30)</f>
        <v>51931.258730357913</v>
      </c>
      <c r="O32" s="164">
        <f t="shared" si="2"/>
        <v>11793.37722355714</v>
      </c>
      <c r="P32" s="164">
        <f t="shared" si="3"/>
        <v>26251.514776006079</v>
      </c>
    </row>
    <row r="33" spans="1:16" ht="15" thickBot="1" x14ac:dyDescent="0.35">
      <c r="A33" s="1" t="s">
        <v>29</v>
      </c>
      <c r="B33" s="108">
        <f>SUM([1]Tagesübersicht!$H$221:$H$225)</f>
        <v>4899</v>
      </c>
      <c r="C33" s="108">
        <f>SUM([1]Tagesübersicht!$M$221:$M$225)</f>
        <v>5045</v>
      </c>
      <c r="D33" s="108">
        <f>SUM([1]Tagesübersicht!$R$221:$R$225)</f>
        <v>28321</v>
      </c>
      <c r="E33" s="108">
        <f>SUM([1]Tagesübersicht!$Y$221:$Y$225)</f>
        <v>9462</v>
      </c>
      <c r="F33" s="108">
        <f>SUM([1]Tagesübersicht!$AF$221:$AF$225)</f>
        <v>22601</v>
      </c>
      <c r="G33" s="115">
        <f>B33+(B33*'Différence 2018-2019'!$B$4)</f>
        <v>5604.2800052087059</v>
      </c>
      <c r="H33" s="116">
        <f>C33+(C33*'Différence 2018-2019'!$C$4)</f>
        <v>5818.0065335016488</v>
      </c>
      <c r="I33" s="117">
        <f>D33+(D33*'Différence 2018-2019'!$D$4)</f>
        <v>29549.976777711072</v>
      </c>
      <c r="J33" s="117">
        <f>E33+(E33*'Différence 2018-2019'!$E$4)</f>
        <v>9272.0345067966482</v>
      </c>
      <c r="K33" s="117">
        <f>F33+(F33*'Différence 2018-2019'!$F$4)</f>
        <v>23599.3192574883</v>
      </c>
      <c r="L33" s="164">
        <f t="shared" si="0"/>
        <v>5604.2800052087059</v>
      </c>
      <c r="M33" s="164">
        <f t="shared" si="1"/>
        <v>5818.0065335016488</v>
      </c>
      <c r="N33" s="164">
        <f>(I33+'Forecast  '!B31)</f>
        <v>47583.116777711075</v>
      </c>
      <c r="O33" s="164">
        <f t="shared" si="2"/>
        <v>9272.0345067966482</v>
      </c>
      <c r="P33" s="164">
        <f t="shared" si="3"/>
        <v>23599.3192574883</v>
      </c>
    </row>
    <row r="34" spans="1:16" ht="15" thickBot="1" x14ac:dyDescent="0.35">
      <c r="A34" s="1" t="s">
        <v>30</v>
      </c>
      <c r="B34" s="108">
        <f>SUM([1]Tagesübersicht!$H$228:$H$232)</f>
        <v>4330</v>
      </c>
      <c r="C34" s="108">
        <f>SUM([1]Tagesübersicht!$M$228:$M$232)</f>
        <v>5074</v>
      </c>
      <c r="D34" s="108">
        <f>SUM([1]Tagesübersicht!$R$228:$R$232)</f>
        <v>26613</v>
      </c>
      <c r="E34" s="108">
        <f>SUM([1]Tagesübersicht!$Y$228:$Y$232)</f>
        <v>9897</v>
      </c>
      <c r="F34" s="108">
        <f>SUM([1]Tagesübersicht!$AF$228:$AF$232)</f>
        <v>24601</v>
      </c>
      <c r="G34" s="115">
        <f>B34+(B34*'Différence 2018-2019'!$B$4)</f>
        <v>4953.3644463265355</v>
      </c>
      <c r="H34" s="116">
        <f>C34+(C34*'Différence 2018-2019'!$C$4)</f>
        <v>5851.4499803741064</v>
      </c>
      <c r="I34" s="117">
        <f>D34+(D34*'Différence 2018-2019'!$D$4)</f>
        <v>27767.858902765605</v>
      </c>
      <c r="J34" s="117">
        <f>E34+(E34*'Différence 2018-2019'!$E$4)</f>
        <v>9698.3011534312445</v>
      </c>
      <c r="K34" s="117">
        <f>F34+(F34*'Différence 2018-2019'!$F$4)</f>
        <v>25687.662185455054</v>
      </c>
      <c r="L34" s="164">
        <f t="shared" si="0"/>
        <v>4953.3644463265355</v>
      </c>
      <c r="M34" s="164">
        <f t="shared" si="1"/>
        <v>5851.4499803741064</v>
      </c>
      <c r="N34" s="164">
        <f>(I34+'Forecast  '!B32)</f>
        <v>47050.158902765601</v>
      </c>
      <c r="O34" s="164">
        <f t="shared" si="2"/>
        <v>9698.3011534312445</v>
      </c>
      <c r="P34" s="164">
        <f t="shared" si="3"/>
        <v>25687.662185455054</v>
      </c>
    </row>
    <row r="35" spans="1:16" ht="15" thickBot="1" x14ac:dyDescent="0.35">
      <c r="A35" s="1" t="s">
        <v>31</v>
      </c>
      <c r="B35" s="108">
        <f>SUM([1]Tagesübersicht!$H$235:$H$239)</f>
        <v>3378</v>
      </c>
      <c r="C35" s="108">
        <f>SUM([1]Tagesübersicht!$M$235:$M$239)</f>
        <v>3393</v>
      </c>
      <c r="D35" s="108">
        <f>SUM([1]Tagesübersicht!$R$235:$R$239)</f>
        <v>33158</v>
      </c>
      <c r="E35" s="108">
        <f>SUM([1]Tagesübersicht!$Y$235:$Y$239)</f>
        <v>9990</v>
      </c>
      <c r="F35" s="108">
        <f>SUM([1]Tagesübersicht!$AF$235:$AF$239)</f>
        <v>25309</v>
      </c>
      <c r="G35" s="115">
        <f>B35+(B35*'Différence 2018-2019'!$B$4)</f>
        <v>3864.3106465799165</v>
      </c>
      <c r="H35" s="116">
        <f>C35+(C35*'Différence 2018-2019'!$C$4)</f>
        <v>3912.8832840775212</v>
      </c>
      <c r="I35" s="117">
        <f>D35+(D35*'Différence 2018-2019'!$D$4)</f>
        <v>34596.876169462368</v>
      </c>
      <c r="J35" s="117">
        <f>E35+(E35*'Différence 2018-2019'!$E$4)</f>
        <v>9789.4340227117427</v>
      </c>
      <c r="K35" s="117">
        <f>F35+(F35*'Différence 2018-2019'!$F$4)</f>
        <v>26426.935581955284</v>
      </c>
      <c r="L35" s="164">
        <f t="shared" si="0"/>
        <v>3864.3106465799165</v>
      </c>
      <c r="M35" s="164">
        <f t="shared" si="1"/>
        <v>3912.8832840775212</v>
      </c>
      <c r="N35" s="164">
        <f>(I35+'Forecast  '!B33)</f>
        <v>52730.936169462366</v>
      </c>
      <c r="O35" s="164">
        <f t="shared" si="2"/>
        <v>9789.4340227117427</v>
      </c>
      <c r="P35" s="164">
        <f t="shared" si="3"/>
        <v>26426.935581955284</v>
      </c>
    </row>
    <row r="36" spans="1:16" ht="15" thickBot="1" x14ac:dyDescent="0.35">
      <c r="A36" s="1" t="s">
        <v>32</v>
      </c>
      <c r="B36" s="108">
        <f>SUM([1]Tagesübersicht!$H$242:$H$253)</f>
        <v>5882</v>
      </c>
      <c r="C36" s="108">
        <f>SUM([1]Tagesübersicht!$M$242:$M$253)</f>
        <v>7663</v>
      </c>
      <c r="D36" s="108">
        <f>SUM([1]Tagesübersicht!$R$242:$R$253)</f>
        <v>56868</v>
      </c>
      <c r="E36" s="108">
        <f>SUM([1]Tagesübersicht!$Y$242:$Y$253)</f>
        <v>19270</v>
      </c>
      <c r="F36" s="108">
        <f>SUM([1]Tagesübersicht!$AF$242:$AF$253)</f>
        <v>26454</v>
      </c>
      <c r="G36" s="115">
        <f>B36+(B36*'Différence 2018-2019'!$B$4)</f>
        <v>6728.7966912916127</v>
      </c>
      <c r="H36" s="116">
        <f>C36+(C36*'Différence 2018-2019'!$C$4)</f>
        <v>8837.1425304703935</v>
      </c>
      <c r="I36" s="117">
        <f>D36+(D36*'Différence 2018-2019'!$D$4)</f>
        <v>59335.760721544902</v>
      </c>
      <c r="J36" s="117">
        <f>E36+(E36*'Différence 2018-2019'!$E$4)</f>
        <v>18883.12248424978</v>
      </c>
      <c r="K36" s="117">
        <f>F36+(F36*'Différence 2018-2019'!$F$4)</f>
        <v>27622.511908216253</v>
      </c>
      <c r="L36" s="164">
        <f t="shared" si="0"/>
        <v>6728.7966912916127</v>
      </c>
      <c r="M36" s="164">
        <f t="shared" si="1"/>
        <v>8837.1425304703935</v>
      </c>
      <c r="N36" s="164">
        <f>(I36+'Forecast  '!B34)</f>
        <v>80017.76072154491</v>
      </c>
      <c r="O36" s="164">
        <f t="shared" si="2"/>
        <v>18883.12248424978</v>
      </c>
      <c r="P36" s="164">
        <f t="shared" si="3"/>
        <v>27622.511908216253</v>
      </c>
    </row>
    <row r="37" spans="1:16" ht="15" thickBot="1" x14ac:dyDescent="0.35">
      <c r="A37" s="1" t="s">
        <v>33</v>
      </c>
      <c r="B37" s="108">
        <f>SUM([1]Tagesübersicht!$H$249:$H$253)</f>
        <v>3041</v>
      </c>
      <c r="C37" s="108">
        <f>SUM([1]Tagesübersicht!$M$249:$M$253)</f>
        <v>3367</v>
      </c>
      <c r="D37" s="108">
        <f>SUM([1]Tagesübersicht!$R$249:$R$253)</f>
        <v>30426</v>
      </c>
      <c r="E37" s="108">
        <f>SUM([1]Tagesübersicht!$Y$249:$Y$253)</f>
        <v>10564</v>
      </c>
      <c r="F37" s="108">
        <f>SUM([1]Tagesübersicht!$AF$249:$AF$253)</f>
        <v>14120</v>
      </c>
      <c r="G37" s="115">
        <f>B37+(B37*'Différence 2018-2019'!$B$4)</f>
        <v>3478.794753182216</v>
      </c>
      <c r="H37" s="116">
        <f>C37+(C37*'Différence 2018-2019'!$C$4)</f>
        <v>3882.8995041229041</v>
      </c>
      <c r="I37" s="117">
        <f>D37+(D37*'Différence 2018-2019'!$D$4)</f>
        <v>31746.322285181916</v>
      </c>
      <c r="J37" s="117">
        <f>E37+(E37*'Différence 2018-2019'!$E$4)</f>
        <v>10351.91001160429</v>
      </c>
      <c r="K37" s="117">
        <f>F37+(F37*'Différence 2018-2019'!$F$4)</f>
        <v>14743.701071445281</v>
      </c>
      <c r="L37" s="164">
        <f t="shared" si="0"/>
        <v>3478.794753182216</v>
      </c>
      <c r="M37" s="164">
        <f t="shared" si="1"/>
        <v>3882.8995041229041</v>
      </c>
      <c r="N37" s="164">
        <f>(I37+'Forecast  '!B35)</f>
        <v>54012.022285181913</v>
      </c>
      <c r="O37" s="164">
        <f t="shared" si="2"/>
        <v>10351.91001160429</v>
      </c>
      <c r="P37" s="164">
        <f t="shared" si="3"/>
        <v>14743.701071445281</v>
      </c>
    </row>
    <row r="38" spans="1:16" ht="15" thickBot="1" x14ac:dyDescent="0.35">
      <c r="A38" s="1" t="s">
        <v>34</v>
      </c>
      <c r="B38" s="108">
        <f>SUM([1]Tagesübersicht!$H$256:$H$260)</f>
        <v>2858</v>
      </c>
      <c r="C38" s="108">
        <f>SUM([1]Tagesübersicht!$M$256:$M$260)</f>
        <v>5552</v>
      </c>
      <c r="D38" s="108">
        <f>SUM([1]Tagesübersicht!$R$256:$R$260)</f>
        <v>35504</v>
      </c>
      <c r="E38" s="108">
        <f>SUM([1]Tagesübersicht!$Y$256:$Y$260)</f>
        <v>11655</v>
      </c>
      <c r="F38" s="108">
        <f>SUM([1]Tagesübersicht!$AF$256:$AF$260)</f>
        <v>13698</v>
      </c>
      <c r="G38" s="115">
        <f>B38+(B38*'Différence 2018-2019'!$B$4)</f>
        <v>3269.4493273905864</v>
      </c>
      <c r="H38" s="116">
        <f>C38+(C38*'Différence 2018-2019'!$C$4)</f>
        <v>6402.6902426166807</v>
      </c>
      <c r="I38" s="117">
        <f>D38+(D38*'Différence 2018-2019'!$D$4)</f>
        <v>37044.679761161467</v>
      </c>
      <c r="J38" s="117">
        <f>E38+(E38*'Différence 2018-2019'!$E$4)</f>
        <v>11421.006359830368</v>
      </c>
      <c r="K38" s="117">
        <f>F38+(F38*'Différence 2018-2019'!$F$4)</f>
        <v>14303.060713644296</v>
      </c>
      <c r="L38" s="164">
        <f t="shared" si="0"/>
        <v>3269.4493273905864</v>
      </c>
      <c r="M38" s="164">
        <f t="shared" si="1"/>
        <v>6402.6902426166807</v>
      </c>
      <c r="N38" s="164">
        <f>(I38+'Forecast  '!B36)</f>
        <v>61930.039761161475</v>
      </c>
      <c r="O38" s="164">
        <f t="shared" si="2"/>
        <v>11421.006359830368</v>
      </c>
      <c r="P38" s="164">
        <f t="shared" si="3"/>
        <v>14303.060713644296</v>
      </c>
    </row>
    <row r="39" spans="1:16" ht="15" thickBot="1" x14ac:dyDescent="0.35">
      <c r="A39" s="1" t="s">
        <v>35</v>
      </c>
      <c r="B39" s="108">
        <f>SUM([1]Tagesübersicht!$H$263:$H$267)</f>
        <v>2715</v>
      </c>
      <c r="C39" s="108">
        <f>SUM([1]Tagesübersicht!$M$263:$M$267)</f>
        <v>4642</v>
      </c>
      <c r="D39" s="108">
        <f>SUM([1]Tagesübersicht!$R$263:$R$267)</f>
        <v>37185</v>
      </c>
      <c r="E39" s="108">
        <f>SUM([1]Tagesübersicht!$Y$263:$Y$267)</f>
        <v>10966</v>
      </c>
      <c r="F39" s="108">
        <f>SUM([1]Tagesübersicht!$AF$263:$AF$267)</f>
        <v>14477</v>
      </c>
      <c r="G39" s="115">
        <f>B39+(B39*'Différence 2018-2019'!$B$4)</f>
        <v>3105.8624646135204</v>
      </c>
      <c r="H39" s="116">
        <f>C39+(C39*'Différence 2018-2019'!$C$4)</f>
        <v>5353.2579442050846</v>
      </c>
      <c r="I39" s="117">
        <f>D39+(D39*'Différence 2018-2019'!$D$4)</f>
        <v>38798.625983517042</v>
      </c>
      <c r="J39" s="117">
        <f>E39+(E39*'Différence 2018-2019'!$E$4)</f>
        <v>10745.839188494192</v>
      </c>
      <c r="K39" s="117">
        <f>F39+(F39*'Différence 2018-2019'!$F$4)</f>
        <v>15116.470284087347</v>
      </c>
      <c r="L39" s="164">
        <f t="shared" si="0"/>
        <v>3105.8624646135204</v>
      </c>
      <c r="M39" s="164">
        <f t="shared" si="1"/>
        <v>5353.2579442050846</v>
      </c>
      <c r="N39" s="164">
        <f>(I39+'Forecast  '!B37)</f>
        <v>66205.645983517039</v>
      </c>
      <c r="O39" s="164">
        <f t="shared" si="2"/>
        <v>10745.839188494192</v>
      </c>
      <c r="P39" s="164">
        <f t="shared" si="3"/>
        <v>15116.470284087347</v>
      </c>
    </row>
    <row r="40" spans="1:16" ht="15" thickBot="1" x14ac:dyDescent="0.35">
      <c r="A40" s="1" t="s">
        <v>36</v>
      </c>
      <c r="B40" s="108">
        <f>SUM([1]Tagesübersicht!$H$270:$H$274)</f>
        <v>2743</v>
      </c>
      <c r="C40" s="108">
        <f>SUM([1]Tagesübersicht!$M$270:$M$274)</f>
        <v>2977</v>
      </c>
      <c r="D40" s="108">
        <f>SUM([1]Tagesübersicht!$R$270:$R$274)</f>
        <v>32179</v>
      </c>
      <c r="E40" s="108">
        <f>SUM([1]Tagesübersicht!$Y$270:$Y$274)</f>
        <v>9820</v>
      </c>
      <c r="F40" s="108">
        <f>SUM([1]Tagesübersicht!$AF$270:$AF$274)</f>
        <v>18327</v>
      </c>
      <c r="G40" s="115">
        <f>B40+(B40*'Différence 2018-2019'!$B$4)</f>
        <v>3137.8934587237154</v>
      </c>
      <c r="H40" s="116">
        <f>C40+(C40*'Différence 2018-2019'!$C$4)</f>
        <v>3433.1428048036487</v>
      </c>
      <c r="I40" s="117">
        <f>D40+(D40*'Différence 2018-2019'!$D$4)</f>
        <v>33575.392914443859</v>
      </c>
      <c r="J40" s="117">
        <f>E40+(E40*'Différence 2018-2019'!$E$4)</f>
        <v>9622.8470573602917</v>
      </c>
      <c r="K40" s="117">
        <f>F40+(F40*'Différence 2018-2019'!$F$4)</f>
        <v>19136.530420423347</v>
      </c>
      <c r="L40" s="164">
        <f t="shared" si="0"/>
        <v>3137.8934587237154</v>
      </c>
      <c r="M40" s="164">
        <f t="shared" si="1"/>
        <v>3433.1428048036487</v>
      </c>
      <c r="N40" s="164">
        <f>(I40+'Forecast  '!B38)</f>
        <v>68134.692914443876</v>
      </c>
      <c r="O40" s="164">
        <f t="shared" si="2"/>
        <v>9622.8470573602917</v>
      </c>
      <c r="P40" s="164">
        <f t="shared" si="3"/>
        <v>19136.530420423347</v>
      </c>
    </row>
    <row r="41" spans="1:16" ht="15" thickBot="1" x14ac:dyDescent="0.35">
      <c r="A41" s="1" t="s">
        <v>37</v>
      </c>
      <c r="B41" s="108">
        <f>SUM([1]Tagesübersicht!$H$277:$H$281)</f>
        <v>3910</v>
      </c>
      <c r="C41" s="108">
        <f>SUM([1]Tagesübersicht!$M$277:$M$281)</f>
        <v>4633</v>
      </c>
      <c r="D41" s="108">
        <f>SUM([1]Tagesübersicht!$R$277:$R$281)</f>
        <v>42482</v>
      </c>
      <c r="E41" s="108">
        <f>SUM([1]Tagesübersicht!$Y$277:$Y$281)</f>
        <v>12092</v>
      </c>
      <c r="F41" s="108">
        <f>SUM([1]Tagesübersicht!$AF$277:$AF$281)</f>
        <v>23061</v>
      </c>
      <c r="G41" s="115">
        <f>B41+(B41*'Différence 2018-2019'!$B$4)</f>
        <v>4472.8995346736156</v>
      </c>
      <c r="H41" s="116">
        <f>C41+(C41*'Différence 2018-2019'!$C$4)</f>
        <v>5342.8789434515638</v>
      </c>
      <c r="I41" s="117">
        <f>D41+(D41*'Différence 2018-2019'!$D$4)</f>
        <v>44325.486863836792</v>
      </c>
      <c r="J41" s="117">
        <f>E41+(E41*'Différence 2018-2019'!$E$4)</f>
        <v>11849.232853116157</v>
      </c>
      <c r="K41" s="117">
        <f>F41+(F41*'Différence 2018-2019'!$F$4)</f>
        <v>24079.638130920652</v>
      </c>
      <c r="L41" s="164">
        <f t="shared" si="0"/>
        <v>4472.8995346736156</v>
      </c>
      <c r="M41" s="164">
        <f t="shared" si="1"/>
        <v>5342.8789434515638</v>
      </c>
      <c r="N41" s="164">
        <f>(I41+'Forecast  '!B39)</f>
        <v>75758.646863836795</v>
      </c>
      <c r="O41" s="164">
        <f t="shared" si="2"/>
        <v>11849.232853116157</v>
      </c>
      <c r="P41" s="164">
        <f t="shared" si="3"/>
        <v>24079.638130920652</v>
      </c>
    </row>
    <row r="42" spans="1:16" ht="15" thickBot="1" x14ac:dyDescent="0.35">
      <c r="A42" s="1" t="s">
        <v>38</v>
      </c>
      <c r="B42" s="108">
        <f>SUM([1]Tagesübersicht!$H$284:$H$288)</f>
        <v>3562</v>
      </c>
      <c r="C42" s="108">
        <f>SUM([1]Tagesübersicht!$M$284:$M$288)</f>
        <v>3510</v>
      </c>
      <c r="D42" s="108">
        <f>SUM([1]Tagesübersicht!$R$284:$R$288)</f>
        <v>33270</v>
      </c>
      <c r="E42" s="108">
        <f>SUM([1]Tagesübersicht!$Y$284:$Y$288)</f>
        <v>11968</v>
      </c>
      <c r="F42" s="108">
        <f>SUM([1]Tagesübersicht!$AF$284:$AF$288)</f>
        <v>23668</v>
      </c>
      <c r="G42" s="115">
        <f>B42+(B42*'Différence 2018-2019'!$B$4)</f>
        <v>4074.8000364469099</v>
      </c>
      <c r="H42" s="116">
        <f>C42+(C42*'Différence 2018-2019'!$C$4)</f>
        <v>4047.8102938732977</v>
      </c>
      <c r="I42" s="117">
        <f>D42+(D42*'Différence 2018-2019'!$D$4)</f>
        <v>34713.736357983384</v>
      </c>
      <c r="J42" s="117">
        <f>E42+(E42*'Différence 2018-2019'!$E$4)</f>
        <v>11727.722360742157</v>
      </c>
      <c r="K42" s="117">
        <f>F42+(F42*'Différence 2018-2019'!$F$4)</f>
        <v>24713.450209558563</v>
      </c>
      <c r="L42" s="164">
        <f t="shared" si="0"/>
        <v>4074.8000364469099</v>
      </c>
      <c r="M42" s="164">
        <f t="shared" si="1"/>
        <v>4047.8102938732977</v>
      </c>
      <c r="N42" s="164">
        <f>(I42+'Forecast  '!B40)</f>
        <v>66012.336357983382</v>
      </c>
      <c r="O42" s="164">
        <f t="shared" si="2"/>
        <v>11727.722360742157</v>
      </c>
      <c r="P42" s="164">
        <f t="shared" si="3"/>
        <v>24713.450209558563</v>
      </c>
    </row>
    <row r="43" spans="1:16" ht="15" thickBot="1" x14ac:dyDescent="0.35">
      <c r="A43" s="1" t="s">
        <v>39</v>
      </c>
      <c r="B43" s="108">
        <f>SUM([1]Tagesübersicht!$H$294,[1]Tagesübersicht!$H$295,[1]Tagesübersicht!$H$292,[1]Tagesübersicht!$H$291)</f>
        <v>2853</v>
      </c>
      <c r="C43" s="108">
        <f>SUM([1]Tagesübersicht!$M$294,[1]Tagesübersicht!$M$295,[1]Tagesübersicht!$M$292,[1]Tagesübersicht!$M$291)</f>
        <v>3336</v>
      </c>
      <c r="D43" s="108">
        <f>SUM([1]Tagesübersicht!$R$294,[1]Tagesübersicht!$R$295,[1]Tagesübersicht!$R$292,[1]Tagesübersicht!$R$291)</f>
        <v>28758</v>
      </c>
      <c r="E43" s="108">
        <f>SUM([1]Tagesübersicht!$Y$294,[1]Tagesübersicht!$Y$295,[1]Tagesübersicht!$Y$292,[1]Tagesübersicht!$Y$291)</f>
        <v>10288</v>
      </c>
      <c r="F43" s="108">
        <f>SUM([1]Tagesübersicht!$AF$294,[1]Tagesübersicht!$AF$295,[1]Tagesübersicht!$AF$292,[1]Tagesübersicht!$AF$291)</f>
        <v>19016</v>
      </c>
      <c r="G43" s="115">
        <f>B43+(B43*'Différence 2018-2019'!$B$4)</f>
        <v>3263.7295070137661</v>
      </c>
      <c r="H43" s="116">
        <f>C43+(C43*'Différence 2018-2019'!$C$4)</f>
        <v>3847.1496126385528</v>
      </c>
      <c r="I43" s="117">
        <f>D43+(D43*'Différence 2018-2019'!$D$4)</f>
        <v>30005.940191851099</v>
      </c>
      <c r="J43" s="117">
        <f>E43+(E43*'Différence 2018-2019'!$E$4)</f>
        <v>10081.451173739581</v>
      </c>
      <c r="K43" s="117">
        <f>F43+(F43*'Différence 2018-2019'!$F$4)</f>
        <v>19855.964559107895</v>
      </c>
      <c r="L43" s="164">
        <f t="shared" si="0"/>
        <v>3263.7295070137661</v>
      </c>
      <c r="M43" s="164">
        <f t="shared" si="1"/>
        <v>3847.1496126385528</v>
      </c>
      <c r="N43" s="164">
        <f>(I43+'Forecast  '!B41)</f>
        <v>52012.840191851101</v>
      </c>
      <c r="O43" s="164">
        <f t="shared" si="2"/>
        <v>10081.451173739581</v>
      </c>
      <c r="P43" s="164">
        <f t="shared" si="3"/>
        <v>19855.964559107895</v>
      </c>
    </row>
    <row r="44" spans="1:16" ht="15" thickBot="1" x14ac:dyDescent="0.35">
      <c r="A44" s="1" t="s">
        <v>40</v>
      </c>
      <c r="B44" s="108">
        <f>SUM([1]Tagesübersicht!$H$298:$H$303)</f>
        <v>3664</v>
      </c>
      <c r="C44" s="108">
        <f>SUM([1]Tagesübersicht!$M$298:$M$303)</f>
        <v>6211</v>
      </c>
      <c r="D44" s="108">
        <f>SUM([1]Tagesübersicht!$R$298:$R$303)</f>
        <v>34613</v>
      </c>
      <c r="E44" s="108">
        <f>SUM([1]Tagesübersicht!$Y$298:$Y$303)</f>
        <v>12049</v>
      </c>
      <c r="F44" s="108">
        <f>SUM([1]Tagesübersicht!$AF$298:$AF$303)</f>
        <v>28285</v>
      </c>
      <c r="G44" s="115">
        <f>B44+(B44*'Différence 2018-2019'!$B$4)</f>
        <v>4191.4843721340476</v>
      </c>
      <c r="H44" s="116">
        <f>C44+(C44*'Différence 2018-2019'!$C$4)</f>
        <v>7162.6637422356271</v>
      </c>
      <c r="I44" s="117">
        <f>D44+(D44*'Différence 2018-2019'!$D$4)</f>
        <v>36115.015225695184</v>
      </c>
      <c r="J44" s="117">
        <f>E44+(E44*'Différence 2018-2019'!$E$4)</f>
        <v>11807.096150115494</v>
      </c>
      <c r="K44" s="117">
        <f>F44+(F44*'Différence 2018-2019'!$F$4)</f>
        <v>29534.389858769813</v>
      </c>
      <c r="L44" s="164">
        <f t="shared" si="0"/>
        <v>4191.4843721340476</v>
      </c>
      <c r="M44" s="164">
        <f t="shared" si="1"/>
        <v>7162.6637422356271</v>
      </c>
      <c r="N44" s="164">
        <f>(I44+'Forecast  '!B42)</f>
        <v>72599.615225695175</v>
      </c>
      <c r="O44" s="164">
        <f t="shared" si="2"/>
        <v>11807.096150115494</v>
      </c>
      <c r="P44" s="164">
        <f t="shared" si="3"/>
        <v>29534.389858769813</v>
      </c>
    </row>
    <row r="45" spans="1:16" ht="15" thickBot="1" x14ac:dyDescent="0.35">
      <c r="A45" s="1" t="s">
        <v>41</v>
      </c>
      <c r="B45" s="108">
        <f>SUM([1]Tagesübersicht!$H$305:$H$310)</f>
        <v>4326</v>
      </c>
      <c r="C45" s="108">
        <f>SUM([1]Tagesübersicht!$M$305:$M$310)</f>
        <v>6734</v>
      </c>
      <c r="D45" s="108">
        <f>SUM([1]Tagesübersicht!$R$305:$R$310)</f>
        <v>44615</v>
      </c>
      <c r="E45" s="108">
        <f>SUM([1]Tagesübersicht!$Y$305:$Y$310)</f>
        <v>12748</v>
      </c>
      <c r="F45" s="108">
        <f>SUM([1]Tagesübersicht!$AF$305:$AF$310)</f>
        <v>40993</v>
      </c>
      <c r="G45" s="115">
        <f>B45+(B45*'Différence 2018-2019'!$B$4)</f>
        <v>4948.7885900250794</v>
      </c>
      <c r="H45" s="116">
        <f>C45+(C45*'Différence 2018-2019'!$C$4)</f>
        <v>7765.7990082458082</v>
      </c>
      <c r="I45" s="117">
        <f>D45+(D45*'Différence 2018-2019'!$D$4)</f>
        <v>46551.047418437891</v>
      </c>
      <c r="J45" s="117">
        <f>E45+(E45*'Différence 2018-2019'!$E$4)</f>
        <v>12492.062554707638</v>
      </c>
      <c r="K45" s="117">
        <f>F45+(F45*'Différence 2018-2019'!$F$4)</f>
        <v>42803.720823070566</v>
      </c>
      <c r="L45" s="164">
        <f t="shared" si="0"/>
        <v>4948.7885900250794</v>
      </c>
      <c r="M45" s="164">
        <f t="shared" si="1"/>
        <v>7765.7990082458082</v>
      </c>
      <c r="N45" s="164">
        <f>(I45+'Forecast  '!B43)</f>
        <v>83516.127418437885</v>
      </c>
      <c r="O45" s="164">
        <f t="shared" si="2"/>
        <v>12492.062554707638</v>
      </c>
      <c r="P45" s="164">
        <f t="shared" si="3"/>
        <v>42803.720823070566</v>
      </c>
    </row>
    <row r="46" spans="1:16" ht="15" thickBot="1" x14ac:dyDescent="0.35">
      <c r="A46" s="1" t="s">
        <v>42</v>
      </c>
      <c r="B46" s="108">
        <f>SUM([1]Tagesübersicht!$H$312:$H$316)</f>
        <v>3513</v>
      </c>
      <c r="C46" s="108">
        <f>SUM([1]Tagesübersicht!$M$312:$M$316)</f>
        <v>5520</v>
      </c>
      <c r="D46" s="108">
        <f>SUM([1]Tagesübersicht!$R$312:$R$316)</f>
        <v>35871</v>
      </c>
      <c r="E46" s="108">
        <f>SUM([1]Tagesübersicht!$Y$312:$Y$316)</f>
        <v>12809</v>
      </c>
      <c r="F46" s="108">
        <f>SUM([1]Tagesübersicht!$AF$312:$AF$316)</f>
        <v>33262</v>
      </c>
      <c r="G46" s="115">
        <f>B46+(B46*'Différence 2018-2019'!$B$4)</f>
        <v>4018.7457967540695</v>
      </c>
      <c r="H46" s="116">
        <f>C46+(C46*'Différence 2018-2019'!$C$4)</f>
        <v>6365.7871288263823</v>
      </c>
      <c r="I46" s="117">
        <f>D46+(D46*'Différence 2018-2019'!$D$4)</f>
        <v>37427.605557475857</v>
      </c>
      <c r="J46" s="117">
        <f>E46+(E46*'Différence 2018-2019'!$E$4)</f>
        <v>12551.837877569042</v>
      </c>
      <c r="K46" s="117">
        <f>F46+(F46*'Différence 2018-2019'!$F$4)</f>
        <v>34731.231235015082</v>
      </c>
      <c r="L46" s="164">
        <f t="shared" si="0"/>
        <v>4018.7457967540695</v>
      </c>
      <c r="M46" s="164">
        <f t="shared" si="1"/>
        <v>6365.7871288263823</v>
      </c>
      <c r="N46" s="164">
        <f>(I46+'Forecast  '!B44)</f>
        <v>75137.60555747585</v>
      </c>
      <c r="O46" s="164">
        <f t="shared" si="2"/>
        <v>12551.837877569042</v>
      </c>
      <c r="P46" s="164">
        <f t="shared" si="3"/>
        <v>34731.231235015082</v>
      </c>
    </row>
    <row r="47" spans="1:16" ht="15" thickBot="1" x14ac:dyDescent="0.35">
      <c r="A47" s="1" t="s">
        <v>43</v>
      </c>
      <c r="B47" s="108">
        <f>SUM([1]Tagesübersicht!$H$319,[1]Tagesübersicht!$H$320,[1]Tagesübersicht!$H$321,[1]Tagesübersicht!$H$323,[1]Tagesübersicht!$H$324)</f>
        <v>3767</v>
      </c>
      <c r="C47" s="108">
        <f>SUM([1]Tagesübersicht!$M$319,[1]Tagesübersicht!$M$320,[1]Tagesübersicht!$M$321,[1]Tagesübersicht!$M$323,[1]Tagesübersicht!$M$324)</f>
        <v>4945</v>
      </c>
      <c r="D47" s="108">
        <f>SUM([1]Tagesübersicht!$R$319,[1]Tagesübersicht!$R$320,[1]Tagesübersicht!$R$321,[1]Tagesübersicht!$R$323,[1]Tagesübersicht!$R$324)</f>
        <v>33607</v>
      </c>
      <c r="E47" s="108">
        <f>SUM([1]Tagesübersicht!$Y$319,[1]Tagesübersicht!$Y$320,[1]Tagesübersicht!$Y$321,[1]Tagesübersicht!$Y$323,[1]Tagesübersicht!$Y$324)</f>
        <v>13195</v>
      </c>
      <c r="F47" s="108">
        <f>SUM([1]Tagesübersicht!$AF$319,[1]Tagesübersicht!$AF$320,[1]Tagesübersicht!$AF$321,[1]Tagesübersicht!$AF$323,[1]Tagesübersicht!$AF$324)</f>
        <v>24747</v>
      </c>
      <c r="G47" s="115">
        <f>B47+(B47*'Différence 2018-2019'!$B$4)</f>
        <v>4309.3126718965495</v>
      </c>
      <c r="H47" s="116">
        <f>C47+(C47*'Différence 2018-2019'!$C$4)</f>
        <v>5702.6843029069678</v>
      </c>
      <c r="I47" s="117">
        <f>D47+(D47*'Différence 2018-2019'!$D$4)</f>
        <v>35065.360318086787</v>
      </c>
      <c r="J47" s="117">
        <f>E47+(E47*'Différence 2018-2019'!$E$4)</f>
        <v>12930.088281249395</v>
      </c>
      <c r="K47" s="117">
        <f>F47+(F47*'Différence 2018-2019'!$F$4)</f>
        <v>25840.111219196628</v>
      </c>
      <c r="L47" s="164">
        <f t="shared" si="0"/>
        <v>4309.3126718965495</v>
      </c>
      <c r="M47" s="164">
        <f t="shared" si="1"/>
        <v>5702.6843029069678</v>
      </c>
      <c r="N47" s="164">
        <f>(I47+'Forecast  '!B45)</f>
        <v>66724.560318086791</v>
      </c>
      <c r="O47" s="164">
        <f t="shared" si="2"/>
        <v>12930.088281249395</v>
      </c>
      <c r="P47" s="164">
        <f t="shared" si="3"/>
        <v>25840.111219196628</v>
      </c>
    </row>
    <row r="48" spans="1:16" ht="15" thickBot="1" x14ac:dyDescent="0.35">
      <c r="A48" s="1" t="s">
        <v>44</v>
      </c>
      <c r="B48" s="108">
        <f>SUM([1]Tagesübersicht!$H$326:$H$331)</f>
        <v>3816</v>
      </c>
      <c r="C48" s="108">
        <f>SUM([1]Tagesübersicht!$M$326:$M$331)</f>
        <v>7483</v>
      </c>
      <c r="D48" s="108">
        <f>SUM([1]Tagesübersicht!$R$326:$R$331)</f>
        <v>50721</v>
      </c>
      <c r="E48" s="108">
        <f>SUM([1]Tagesübersicht!$Y$326:$Y$331)</f>
        <v>16347</v>
      </c>
      <c r="F48" s="108">
        <f>SUM([1]Tagesübersicht!$AF326:AF$331)</f>
        <v>25557</v>
      </c>
      <c r="G48" s="115">
        <f>B48+(B48*'Différence 2018-2019'!$B$4)</f>
        <v>4365.3669115893899</v>
      </c>
      <c r="H48" s="116">
        <f>C48+(C48*'Différence 2018-2019'!$C$4)</f>
        <v>8629.5625153999681</v>
      </c>
      <c r="I48" s="117">
        <f>D48+(D48*'Différence 2018-2019'!$D$4)</f>
        <v>52922.014481913888</v>
      </c>
      <c r="J48" s="117">
        <f>E48+(E48*'Différence 2018-2019'!$E$4)</f>
        <v>16018.806603530418</v>
      </c>
      <c r="K48" s="117">
        <f>F48+(F48*'Différence 2018-2019'!$F$4)</f>
        <v>26685.890105023162</v>
      </c>
      <c r="L48" s="164">
        <f t="shared" si="0"/>
        <v>4365.3669115893899</v>
      </c>
      <c r="M48" s="164">
        <f t="shared" si="1"/>
        <v>8629.5625153999681</v>
      </c>
      <c r="N48" s="164">
        <f>(I48+'Forecast  '!B46)</f>
        <v>92384.314481913898</v>
      </c>
      <c r="O48" s="164">
        <f t="shared" si="2"/>
        <v>16018.806603530418</v>
      </c>
      <c r="P48" s="164">
        <f t="shared" si="3"/>
        <v>26685.890105023162</v>
      </c>
    </row>
    <row r="49" spans="1:19" ht="15" thickBot="1" x14ac:dyDescent="0.35">
      <c r="A49" s="1" t="s">
        <v>45</v>
      </c>
      <c r="B49" s="108">
        <f>SUM([1]Tagesübersicht!$H$333:$H$338)</f>
        <v>4385</v>
      </c>
      <c r="C49" s="108">
        <f>SUM([1]Tagesübersicht!$M$333:$M$338)</f>
        <v>7230</v>
      </c>
      <c r="D49" s="108">
        <f>SUM([1]Tagesübersicht!$R$333:$R$338)</f>
        <v>49031</v>
      </c>
      <c r="E49" s="108">
        <f>SUM([1]Tagesübersicht!$Y$333:$Y$338)</f>
        <v>16256</v>
      </c>
      <c r="F49" s="108">
        <f>SUM([1]Tagesübersicht!$AF$333:$AF$338)</f>
        <v>24077</v>
      </c>
      <c r="G49" s="115">
        <f>B49+(B49*'Différence 2018-2019'!$B$4)</f>
        <v>5016.2824704715613</v>
      </c>
      <c r="H49" s="116">
        <f>C49+(C49*'Différence 2018-2019'!$C$4)</f>
        <v>8337.797271995425</v>
      </c>
      <c r="I49" s="117">
        <f>D49+(D49*'Différence 2018-2019'!$D$4)</f>
        <v>51158.677708695017</v>
      </c>
      <c r="J49" s="117">
        <f>E49+(E49*'Différence 2018-2019'!$E$4)</f>
        <v>15929.633580901111</v>
      </c>
      <c r="K49" s="117">
        <f>F49+(F49*'Différence 2018-2019'!$F$4)</f>
        <v>25140.516338327765</v>
      </c>
      <c r="L49" s="164">
        <f t="shared" si="0"/>
        <v>5016.2824704715613</v>
      </c>
      <c r="M49" s="164">
        <f t="shared" si="1"/>
        <v>8337.797271995425</v>
      </c>
      <c r="N49" s="164">
        <f>(I49+'Forecast  '!B47)</f>
        <v>82791.377708695014</v>
      </c>
      <c r="O49" s="164">
        <f t="shared" si="2"/>
        <v>15929.633580901111</v>
      </c>
      <c r="P49" s="164">
        <f t="shared" si="3"/>
        <v>25140.516338327765</v>
      </c>
    </row>
    <row r="50" spans="1:19" ht="15" thickBot="1" x14ac:dyDescent="0.35">
      <c r="A50" s="1" t="s">
        <v>46</v>
      </c>
      <c r="B50" s="108">
        <f>SUM([1]Tagesübersicht!$H$340:$H$345)</f>
        <v>3838</v>
      </c>
      <c r="C50" s="108">
        <f>SUM([1]Tagesübersicht!$M$340:$M$345)</f>
        <v>5916</v>
      </c>
      <c r="D50" s="108">
        <f>SUM([1]Tagesübersicht!$R$340:$R$345)</f>
        <v>46369</v>
      </c>
      <c r="E50" s="108">
        <f>SUM([1]Tagesübersicht!$Y$340:$Y$345)</f>
        <v>17408</v>
      </c>
      <c r="F50" s="108">
        <f>SUM([1]Tagesübersicht!$AF$340:$AF$345)</f>
        <v>27741</v>
      </c>
      <c r="G50" s="115">
        <f>B50+(B50*'Différence 2018-2019'!$B$4)</f>
        <v>4390.5341212474004</v>
      </c>
      <c r="H50" s="116">
        <f>C50+(C50*'Différence 2018-2019'!$C$4)</f>
        <v>6822.463161981319</v>
      </c>
      <c r="I50" s="117">
        <f>D50+(D50*'Différence 2018-2019'!$D$4)</f>
        <v>48381.161442240198</v>
      </c>
      <c r="J50" s="117">
        <f>E50+(E50*'Différence 2018-2019'!$E$4)</f>
        <v>17058.50525198859</v>
      </c>
      <c r="K50" s="117">
        <f>F50+(F50*'Différence 2018-2019'!$F$4)</f>
        <v>28966.360582362857</v>
      </c>
      <c r="L50" s="164">
        <f t="shared" si="0"/>
        <v>4390.5341212474004</v>
      </c>
      <c r="M50" s="164">
        <f t="shared" si="1"/>
        <v>6822.463161981319</v>
      </c>
      <c r="N50" s="164">
        <f>(I50+'Forecast  '!B48)</f>
        <v>87564.821442240194</v>
      </c>
      <c r="O50" s="164">
        <f t="shared" si="2"/>
        <v>17058.50525198859</v>
      </c>
      <c r="P50" s="164">
        <f t="shared" si="3"/>
        <v>28966.360582362857</v>
      </c>
    </row>
    <row r="51" spans="1:19" ht="15" thickBot="1" x14ac:dyDescent="0.35">
      <c r="A51" s="1" t="s">
        <v>47</v>
      </c>
      <c r="B51" s="108">
        <f>SUM([1]Tagesübersicht!$H$347:$H$352)</f>
        <v>4587</v>
      </c>
      <c r="C51" s="108">
        <f>SUM([1]Tagesübersicht!$M$347:$M$352)</f>
        <v>6811</v>
      </c>
      <c r="D51" s="108">
        <f>SUM([1]Tagesübersicht!$R$347:$R$352)</f>
        <v>68211</v>
      </c>
      <c r="E51" s="108">
        <f>SUM([1]Tagesübersicht!$Y$347:$Y$352)</f>
        <v>20090</v>
      </c>
      <c r="F51" s="108">
        <f>SUM([1]Tagesübersicht!$AF$347:$AF$352)</f>
        <v>48256</v>
      </c>
      <c r="G51" s="115">
        <f>B51+(B51*'Différence 2018-2019'!$B$4)</f>
        <v>5247.3632136951082</v>
      </c>
      <c r="H51" s="116">
        <f>C51+(C51*'Différence 2018-2019'!$C$4)</f>
        <v>7854.5971258037125</v>
      </c>
      <c r="I51" s="117">
        <f>D51+(D51*'Différence 2018-2019'!$D$4)</f>
        <v>71170.984992918675</v>
      </c>
      <c r="J51" s="117">
        <f>E51+(E51*'Différence 2018-2019'!$E$4)</f>
        <v>19686.659611239131</v>
      </c>
      <c r="K51" s="117">
        <f>F51+(F51*'Différence 2018-2019'!$F$4)</f>
        <v>50387.53816598183</v>
      </c>
      <c r="L51" s="164">
        <f t="shared" si="0"/>
        <v>5247.3632136951082</v>
      </c>
      <c r="M51" s="164">
        <f t="shared" si="1"/>
        <v>7854.5971258037125</v>
      </c>
      <c r="N51" s="164">
        <f>(I51+'Forecast  '!B49)</f>
        <v>112069.64499291868</v>
      </c>
      <c r="O51" s="164">
        <f t="shared" si="2"/>
        <v>19686.659611239131</v>
      </c>
      <c r="P51" s="164">
        <f t="shared" si="3"/>
        <v>50387.53816598183</v>
      </c>
    </row>
    <row r="52" spans="1:19" ht="15" thickBot="1" x14ac:dyDescent="0.35">
      <c r="A52" s="1" t="s">
        <v>48</v>
      </c>
      <c r="B52" s="108">
        <f>SUM([1]Tagesübersicht!$H$354:$H$358)</f>
        <v>4251</v>
      </c>
      <c r="C52" s="108">
        <f>SUM([1]Tagesübersicht!$M$354:$M$358)</f>
        <v>6733</v>
      </c>
      <c r="D52" s="108">
        <f>SUM([1]Tagesübersicht!$R$354:$R$358)</f>
        <v>54630</v>
      </c>
      <c r="E52" s="108">
        <f>SUM([1]Tagesübersicht!$Y$354:$Y$358)</f>
        <v>17541</v>
      </c>
      <c r="F52" s="108">
        <f>SUM([1]Tagesübersicht!$AF$354:$AF$358)</f>
        <v>44478</v>
      </c>
      <c r="G52" s="115">
        <f>B52+(B52*'Différence 2018-2019'!$B$4)</f>
        <v>4862.9912843727725</v>
      </c>
      <c r="H52" s="116">
        <f>C52+(C52*'Différence 2018-2019'!$C$4)</f>
        <v>7764.6457859398615</v>
      </c>
      <c r="I52" s="117">
        <f>D52+(D52*'Différence 2018-2019'!$D$4)</f>
        <v>57000.643740205356</v>
      </c>
      <c r="J52" s="117">
        <f>E52+(E52*'Différence 2018-2019'!$E$4)</f>
        <v>17188.835054292962</v>
      </c>
      <c r="K52" s="117">
        <f>F52+(F52*'Différence 2018-2019'!$F$4)</f>
        <v>46442.658375052633</v>
      </c>
      <c r="L52" s="164">
        <f t="shared" si="0"/>
        <v>4862.9912843727725</v>
      </c>
      <c r="M52" s="164">
        <f t="shared" si="1"/>
        <v>7764.6457859398615</v>
      </c>
      <c r="N52" s="164">
        <f>(I52+'Forecast  '!B50)</f>
        <v>102892.68374020534</v>
      </c>
      <c r="O52" s="164">
        <f t="shared" si="2"/>
        <v>17188.835054292962</v>
      </c>
      <c r="P52" s="164">
        <f t="shared" si="3"/>
        <v>46442.658375052633</v>
      </c>
      <c r="R52" s="166"/>
    </row>
    <row r="53" spans="1:19" ht="15" thickBot="1" x14ac:dyDescent="0.35">
      <c r="A53" s="1" t="s">
        <v>49</v>
      </c>
      <c r="B53" s="108">
        <f>SUM([1]Tagesübersicht!$H$361:$H$366)</f>
        <v>4503</v>
      </c>
      <c r="C53" s="108">
        <f>SUM([1]Tagesübersicht!$M$361:$M$366)</f>
        <v>6327</v>
      </c>
      <c r="D53" s="108">
        <f>SUM([1]Tagesübersicht!$R$361:$R$366)</f>
        <v>68266</v>
      </c>
      <c r="E53" s="108">
        <f>SUM([1]Tagesübersicht!$Y$361:$Y$366)</f>
        <v>25291</v>
      </c>
      <c r="F53" s="108">
        <f>SUM([1]Tagesübersicht!$AF$361:$AF$366)</f>
        <v>61618</v>
      </c>
      <c r="G53" s="115">
        <f>B53+(B53*'Différence 2018-2019'!$B$4)</f>
        <v>5151.2702313645241</v>
      </c>
      <c r="H53" s="116">
        <f>C53+(C53*'Différence 2018-2019'!$C$4)</f>
        <v>7296.4375297254574</v>
      </c>
      <c r="I53" s="117">
        <f>D53+(D53*'Différence 2018-2019'!$D$4)</f>
        <v>71228.371692638815</v>
      </c>
      <c r="J53" s="117">
        <f>E53+(E53*'Différence 2018-2019'!$E$4)</f>
        <v>24783.240827667938</v>
      </c>
      <c r="K53" s="117">
        <f>F53+(F53*'Différence 2018-2019'!$F$4)</f>
        <v>64339.757267727713</v>
      </c>
      <c r="L53" s="164">
        <f t="shared" si="0"/>
        <v>5151.2702313645241</v>
      </c>
      <c r="M53" s="164">
        <f t="shared" si="1"/>
        <v>7296.4375297254574</v>
      </c>
      <c r="N53" s="164">
        <f>(I53+'Forecast  '!B51)</f>
        <v>113364.65169263881</v>
      </c>
      <c r="O53" s="164">
        <f t="shared" si="2"/>
        <v>24783.240827667938</v>
      </c>
      <c r="P53" s="164">
        <f t="shared" si="3"/>
        <v>64339.757267727713</v>
      </c>
    </row>
    <row r="54" spans="1:19" ht="15" thickBot="1" x14ac:dyDescent="0.35">
      <c r="A54" s="1" t="s">
        <v>50</v>
      </c>
      <c r="B54" s="108">
        <f>SUM([1]Tagesübersicht!$H$368:$H$372)</f>
        <v>3288</v>
      </c>
      <c r="C54" s="108">
        <f>SUM([1]Tagesübersicht!$M$368:$M$372)</f>
        <v>4415</v>
      </c>
      <c r="D54" s="108">
        <f>SUM([1]Tagesübersicht!$R$368:$R$372)</f>
        <v>43324</v>
      </c>
      <c r="E54" s="108">
        <f>SUM([1]Tagesübersicht!$Y$368:$Y$372)</f>
        <v>16603</v>
      </c>
      <c r="F54" s="108">
        <f>SUM([1]Tagesübersicht!$AF$368:$AF$372)</f>
        <v>25879</v>
      </c>
      <c r="G54" s="115">
        <f>B54+(B54*'Différence 2018-2019'!$B$4)</f>
        <v>3761.3538797971478</v>
      </c>
      <c r="H54" s="116">
        <f>C54+(C54*'Différence 2018-2019'!$C$4)</f>
        <v>5091.4764807551592</v>
      </c>
      <c r="I54" s="117">
        <f>D54+(D54*'Différence 2018-2019'!$D$4)</f>
        <v>45204.025066825132</v>
      </c>
      <c r="J54" s="117">
        <f>E54+(E54*'Différence 2018-2019'!$E$4)</f>
        <v>16269.66697488319</v>
      </c>
      <c r="K54" s="117">
        <f>F54+(F54*'Différence 2018-2019'!$F$4)</f>
        <v>27022.11331642581</v>
      </c>
      <c r="L54" s="164">
        <f t="shared" si="0"/>
        <v>3761.3538797971478</v>
      </c>
      <c r="M54" s="164">
        <f t="shared" si="1"/>
        <v>5091.4764807551592</v>
      </c>
      <c r="N54" s="164">
        <f>(I54+'Forecast  '!B52)</f>
        <v>66829.88506682514</v>
      </c>
      <c r="O54" s="164">
        <f t="shared" si="2"/>
        <v>16269.66697488319</v>
      </c>
      <c r="P54" s="164">
        <f t="shared" si="3"/>
        <v>27022.11331642581</v>
      </c>
    </row>
    <row r="55" spans="1:19" ht="15" thickBot="1" x14ac:dyDescent="0.35">
      <c r="A55" s="1" t="s">
        <v>51</v>
      </c>
      <c r="B55" s="108">
        <f>SUM([1]Tagesübersicht!$H$378,[1]Tagesübersicht!$H$379)</f>
        <v>240</v>
      </c>
      <c r="C55" s="108">
        <f>SUM([1]Tagesübersicht!$M$378,[1]Tagesübersicht!$M$379)</f>
        <v>271</v>
      </c>
      <c r="D55" s="108">
        <f>SUM([1]Tagesübersicht!$R$378,[1]Tagesübersicht!$R$379)</f>
        <v>4714</v>
      </c>
      <c r="E55" s="108">
        <f>SUM([1]Tagesübersicht!$Y$378,[1]Tagesübersicht!$Y$379)</f>
        <v>2862</v>
      </c>
      <c r="F55" s="108">
        <f>SUM([1]Tagesübersicht!$AF$378,[1]Tagesübersicht!$AF$379)</f>
        <v>0</v>
      </c>
      <c r="G55" s="115">
        <f>B55+(B55*'Différence 2018-2019'!$B$4)</f>
        <v>274.55137808738306</v>
      </c>
      <c r="H55" s="116">
        <f>C55+(C55*'Différence 2018-2019'!$C$4)</f>
        <v>312.5232449115851</v>
      </c>
      <c r="I55" s="117">
        <f>D55+(D55*'Différence 2018-2019'!$D$4)</f>
        <v>4918.5618632862534</v>
      </c>
      <c r="J55" s="117">
        <f>E55+(E55*'Différence 2018-2019'!$E$4)</f>
        <v>2804.5405578579589</v>
      </c>
      <c r="K55" s="117">
        <f>F55+(F55*'Différence 2018-2019'!$F$4)</f>
        <v>0</v>
      </c>
      <c r="L55" s="164">
        <f t="shared" si="0"/>
        <v>274.55137808738306</v>
      </c>
      <c r="M55" s="164">
        <f t="shared" si="1"/>
        <v>312.5232449115851</v>
      </c>
      <c r="N55" s="164">
        <f>(I55+'Forecast  '!B53)</f>
        <v>8980.461863286253</v>
      </c>
      <c r="O55" s="164">
        <f t="shared" si="2"/>
        <v>2804.5405578579589</v>
      </c>
      <c r="P55" s="164">
        <f t="shared" si="3"/>
        <v>0</v>
      </c>
    </row>
    <row r="56" spans="1:19" ht="15" thickBot="1" x14ac:dyDescent="0.35">
      <c r="L56" s="165"/>
      <c r="M56" s="165"/>
      <c r="N56" s="165"/>
      <c r="O56" s="165"/>
      <c r="P56" s="165"/>
    </row>
    <row r="57" spans="1:19" ht="15" thickBot="1" x14ac:dyDescent="0.35">
      <c r="A57" s="2" t="s">
        <v>148</v>
      </c>
      <c r="B57" s="108">
        <f>SUM(B4:B55)</f>
        <v>194130</v>
      </c>
      <c r="C57" s="108">
        <f t="shared" ref="C57:P57" si="4">SUM(C4:C55)</f>
        <v>238836</v>
      </c>
      <c r="D57" s="108">
        <f>SUM(D4:D55)</f>
        <v>1963179</v>
      </c>
      <c r="E57" s="108">
        <f t="shared" si="4"/>
        <v>684705</v>
      </c>
      <c r="F57" s="108">
        <f t="shared" si="4"/>
        <v>1227932</v>
      </c>
      <c r="G57" s="114">
        <f t="shared" si="4"/>
        <v>218521.28382550058</v>
      </c>
      <c r="H57" s="114">
        <f t="shared" si="4"/>
        <v>272162.76352434576</v>
      </c>
      <c r="I57" s="114">
        <f t="shared" si="4"/>
        <v>2023392.1370969214</v>
      </c>
      <c r="J57" s="114">
        <f t="shared" si="4"/>
        <v>664706.44796458841</v>
      </c>
      <c r="K57" s="114">
        <f t="shared" si="4"/>
        <v>1254654.3923905743</v>
      </c>
      <c r="L57" s="119">
        <f t="shared" si="4"/>
        <v>218521.28382550058</v>
      </c>
      <c r="M57" s="119">
        <f t="shared" si="4"/>
        <v>272162.76352434576</v>
      </c>
      <c r="N57" s="119">
        <f t="shared" si="4"/>
        <v>3363628.5770969205</v>
      </c>
      <c r="O57" s="119">
        <f t="shared" si="4"/>
        <v>664706.44796458841</v>
      </c>
      <c r="P57" s="119">
        <f t="shared" si="4"/>
        <v>1254654.3923905743</v>
      </c>
    </row>
    <row r="64" spans="1:19" x14ac:dyDescent="0.3">
      <c r="B64" s="162" t="s">
        <v>97</v>
      </c>
      <c r="C64" s="162" t="s">
        <v>98</v>
      </c>
      <c r="D64" s="162" t="s">
        <v>99</v>
      </c>
      <c r="E64" s="162" t="s">
        <v>100</v>
      </c>
      <c r="F64" s="162" t="s">
        <v>101</v>
      </c>
      <c r="G64" s="162" t="s">
        <v>102</v>
      </c>
      <c r="H64" s="162" t="s">
        <v>103</v>
      </c>
      <c r="I64" s="162" t="s">
        <v>104</v>
      </c>
      <c r="J64" s="162" t="s">
        <v>105</v>
      </c>
      <c r="K64" s="162" t="s">
        <v>106</v>
      </c>
      <c r="L64" s="162" t="s">
        <v>107</v>
      </c>
      <c r="M64" s="162" t="s">
        <v>108</v>
      </c>
      <c r="N64" s="162" t="s">
        <v>109</v>
      </c>
      <c r="O64" s="162" t="s">
        <v>110</v>
      </c>
      <c r="P64" s="162" t="s">
        <v>111</v>
      </c>
      <c r="Q64" s="162" t="s">
        <v>112</v>
      </c>
      <c r="R64" s="162" t="s">
        <v>113</v>
      </c>
      <c r="S64" s="162" t="s">
        <v>114</v>
      </c>
    </row>
    <row r="65" spans="2:19" x14ac:dyDescent="0.3">
      <c r="B65" s="163">
        <f>'Karton AKLBGL'!B3*'Volumes 2020'!$N$57</f>
        <v>231107.61923125185</v>
      </c>
      <c r="C65" s="163">
        <f>'Karton AKLBGL'!C3*'Volumes 2020'!$N$57</f>
        <v>392955.64692016831</v>
      </c>
      <c r="D65" s="163">
        <f>'Karton AKLBGL'!D3*'Volumes 2020'!$N$57</f>
        <v>90300.90221311721</v>
      </c>
      <c r="E65" s="163">
        <f>'Karton AKLBGL'!E3*'Volumes 2020'!$N$57</f>
        <v>149876.82241029417</v>
      </c>
      <c r="F65" s="163">
        <f>'Karton AKLBGL'!F3*'Volumes 2020'!$N$57</f>
        <v>121032.55342419875</v>
      </c>
      <c r="G65" s="163">
        <f>'Karton AKLBGL'!G3*'Volumes 2020'!$N$57</f>
        <v>298619.88164656836</v>
      </c>
      <c r="H65" s="163">
        <f>'Karton AKLBGL'!H3*'Volumes 2020'!$N$57</f>
        <v>299053.37933075248</v>
      </c>
      <c r="I65" s="163">
        <f>'Karton AKLBGL'!I3*'Volumes 2020'!$N$57</f>
        <v>204177.40925070777</v>
      </c>
      <c r="J65" s="163">
        <f>'Karton AKLBGL'!J3*'Volumes 2020'!$N$57</f>
        <v>519130.14979830448</v>
      </c>
      <c r="K65" s="163">
        <f>'Karton AKLBGL'!K3*'Volumes 2020'!$N$57</f>
        <v>229913.83330096031</v>
      </c>
      <c r="L65" s="163">
        <f>'Karton AKLBGL'!L3*'Volumes 2020'!$N$57</f>
        <v>264773.71630450268</v>
      </c>
      <c r="M65" s="163">
        <f>'Karton AKLBGL'!M3*'Volumes 2020'!$N$57</f>
        <v>266240.93923558726</v>
      </c>
      <c r="N65" s="163">
        <f>'Karton AKLBGL'!N3*'Volumes 2020'!$N$57</f>
        <v>8136.4180723783602</v>
      </c>
      <c r="O65" s="163">
        <f>'Karton AKLBGL'!O3*'Volumes 2020'!$N$57</f>
        <v>2687.6856419413766</v>
      </c>
      <c r="P65" s="163">
        <f>'Karton AKLBGL'!P3*'Volumes 2020'!$N$57</f>
        <v>10097.161443918718</v>
      </c>
      <c r="Q65" s="163">
        <f>'Karton AKLBGL'!Q3*'Volumes 2020'!$N$57</f>
        <v>72093.99947738531</v>
      </c>
      <c r="R65" s="163">
        <f>'Karton AKLBGL'!R3*'Volumes 2020'!$N$57</f>
        <v>189011.65949940583</v>
      </c>
      <c r="S65" s="163">
        <f>'Karton AKLBGL'!S3*'Volumes 2020'!$N$57</f>
        <v>14418.799895477059</v>
      </c>
    </row>
  </sheetData>
  <mergeCells count="3">
    <mergeCell ref="B1:F1"/>
    <mergeCell ref="G1:K1"/>
    <mergeCell ref="L1:P1"/>
  </mergeCells>
  <pageMargins left="0.7" right="0.7" top="0.78740157499999996" bottom="0.78740157499999996" header="0.3" footer="0.3"/>
  <pageSetup paperSize="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119F0-44E5-49E5-A1F5-19CA018A9756}">
  <sheetPr codeName="Feuil2"/>
  <dimension ref="A1:F56"/>
  <sheetViews>
    <sheetView workbookViewId="0">
      <selection activeCell="G17" sqref="G17"/>
    </sheetView>
  </sheetViews>
  <sheetFormatPr baseColWidth="10" defaultRowHeight="14.4" x14ac:dyDescent="0.3"/>
  <cols>
    <col min="2" max="2" width="15.77734375" style="9" customWidth="1"/>
    <col min="3" max="6" width="15.77734375" customWidth="1"/>
  </cols>
  <sheetData>
    <row r="1" spans="1:6" ht="15" thickBot="1" x14ac:dyDescent="0.35">
      <c r="B1" s="213" t="s">
        <v>150</v>
      </c>
      <c r="C1" s="213"/>
      <c r="D1" s="213"/>
      <c r="E1" s="213"/>
      <c r="F1" s="213"/>
    </row>
    <row r="2" spans="1:6" ht="15" thickBot="1" x14ac:dyDescent="0.35">
      <c r="A2" s="1"/>
      <c r="B2" s="2" t="s">
        <v>52</v>
      </c>
      <c r="C2" s="2" t="s">
        <v>53</v>
      </c>
      <c r="D2" s="2" t="s">
        <v>54</v>
      </c>
      <c r="E2" s="2" t="s">
        <v>55</v>
      </c>
      <c r="F2" s="2" t="s">
        <v>56</v>
      </c>
    </row>
    <row r="3" spans="1:6" ht="29.4" thickBot="1" x14ac:dyDescent="0.35">
      <c r="A3" s="1"/>
      <c r="B3" s="7" t="s">
        <v>57</v>
      </c>
      <c r="C3" s="8" t="s">
        <v>58</v>
      </c>
      <c r="D3" s="7" t="s">
        <v>59</v>
      </c>
      <c r="E3" s="8" t="s">
        <v>60</v>
      </c>
      <c r="F3" s="8" t="s">
        <v>61</v>
      </c>
    </row>
    <row r="4" spans="1:6" ht="16.2" thickBot="1" x14ac:dyDescent="0.35">
      <c r="A4" s="5" t="s">
        <v>62</v>
      </c>
      <c r="B4" s="12">
        <f>AVERAGE(B5:B28)</f>
        <v>0.143964075364096</v>
      </c>
      <c r="C4" s="12">
        <f t="shared" ref="C4:E4" si="0">AVERAGE(C5:C28)</f>
        <v>0.15322230594680844</v>
      </c>
      <c r="D4" s="111">
        <f>AVERAGE(D5:D28)</f>
        <v>4.3394540366197228E-2</v>
      </c>
      <c r="E4" s="12">
        <f t="shared" si="0"/>
        <v>-2.0076674403228887E-2</v>
      </c>
      <c r="F4" s="12">
        <f>AVERAGE(F6:F28)</f>
        <v>4.4171463983376846E-2</v>
      </c>
    </row>
    <row r="5" spans="1:6" ht="15" thickBot="1" x14ac:dyDescent="0.35">
      <c r="A5" s="5" t="s">
        <v>0</v>
      </c>
      <c r="B5" s="10">
        <f>('Volumes 2020'!G4-'Volumes 2020'!B4)/'Volumes 2020'!B4</f>
        <v>-0.43537820131030375</v>
      </c>
      <c r="C5" s="10">
        <f>('Volumes 2020'!H4-'Volumes 2020'!C4)/'Volumes 2020'!C4</f>
        <v>-5.1606922126081582E-2</v>
      </c>
      <c r="D5" s="10">
        <f>('Volumes 2020'!I4-'Volumes 2020'!D4)/'Volumes 2020'!D4</f>
        <v>-0.27220024383568459</v>
      </c>
      <c r="E5" s="10">
        <f>('Volumes 2020'!J4-'Volumes 2020'!E4)/'Volumes 2020'!E4</f>
        <v>-0.25017603154485285</v>
      </c>
      <c r="F5" s="11"/>
    </row>
    <row r="6" spans="1:6" ht="15" thickBot="1" x14ac:dyDescent="0.35">
      <c r="A6" s="5" t="s">
        <v>1</v>
      </c>
      <c r="B6" s="10">
        <f>('Volumes 2020'!G5-'Volumes 2020'!B5)/'Volumes 2020'!B5</f>
        <v>0.29192546583850931</v>
      </c>
      <c r="C6" s="10">
        <f>('Volumes 2020'!H5-'Volumes 2020'!C5)/'Volumes 2020'!C5</f>
        <v>0.13457264093756313</v>
      </c>
      <c r="D6" s="10">
        <f>('Volumes 2020'!I5-'Volumes 2020'!D5)/'Volumes 2020'!D5</f>
        <v>0.10576351752822341</v>
      </c>
      <c r="E6" s="10">
        <f>('Volumes 2020'!J5-'Volumes 2020'!E5)/'Volumes 2020'!E5</f>
        <v>-0.14312160868177465</v>
      </c>
      <c r="F6" s="10">
        <f>('Volumes 2020'!K5-'Volumes 2020'!F5)/'Volumes 2020'!F5</f>
        <v>0.12533469335713374</v>
      </c>
    </row>
    <row r="7" spans="1:6" ht="15" thickBot="1" x14ac:dyDescent="0.35">
      <c r="A7" s="5" t="s">
        <v>2</v>
      </c>
      <c r="B7" s="10">
        <f>('Volumes 2020'!G6-'Volumes 2020'!B6)/'Volumes 2020'!B6</f>
        <v>0.35304297663686185</v>
      </c>
      <c r="C7" s="10">
        <f>('Volumes 2020'!H6-'Volumes 2020'!C6)/'Volumes 2020'!C6</f>
        <v>0.1482898289828983</v>
      </c>
      <c r="D7" s="10">
        <f>('Volumes 2020'!I6-'Volumes 2020'!D6)/'Volumes 2020'!D6</f>
        <v>-0.101173160379608</v>
      </c>
      <c r="E7" s="10">
        <f>('Volumes 2020'!J6-'Volumes 2020'!E6)/'Volumes 2020'!E6</f>
        <v>-5.1161444388161226E-2</v>
      </c>
      <c r="F7" s="10">
        <f>('Volumes 2020'!K6-'Volumes 2020'!F6)/'Volumes 2020'!F6</f>
        <v>-0.31268188352442061</v>
      </c>
    </row>
    <row r="8" spans="1:6" ht="15" thickBot="1" x14ac:dyDescent="0.35">
      <c r="A8" s="5" t="s">
        <v>3</v>
      </c>
      <c r="B8" s="10">
        <f>('Volumes 2020'!G7-'Volumes 2020'!B7)/'Volumes 2020'!B7</f>
        <v>0.38422467881685091</v>
      </c>
      <c r="C8" s="10">
        <f>('Volumes 2020'!H7-'Volumes 2020'!C7)/'Volumes 2020'!C7</f>
        <v>9.8141574441428278E-2</v>
      </c>
      <c r="D8" s="10">
        <f>('Volumes 2020'!I7-'Volumes 2020'!D7)/'Volumes 2020'!D7</f>
        <v>-1.0883084577114428E-3</v>
      </c>
      <c r="E8" s="10">
        <f>('Volumes 2020'!J7-'Volumes 2020'!E7)/'Volumes 2020'!E7</f>
        <v>-9.0649400114263951E-2</v>
      </c>
      <c r="F8" s="10">
        <f>('Volumes 2020'!K7-'Volumes 2020'!F7)/'Volumes 2020'!F7</f>
        <v>0.38720645570767975</v>
      </c>
    </row>
    <row r="9" spans="1:6" ht="15" thickBot="1" x14ac:dyDescent="0.35">
      <c r="A9" s="5" t="s">
        <v>4</v>
      </c>
      <c r="B9" s="10">
        <f>('Volumes 2020'!G8-'Volumes 2020'!B8)/'Volumes 2020'!B8</f>
        <v>0.56043956043956045</v>
      </c>
      <c r="C9" s="10">
        <f>('Volumes 2020'!H8-'Volumes 2020'!C8)/'Volumes 2020'!C8</f>
        <v>0.13748950461796811</v>
      </c>
      <c r="D9" s="10">
        <f>('Volumes 2020'!I8-'Volumes 2020'!D8)/'Volumes 2020'!D8</f>
        <v>-0.12592486855565865</v>
      </c>
      <c r="E9" s="10">
        <f>('Volumes 2020'!J8-'Volumes 2020'!E8)/'Volumes 2020'!E8</f>
        <v>-8.6838350207243328E-2</v>
      </c>
      <c r="F9" s="10">
        <f>('Volumes 2020'!K8-'Volumes 2020'!F8)/'Volumes 2020'!F8</f>
        <v>-8.4525528284551774E-2</v>
      </c>
    </row>
    <row r="10" spans="1:6" ht="15" thickBot="1" x14ac:dyDescent="0.35">
      <c r="A10" s="5" t="s">
        <v>5</v>
      </c>
      <c r="B10" s="10">
        <f>('Volumes 2020'!G9-'Volumes 2020'!B9)/'Volumes 2020'!B9</f>
        <v>-6.9942941284741392E-2</v>
      </c>
      <c r="C10" s="10">
        <f>('Volumes 2020'!H9-'Volumes 2020'!C9)/'Volumes 2020'!C9</f>
        <v>9.6264921062764724E-3</v>
      </c>
      <c r="D10" s="10">
        <f>('Volumes 2020'!I9-'Volumes 2020'!D9)/'Volumes 2020'!D9</f>
        <v>9.1354923596782392E-2</v>
      </c>
      <c r="E10" s="10">
        <f>('Volumes 2020'!J9-'Volumes 2020'!E9)/'Volumes 2020'!E9</f>
        <v>4.9995833680526623E-3</v>
      </c>
      <c r="F10" s="10">
        <f>('Volumes 2020'!K9-'Volumes 2020'!F9)/'Volumes 2020'!F9</f>
        <v>-0.63261058846014995</v>
      </c>
    </row>
    <row r="11" spans="1:6" ht="15" thickBot="1" x14ac:dyDescent="0.35">
      <c r="A11" s="5" t="s">
        <v>6</v>
      </c>
      <c r="B11" s="10">
        <f>('Volumes 2020'!G10-'Volumes 2020'!B10)/'Volumes 2020'!B10</f>
        <v>-7.0051890289103039E-2</v>
      </c>
      <c r="C11" s="10">
        <f>('Volumes 2020'!H10-'Volumes 2020'!C10)/'Volumes 2020'!C10</f>
        <v>-0.11558636193330836</v>
      </c>
      <c r="D11" s="10">
        <f>('Volumes 2020'!I10-'Volumes 2020'!D10)/'Volumes 2020'!D10</f>
        <v>-0.14458114567823838</v>
      </c>
      <c r="E11" s="10">
        <f>('Volumes 2020'!J10-'Volumes 2020'!E10)/'Volumes 2020'!E10</f>
        <v>9.0938882516795015E-3</v>
      </c>
      <c r="F11" s="10">
        <f>('Volumes 2020'!K10-'Volumes 2020'!F10)/'Volumes 2020'!F10</f>
        <v>-0.20427204374572797</v>
      </c>
    </row>
    <row r="12" spans="1:6" ht="15" thickBot="1" x14ac:dyDescent="0.35">
      <c r="A12" s="5" t="s">
        <v>7</v>
      </c>
      <c r="B12" s="10">
        <f>('Volumes 2020'!G11-'Volumes 2020'!B11)/'Volumes 2020'!B11</f>
        <v>9.7188476223533504E-3</v>
      </c>
      <c r="C12" s="10">
        <f>('Volumes 2020'!H11-'Volumes 2020'!C11)/'Volumes 2020'!C11</f>
        <v>0.34653465346534651</v>
      </c>
      <c r="D12" s="10">
        <f>('Volumes 2020'!I11-'Volumes 2020'!D11)/'Volumes 2020'!D11</f>
        <v>-1.0190711894016597E-2</v>
      </c>
      <c r="E12" s="10">
        <f>('Volumes 2020'!J11-'Volumes 2020'!E11)/'Volumes 2020'!E11</f>
        <v>-0.1077745460262558</v>
      </c>
      <c r="F12" s="10">
        <f>('Volumes 2020'!K11-'Volumes 2020'!F11)/'Volumes 2020'!F11</f>
        <v>8.564852868650337E-2</v>
      </c>
    </row>
    <row r="13" spans="1:6" ht="15" thickBot="1" x14ac:dyDescent="0.35">
      <c r="A13" s="5" t="s">
        <v>8</v>
      </c>
      <c r="B13" s="10">
        <f>('Volumes 2020'!G12-'Volumes 2020'!B12)/'Volumes 2020'!B12</f>
        <v>7.4675952795511702E-2</v>
      </c>
      <c r="C13" s="10">
        <f>('Volumes 2020'!H12-'Volumes 2020'!C12)/'Volumes 2020'!C12</f>
        <v>0.20840586918676945</v>
      </c>
      <c r="D13" s="10">
        <f>('Volumes 2020'!I12-'Volumes 2020'!D12)/'Volumes 2020'!D12</f>
        <v>-0.16733750551819054</v>
      </c>
      <c r="E13" s="10">
        <f>('Volumes 2020'!J12-'Volumes 2020'!E12)/'Volumes 2020'!E12</f>
        <v>-9.3192239858906525E-2</v>
      </c>
      <c r="F13" s="10">
        <f>('Volumes 2020'!K12-'Volumes 2020'!F12)/'Volumes 2020'!F12</f>
        <v>0.15635833793900417</v>
      </c>
    </row>
    <row r="14" spans="1:6" ht="15" thickBot="1" x14ac:dyDescent="0.35">
      <c r="A14" s="5" t="s">
        <v>9</v>
      </c>
      <c r="B14" s="10">
        <f>('Volumes 2020'!G13-'Volumes 2020'!B13)/'Volumes 2020'!B13</f>
        <v>0.39376834499887109</v>
      </c>
      <c r="C14" s="10">
        <f>('Volumes 2020'!H13-'Volumes 2020'!C13)/'Volumes 2020'!C13</f>
        <v>5.3015241882041084E-2</v>
      </c>
      <c r="D14" s="10">
        <f>('Volumes 2020'!I13-'Volumes 2020'!D13)/'Volumes 2020'!D13</f>
        <v>-8.7214878933208562E-2</v>
      </c>
      <c r="E14" s="10">
        <f>('Volumes 2020'!J13-'Volumes 2020'!E13)/'Volumes 2020'!E13</f>
        <v>-3.1058044033404651E-2</v>
      </c>
      <c r="F14" s="10">
        <f>('Volumes 2020'!K13-'Volumes 2020'!F13)/'Volumes 2020'!F13</f>
        <v>0.51833136221911624</v>
      </c>
    </row>
    <row r="15" spans="1:6" ht="15" thickBot="1" x14ac:dyDescent="0.35">
      <c r="A15" s="5" t="s">
        <v>10</v>
      </c>
      <c r="B15" s="10">
        <f>('Volumes 2020'!G14-'Volumes 2020'!B14)/'Volumes 2020'!B14</f>
        <v>0.15386374028349337</v>
      </c>
      <c r="C15" s="10">
        <f>('Volumes 2020'!H14-'Volumes 2020'!C14)/'Volumes 2020'!C14</f>
        <v>0.24559606718557969</v>
      </c>
      <c r="D15" s="10">
        <f>('Volumes 2020'!I14-'Volumes 2020'!D14)/'Volumes 2020'!D14</f>
        <v>-0.13152386268490093</v>
      </c>
      <c r="E15" s="10">
        <f>('Volumes 2020'!J14-'Volumes 2020'!E14)/'Volumes 2020'!E14</f>
        <v>-6.8600726895119424E-2</v>
      </c>
      <c r="F15" s="10">
        <f>('Volumes 2020'!K14-'Volumes 2020'!F14)/'Volumes 2020'!F14</f>
        <v>0.35698223521475153</v>
      </c>
    </row>
    <row r="16" spans="1:6" ht="15" thickBot="1" x14ac:dyDescent="0.35">
      <c r="A16" s="5" t="s">
        <v>11</v>
      </c>
      <c r="B16" s="10">
        <f>('Volumes 2020'!G15-'Volumes 2020'!B15)/'Volumes 2020'!B15</f>
        <v>-9.6983879355174205E-2</v>
      </c>
      <c r="C16" s="10">
        <f>('Volumes 2020'!H15-'Volumes 2020'!C15)/'Volumes 2020'!C15</f>
        <v>0.56099951004409598</v>
      </c>
      <c r="D16" s="10">
        <f>('Volumes 2020'!I15-'Volumes 2020'!D15)/'Volumes 2020'!D15</f>
        <v>7.2540160642570281E-2</v>
      </c>
      <c r="E16" s="10">
        <f>('Volumes 2020'!J15-'Volumes 2020'!E15)/'Volumes 2020'!E15</f>
        <v>-4.8114854814719006E-2</v>
      </c>
      <c r="F16" s="10">
        <f>('Volumes 2020'!K15-'Volumes 2020'!F15)/'Volumes 2020'!F15</f>
        <v>0.47779457280644927</v>
      </c>
    </row>
    <row r="17" spans="1:6" ht="15" thickBot="1" x14ac:dyDescent="0.35">
      <c r="A17" s="5" t="s">
        <v>12</v>
      </c>
      <c r="B17" s="10">
        <f>('Volumes 2020'!G16-'Volumes 2020'!B16)/'Volumes 2020'!B16</f>
        <v>0.19344262295081968</v>
      </c>
      <c r="C17" s="10">
        <f>('Volumes 2020'!H16-'Volumes 2020'!C16)/'Volumes 2020'!C16</f>
        <v>0.89838613269575618</v>
      </c>
      <c r="D17" s="10">
        <f>('Volumes 2020'!I16-'Volumes 2020'!D16)/'Volumes 2020'!D16</f>
        <v>0.72046504910456388</v>
      </c>
      <c r="E17" s="10">
        <f>('Volumes 2020'!J16-'Volumes 2020'!E16)/'Volumes 2020'!E16</f>
        <v>0.43060730253353202</v>
      </c>
      <c r="F17" s="10">
        <f>('Volumes 2020'!K16-'Volumes 2020'!F16)/'Volumes 2020'!F16</f>
        <v>-9.548468582254499E-2</v>
      </c>
    </row>
    <row r="18" spans="1:6" ht="15" thickBot="1" x14ac:dyDescent="0.35">
      <c r="A18" s="5" t="s">
        <v>13</v>
      </c>
      <c r="B18" s="10">
        <f>('Volumes 2020'!G17-'Volumes 2020'!B17)/'Volumes 2020'!B17</f>
        <v>0.15744315744315746</v>
      </c>
      <c r="C18" s="10">
        <f>('Volumes 2020'!H17-'Volumes 2020'!C17)/'Volumes 2020'!C17</f>
        <v>0.36084905660377359</v>
      </c>
      <c r="D18" s="10">
        <f>('Volumes 2020'!I17-'Volumes 2020'!D17)/'Volumes 2020'!D17</f>
        <v>0.44068965517241382</v>
      </c>
      <c r="E18" s="10">
        <f>('Volumes 2020'!J17-'Volumes 2020'!E17)/'Volumes 2020'!E17</f>
        <v>0.15510204081632653</v>
      </c>
      <c r="F18" s="10">
        <f>('Volumes 2020'!K17-'Volumes 2020'!F17)/'Volumes 2020'!F17</f>
        <v>8.049455856784081E-2</v>
      </c>
    </row>
    <row r="19" spans="1:6" ht="15" thickBot="1" x14ac:dyDescent="0.35">
      <c r="A19" s="5" t="s">
        <v>14</v>
      </c>
      <c r="B19" s="10">
        <f>('Volumes 2020'!G18-'Volumes 2020'!B18)/'Volumes 2020'!B18</f>
        <v>-0.13736027515047292</v>
      </c>
      <c r="C19" s="10">
        <f>('Volumes 2020'!H18-'Volumes 2020'!C18)/'Volumes 2020'!C18</f>
        <v>-0.20572234535563166</v>
      </c>
      <c r="D19" s="10">
        <f>('Volumes 2020'!I18-'Volumes 2020'!D18)/'Volumes 2020'!D18</f>
        <v>-0.23132704858593184</v>
      </c>
      <c r="E19" s="10">
        <f>('Volumes 2020'!J18-'Volumes 2020'!E18)/'Volumes 2020'!E18</f>
        <v>-0.16069975589910496</v>
      </c>
      <c r="F19" s="10">
        <f>('Volumes 2020'!K18-'Volumes 2020'!F18)/'Volumes 2020'!F18</f>
        <v>-0.26218907617364312</v>
      </c>
    </row>
    <row r="20" spans="1:6" ht="15" thickBot="1" x14ac:dyDescent="0.35">
      <c r="A20" s="5" t="s">
        <v>15</v>
      </c>
      <c r="B20" s="10">
        <f>('Volumes 2020'!G19-'Volumes 2020'!B19)/'Volumes 2020'!B19</f>
        <v>-0.430452203777905</v>
      </c>
      <c r="C20" s="10">
        <f>('Volumes 2020'!H19-'Volumes 2020'!C19)/'Volumes 2020'!C19</f>
        <v>-0.19795657726692209</v>
      </c>
      <c r="D20" s="10">
        <f>('Volumes 2020'!I19-'Volumes 2020'!D19)/'Volumes 2020'!D19</f>
        <v>-0.28526358365916138</v>
      </c>
      <c r="E20" s="10">
        <f>('Volumes 2020'!J19-'Volumes 2020'!E19)/'Volumes 2020'!E19</f>
        <v>-0.34873501997336886</v>
      </c>
      <c r="F20" s="10">
        <f>('Volumes 2020'!K19-'Volumes 2020'!F19)/'Volumes 2020'!F19</f>
        <v>-0.12949961990788356</v>
      </c>
    </row>
    <row r="21" spans="1:6" ht="15" thickBot="1" x14ac:dyDescent="0.35">
      <c r="A21" s="5" t="s">
        <v>16</v>
      </c>
      <c r="B21" s="10">
        <f>('Volumes 2020'!G20-'Volumes 2020'!B20)/'Volumes 2020'!B20</f>
        <v>-7.4554294975688815E-2</v>
      </c>
      <c r="C21" s="10">
        <f>('Volumes 2020'!H20-'Volumes 2020'!C20)/'Volumes 2020'!C20</f>
        <v>-0.24361646690984887</v>
      </c>
      <c r="D21" s="10">
        <f>('Volumes 2020'!I20-'Volumes 2020'!D20)/'Volumes 2020'!D20</f>
        <v>-0.21119571347997743</v>
      </c>
      <c r="E21" s="10">
        <f>('Volumes 2020'!J20-'Volumes 2020'!E20)/'Volumes 2020'!E20</f>
        <v>-0.32060819629339599</v>
      </c>
      <c r="F21" s="10">
        <f>('Volumes 2020'!K20-'Volumes 2020'!F20)/'Volumes 2020'!F20</f>
        <v>-0.33946947906679448</v>
      </c>
    </row>
    <row r="22" spans="1:6" ht="15" thickBot="1" x14ac:dyDescent="0.35">
      <c r="A22" s="5" t="s">
        <v>17</v>
      </c>
      <c r="B22" s="10">
        <f>('Volumes 2020'!G21-'Volumes 2020'!B21)/'Volumes 2020'!B21</f>
        <v>1.3238149628783553</v>
      </c>
      <c r="C22" s="10">
        <f>('Volumes 2020'!H21-'Volumes 2020'!C21)/'Volumes 2020'!C21</f>
        <v>0.11586739620212423</v>
      </c>
      <c r="D22" s="10">
        <f>('Volumes 2020'!I21-'Volumes 2020'!D21)/'Volumes 2020'!D21</f>
        <v>9.4310355525221809E-2</v>
      </c>
      <c r="E22" s="10">
        <f>('Volumes 2020'!J21-'Volumes 2020'!E21)/'Volumes 2020'!E21</f>
        <v>-3.230936636812589E-2</v>
      </c>
      <c r="F22" s="10">
        <f>('Volumes 2020'!K21-'Volumes 2020'!F21)/'Volumes 2020'!F21</f>
        <v>5.6855238905430316E-2</v>
      </c>
    </row>
    <row r="23" spans="1:6" ht="15" thickBot="1" x14ac:dyDescent="0.35">
      <c r="A23" s="5" t="s">
        <v>18</v>
      </c>
      <c r="B23" s="10">
        <f>('Volumes 2020'!G22-'Volumes 2020'!B22)/'Volumes 2020'!B22</f>
        <v>0.34950584007187779</v>
      </c>
      <c r="C23" s="10">
        <f>('Volumes 2020'!H22-'Volumes 2020'!C22)/'Volumes 2020'!C22</f>
        <v>0.65603063178047227</v>
      </c>
      <c r="D23" s="10">
        <f>('Volumes 2020'!I22-'Volumes 2020'!D22)/'Volumes 2020'!D22</f>
        <v>0.30154356963724349</v>
      </c>
      <c r="E23" s="10">
        <f>('Volumes 2020'!J22-'Volumes 2020'!E22)/'Volumes 2020'!E22</f>
        <v>0.19040103973264016</v>
      </c>
      <c r="F23" s="10">
        <f>('Volumes 2020'!K22-'Volumes 2020'!F22)/'Volumes 2020'!F22</f>
        <v>0.42083413786445262</v>
      </c>
    </row>
    <row r="24" spans="1:6" ht="15" thickBot="1" x14ac:dyDescent="0.35">
      <c r="A24" s="5" t="s">
        <v>19</v>
      </c>
      <c r="B24" s="10">
        <f>('Volumes 2020'!G23-'Volumes 2020'!B23)/'Volumes 2020'!B23</f>
        <v>0.31608133086876156</v>
      </c>
      <c r="C24" s="10">
        <f>('Volumes 2020'!H23-'Volumes 2020'!C23)/'Volumes 2020'!C23</f>
        <v>0.18175388967468176</v>
      </c>
      <c r="D24" s="10">
        <f>('Volumes 2020'!I23-'Volumes 2020'!D23)/'Volumes 2020'!D23</f>
        <v>0.34971473420472726</v>
      </c>
      <c r="E24" s="10">
        <f>('Volumes 2020'!J23-'Volumes 2020'!E23)/'Volumes 2020'!E23</f>
        <v>0.18872821653689284</v>
      </c>
      <c r="F24" s="10">
        <f>('Volumes 2020'!K23-'Volumes 2020'!F23)/'Volumes 2020'!F23</f>
        <v>-2.0110980326214899E-2</v>
      </c>
    </row>
    <row r="25" spans="1:6" ht="15" thickBot="1" x14ac:dyDescent="0.35">
      <c r="A25" s="5" t="s">
        <v>20</v>
      </c>
      <c r="B25" s="10">
        <f>('Volumes 2020'!G24-'Volumes 2020'!B24)/'Volumes 2020'!B24</f>
        <v>0.39257390050468638</v>
      </c>
      <c r="C25" s="10">
        <f>('Volumes 2020'!H24-'Volumes 2020'!C24)/'Volumes 2020'!C24</f>
        <v>0.47466666666666668</v>
      </c>
      <c r="D25" s="10">
        <f>('Volumes 2020'!I24-'Volumes 2020'!D24)/'Volumes 2020'!D24</f>
        <v>0.36955138998016984</v>
      </c>
      <c r="E25" s="10">
        <f>('Volumes 2020'!J24-'Volumes 2020'!E24)/'Volumes 2020'!E24</f>
        <v>0.30174985086498307</v>
      </c>
      <c r="F25" s="10">
        <f>('Volumes 2020'!K24-'Volumes 2020'!F24)/'Volumes 2020'!F24</f>
        <v>0.15220720420800318</v>
      </c>
    </row>
    <row r="26" spans="1:6" ht="15" thickBot="1" x14ac:dyDescent="0.35">
      <c r="A26" s="5" t="s">
        <v>21</v>
      </c>
      <c r="B26" s="10">
        <f>('Volumes 2020'!G25-'Volumes 2020'!B25)/'Volumes 2020'!B25</f>
        <v>-8.8061260006961364E-2</v>
      </c>
      <c r="C26" s="10">
        <f>('Volumes 2020'!H25-'Volumes 2020'!C25)/'Volumes 2020'!C25</f>
        <v>-2.4496124031007753E-2</v>
      </c>
      <c r="D26" s="10">
        <f>('Volumes 2020'!I25-'Volumes 2020'!D25)/'Volumes 2020'!D25</f>
        <v>5.797938144329897E-2</v>
      </c>
      <c r="E26" s="10">
        <f>('Volumes 2020'!J25-'Volumes 2020'!E25)/'Volumes 2020'!E25</f>
        <v>4.8250050576572931E-2</v>
      </c>
      <c r="F26" s="10">
        <f>('Volumes 2020'!K25-'Volumes 2020'!F25)/'Volumes 2020'!F25</f>
        <v>9.2033930735378536E-2</v>
      </c>
    </row>
    <row r="27" spans="1:6" ht="15" thickBot="1" x14ac:dyDescent="0.35">
      <c r="A27" s="5" t="s">
        <v>22</v>
      </c>
      <c r="B27" s="10">
        <f>('Volumes 2020'!G26-'Volumes 2020'!B26)/'Volumes 2020'!B26</f>
        <v>0.14872672801198375</v>
      </c>
      <c r="C27" s="10">
        <f>('Volumes 2020'!H26-'Volumes 2020'!C26)/'Volumes 2020'!C26</f>
        <v>0.36576576576576575</v>
      </c>
      <c r="D27" s="10">
        <f>('Volumes 2020'!I26-'Volumes 2020'!D26)/'Volumes 2020'!D26</f>
        <v>-2.4711150422908949E-2</v>
      </c>
      <c r="E27" s="10">
        <f>('Volumes 2020'!J26-'Volumes 2020'!E26)/'Volumes 2020'!E26</f>
        <v>1.3665455803494205E-2</v>
      </c>
      <c r="F27" s="10">
        <f>('Volumes 2020'!K26-'Volumes 2020'!F26)/'Volumes 2020'!F26</f>
        <v>0.3634308568447594</v>
      </c>
    </row>
    <row r="28" spans="1:6" ht="15" thickBot="1" x14ac:dyDescent="0.35">
      <c r="A28" s="5" t="s">
        <v>23</v>
      </c>
      <c r="B28" s="10">
        <f>('Volumes 2020'!G27-'Volumes 2020'!B27)/'Volumes 2020'!B27</f>
        <v>-0.24532535527299926</v>
      </c>
      <c r="C28" s="10">
        <f>('Volumes 2020'!H27-'Volumes 2020'!C27)/'Volumes 2020'!C27</f>
        <v>-0.47967078189300411</v>
      </c>
      <c r="D28" s="10">
        <f>('Volumes 2020'!I27-'Volumes 2020'!D27)/'Volumes 2020'!D27</f>
        <v>0.23128841403871561</v>
      </c>
      <c r="E28" s="10">
        <f>('Volumes 2020'!J27-'Volumes 2020'!E27)/'Volumes 2020'!E27</f>
        <v>8.6019709370302316E-3</v>
      </c>
      <c r="F28" s="10">
        <f>('Volumes 2020'!K27-'Volumes 2020'!F27)/'Volumes 2020'!F27</f>
        <v>-0.17672455612690405</v>
      </c>
    </row>
    <row r="29" spans="1:6" ht="15" thickBot="1" x14ac:dyDescent="0.35">
      <c r="A29" s="5" t="s">
        <v>24</v>
      </c>
      <c r="B29" s="10">
        <f>('Volumes 2020'!G28-'Volumes 2020'!B28)/'Volumes 2020'!G28</f>
        <v>0.12584667513993023</v>
      </c>
      <c r="C29" s="10">
        <f>('Volumes 2020'!H28-'Volumes 2020'!C28)/'Volumes 2020'!H28</f>
        <v>0.13286450076163864</v>
      </c>
      <c r="D29" s="10">
        <f>('Volumes 2020'!I28-'Volumes 2020'!D28)/'Volumes 2020'!I28</f>
        <v>4.1589771354340464E-2</v>
      </c>
      <c r="E29" s="10">
        <f>('Volumes 2020'!J28-'Volumes 2020'!E28)/'Volumes 2020'!J28</f>
        <v>-2.0488005417160806E-2</v>
      </c>
      <c r="F29" s="10">
        <f>('Volumes 2020'!K28-'Volumes 2020'!F28)/'Volumes 2020'!K28</f>
        <v>4.2302883680491114E-2</v>
      </c>
    </row>
    <row r="30" spans="1:6" ht="15" thickBot="1" x14ac:dyDescent="0.35">
      <c r="A30" s="5" t="s">
        <v>25</v>
      </c>
      <c r="B30" s="10">
        <f>('Volumes 2020'!G29-'Volumes 2020'!B29)/'Volumes 2020'!G29</f>
        <v>0.12584667513993025</v>
      </c>
      <c r="C30" s="10">
        <f>('Volumes 2020'!H29-'Volumes 2020'!C29)/'Volumes 2020'!H29</f>
        <v>0.13286450076163867</v>
      </c>
      <c r="D30" s="10">
        <f>('Volumes 2020'!I29-'Volumes 2020'!D29)/'Volumes 2020'!I29</f>
        <v>4.1589771354340478E-2</v>
      </c>
      <c r="E30" s="10">
        <f>('Volumes 2020'!J29-'Volumes 2020'!E29)/'Volumes 2020'!J29</f>
        <v>-2.0488005417160806E-2</v>
      </c>
      <c r="F30" s="10">
        <f>('Volumes 2020'!K29-'Volumes 2020'!F29)/'Volumes 2020'!K29</f>
        <v>4.2302883680490969E-2</v>
      </c>
    </row>
    <row r="31" spans="1:6" ht="15" thickBot="1" x14ac:dyDescent="0.35">
      <c r="A31" s="6" t="s">
        <v>26</v>
      </c>
      <c r="B31" s="10">
        <f>('Volumes 2020'!G30-'Volumes 2020'!B30)/'Volumes 2020'!G30</f>
        <v>0.12584667513993014</v>
      </c>
      <c r="C31" s="10">
        <f>('Volumes 2020'!H30-'Volumes 2020'!C30)/'Volumes 2020'!H30</f>
        <v>0.13286450076163867</v>
      </c>
      <c r="D31" s="10">
        <f>('Volumes 2020'!I30-'Volumes 2020'!D30)/'Volumes 2020'!I30</f>
        <v>4.1589771354340443E-2</v>
      </c>
      <c r="E31" s="10">
        <f>('Volumes 2020'!J30-'Volumes 2020'!E30)/'Volumes 2020'!J30</f>
        <v>-2.0488005417160764E-2</v>
      </c>
      <c r="F31" s="10">
        <f>('Volumes 2020'!K30-'Volumes 2020'!F30)/'Volumes 2020'!K30</f>
        <v>4.2302883680491003E-2</v>
      </c>
    </row>
    <row r="32" spans="1:6" ht="15" thickBot="1" x14ac:dyDescent="0.35">
      <c r="A32" s="5" t="s">
        <v>27</v>
      </c>
      <c r="B32" s="10">
        <f>('Volumes 2020'!G31-'Volumes 2020'!B31)/'Volumes 2020'!G31</f>
        <v>0.12584667513993017</v>
      </c>
      <c r="C32" s="10">
        <f>('Volumes 2020'!H31-'Volumes 2020'!C31)/'Volumes 2020'!H31</f>
        <v>0.13286450076163861</v>
      </c>
      <c r="D32" s="10">
        <f>('Volumes 2020'!I31-'Volumes 2020'!D31)/'Volumes 2020'!I31</f>
        <v>4.1589771354340339E-2</v>
      </c>
      <c r="E32" s="10">
        <f>('Volumes 2020'!J31-'Volumes 2020'!E31)/'Volumes 2020'!J31</f>
        <v>-2.0488005417160764E-2</v>
      </c>
      <c r="F32" s="10">
        <f>('Volumes 2020'!K31-'Volumes 2020'!F31)/'Volumes 2020'!K31</f>
        <v>4.2302883680491017E-2</v>
      </c>
    </row>
    <row r="33" spans="1:6" ht="15" thickBot="1" x14ac:dyDescent="0.35">
      <c r="A33" s="5" t="s">
        <v>28</v>
      </c>
      <c r="B33" s="10">
        <f>('Volumes 2020'!G32-'Volumes 2020'!B32)/'Volumes 2020'!G32</f>
        <v>0.12584667513993023</v>
      </c>
      <c r="C33" s="10">
        <f>('Volumes 2020'!H32-'Volumes 2020'!C32)/'Volumes 2020'!H32</f>
        <v>0.13286450076163875</v>
      </c>
      <c r="D33" s="10">
        <f>('Volumes 2020'!I32-'Volumes 2020'!D32)/'Volumes 2020'!I32</f>
        <v>4.1589771354340367E-2</v>
      </c>
      <c r="E33" s="10">
        <f>('Volumes 2020'!J32-'Volumes 2020'!E32)/'Volumes 2020'!J32</f>
        <v>-2.0488005417160879E-2</v>
      </c>
      <c r="F33" s="10">
        <f>('Volumes 2020'!K32-'Volumes 2020'!F32)/'Volumes 2020'!K32</f>
        <v>4.2302883680491121E-2</v>
      </c>
    </row>
    <row r="34" spans="1:6" ht="15" thickBot="1" x14ac:dyDescent="0.35">
      <c r="A34" s="5" t="s">
        <v>29</v>
      </c>
      <c r="B34" s="10">
        <f>('Volumes 2020'!G33-'Volumes 2020'!B33)/'Volumes 2020'!G33</f>
        <v>0.12584667513993011</v>
      </c>
      <c r="C34" s="10">
        <f>('Volumes 2020'!H33-'Volumes 2020'!C33)/'Volumes 2020'!H33</f>
        <v>0.13286450076163872</v>
      </c>
      <c r="D34" s="10">
        <f>('Volumes 2020'!I33-'Volumes 2020'!D33)/'Volumes 2020'!I33</f>
        <v>4.1589771354340395E-2</v>
      </c>
      <c r="E34" s="10">
        <f>('Volumes 2020'!J33-'Volumes 2020'!E33)/'Volumes 2020'!J33</f>
        <v>-2.0488005417160823E-2</v>
      </c>
      <c r="F34" s="10">
        <f>('Volumes 2020'!K33-'Volumes 2020'!F33)/'Volumes 2020'!K33</f>
        <v>4.2302883680491038E-2</v>
      </c>
    </row>
    <row r="35" spans="1:6" ht="15" thickBot="1" x14ac:dyDescent="0.35">
      <c r="A35" s="5" t="s">
        <v>30</v>
      </c>
      <c r="B35" s="10">
        <f>('Volumes 2020'!G34-'Volumes 2020'!B34)/'Volumes 2020'!G34</f>
        <v>0.12584667513993014</v>
      </c>
      <c r="C35" s="10">
        <f>('Volumes 2020'!H34-'Volumes 2020'!C34)/'Volumes 2020'!H34</f>
        <v>0.13286450076163872</v>
      </c>
      <c r="D35" s="10">
        <f>('Volumes 2020'!I34-'Volumes 2020'!D34)/'Volumes 2020'!I34</f>
        <v>4.1589771354340339E-2</v>
      </c>
      <c r="E35" s="10">
        <f>('Volumes 2020'!J34-'Volumes 2020'!E34)/'Volumes 2020'!J34</f>
        <v>-2.0488005417160726E-2</v>
      </c>
      <c r="F35" s="10">
        <f>('Volumes 2020'!K34-'Volumes 2020'!F34)/'Volumes 2020'!K34</f>
        <v>4.2302883680491066E-2</v>
      </c>
    </row>
    <row r="36" spans="1:6" ht="15" thickBot="1" x14ac:dyDescent="0.35">
      <c r="A36" s="5" t="s">
        <v>31</v>
      </c>
      <c r="B36" s="10">
        <f>('Volumes 2020'!G35-'Volumes 2020'!B35)/'Volumes 2020'!G35</f>
        <v>0.12584667513993023</v>
      </c>
      <c r="C36" s="10">
        <f>('Volumes 2020'!H35-'Volumes 2020'!C35)/'Volumes 2020'!H35</f>
        <v>0.13286450076163872</v>
      </c>
      <c r="D36" s="10">
        <f>('Volumes 2020'!I35-'Volumes 2020'!D35)/'Volumes 2020'!I35</f>
        <v>4.1589771354340402E-2</v>
      </c>
      <c r="E36" s="10">
        <f>('Volumes 2020'!J35-'Volumes 2020'!E35)/'Volumes 2020'!J35</f>
        <v>-2.0488005417160886E-2</v>
      </c>
      <c r="F36" s="10">
        <f>('Volumes 2020'!K35-'Volumes 2020'!F35)/'Volumes 2020'!K35</f>
        <v>4.2302883680491031E-2</v>
      </c>
    </row>
    <row r="37" spans="1:6" ht="15" thickBot="1" x14ac:dyDescent="0.35">
      <c r="A37" s="5" t="s">
        <v>32</v>
      </c>
      <c r="B37" s="10">
        <f>('Volumes 2020'!G36-'Volumes 2020'!B36)/'Volumes 2020'!G36</f>
        <v>0.12584667513993017</v>
      </c>
      <c r="C37" s="10">
        <f>('Volumes 2020'!H36-'Volumes 2020'!C36)/'Volumes 2020'!H36</f>
        <v>0.13286450076163872</v>
      </c>
      <c r="D37" s="10">
        <f>('Volumes 2020'!I36-'Volumes 2020'!D36)/'Volumes 2020'!I36</f>
        <v>4.1589771354340367E-2</v>
      </c>
      <c r="E37" s="10">
        <f>('Volumes 2020'!J36-'Volumes 2020'!E36)/'Volumes 2020'!J36</f>
        <v>-2.0488005417160806E-2</v>
      </c>
      <c r="F37" s="10">
        <f>('Volumes 2020'!K36-'Volumes 2020'!F36)/'Volumes 2020'!K36</f>
        <v>4.2302883680491114E-2</v>
      </c>
    </row>
    <row r="38" spans="1:6" ht="15" thickBot="1" x14ac:dyDescent="0.35">
      <c r="A38" s="5" t="s">
        <v>33</v>
      </c>
      <c r="B38" s="10">
        <f>('Volumes 2020'!G37-'Volumes 2020'!B37)/'Volumes 2020'!G37</f>
        <v>0.1258466751399302</v>
      </c>
      <c r="C38" s="10">
        <f>('Volumes 2020'!H37-'Volumes 2020'!C37)/'Volumes 2020'!H37</f>
        <v>0.13286450076163869</v>
      </c>
      <c r="D38" s="10">
        <f>('Volumes 2020'!I37-'Volumes 2020'!D37)/'Volumes 2020'!I37</f>
        <v>4.1589771354340353E-2</v>
      </c>
      <c r="E38" s="10">
        <f>('Volumes 2020'!J37-'Volumes 2020'!E37)/'Volumes 2020'!J37</f>
        <v>-2.0488005417160813E-2</v>
      </c>
      <c r="F38" s="10">
        <f>('Volumes 2020'!K37-'Volumes 2020'!F37)/'Volumes 2020'!K37</f>
        <v>4.2302883680491038E-2</v>
      </c>
    </row>
    <row r="39" spans="1:6" ht="15" thickBot="1" x14ac:dyDescent="0.35">
      <c r="A39" s="5" t="s">
        <v>34</v>
      </c>
      <c r="B39" s="10">
        <f>('Volumes 2020'!G38-'Volumes 2020'!B38)/'Volumes 2020'!G38</f>
        <v>0.1258466751399302</v>
      </c>
      <c r="C39" s="10">
        <f>('Volumes 2020'!H38-'Volumes 2020'!C38)/'Volumes 2020'!H38</f>
        <v>0.13286450076163872</v>
      </c>
      <c r="D39" s="10">
        <f>('Volumes 2020'!I38-'Volumes 2020'!D38)/'Volumes 2020'!I38</f>
        <v>4.1589771354340416E-2</v>
      </c>
      <c r="E39" s="10">
        <f>('Volumes 2020'!J38-'Volumes 2020'!E38)/'Volumes 2020'!J38</f>
        <v>-2.0488005417160778E-2</v>
      </c>
      <c r="F39" s="10">
        <f>('Volumes 2020'!K38-'Volumes 2020'!F38)/'Volumes 2020'!K38</f>
        <v>4.2302883680491045E-2</v>
      </c>
    </row>
    <row r="40" spans="1:6" ht="15" thickBot="1" x14ac:dyDescent="0.35">
      <c r="A40" s="5" t="s">
        <v>35</v>
      </c>
      <c r="B40" s="10">
        <f>('Volumes 2020'!G39-'Volumes 2020'!B39)/'Volumes 2020'!G39</f>
        <v>0.12584667513993011</v>
      </c>
      <c r="C40" s="10">
        <f>('Volumes 2020'!H39-'Volumes 2020'!C39)/'Volumes 2020'!H39</f>
        <v>0.13286450076163867</v>
      </c>
      <c r="D40" s="10">
        <f>('Volumes 2020'!I39-'Volumes 2020'!D39)/'Volumes 2020'!I39</f>
        <v>4.1589771354340346E-2</v>
      </c>
      <c r="E40" s="10">
        <f>('Volumes 2020'!J39-'Volumes 2020'!E39)/'Volumes 2020'!J39</f>
        <v>-2.0488005417160809E-2</v>
      </c>
      <c r="F40" s="10">
        <f>('Volumes 2020'!K39-'Volumes 2020'!F39)/'Volumes 2020'!K39</f>
        <v>4.230288368049108E-2</v>
      </c>
    </row>
    <row r="41" spans="1:6" ht="15" thickBot="1" x14ac:dyDescent="0.35">
      <c r="A41" s="5" t="s">
        <v>36</v>
      </c>
      <c r="B41" s="10">
        <f>('Volumes 2020'!G40-'Volumes 2020'!B40)/'Volumes 2020'!G40</f>
        <v>0.1258466751399302</v>
      </c>
      <c r="C41" s="10">
        <f>('Volumes 2020'!H40-'Volumes 2020'!C40)/'Volumes 2020'!H40</f>
        <v>0.13286450076163867</v>
      </c>
      <c r="D41" s="10">
        <f>('Volumes 2020'!I40-'Volumes 2020'!D40)/'Volumes 2020'!I40</f>
        <v>4.1589771354340339E-2</v>
      </c>
      <c r="E41" s="10">
        <f>('Volumes 2020'!J40-'Volumes 2020'!E40)/'Volumes 2020'!J40</f>
        <v>-2.0488005417160879E-2</v>
      </c>
      <c r="F41" s="10">
        <f>('Volumes 2020'!K40-'Volumes 2020'!F40)/'Volumes 2020'!K40</f>
        <v>4.2302883680491038E-2</v>
      </c>
    </row>
    <row r="42" spans="1:6" ht="15" thickBot="1" x14ac:dyDescent="0.35">
      <c r="A42" s="5" t="s">
        <v>37</v>
      </c>
      <c r="B42" s="10">
        <f>('Volumes 2020'!G41-'Volumes 2020'!B41)/'Volumes 2020'!G41</f>
        <v>0.12584667513993023</v>
      </c>
      <c r="C42" s="10">
        <f>('Volumes 2020'!H41-'Volumes 2020'!C41)/'Volumes 2020'!H41</f>
        <v>0.13286450076163872</v>
      </c>
      <c r="D42" s="10">
        <f>('Volumes 2020'!I41-'Volumes 2020'!D41)/'Volumes 2020'!I41</f>
        <v>4.1589771354340409E-2</v>
      </c>
      <c r="E42" s="10">
        <f>('Volumes 2020'!J41-'Volumes 2020'!E41)/'Volumes 2020'!J41</f>
        <v>-2.0488005417160792E-2</v>
      </c>
      <c r="F42" s="10">
        <f>('Volumes 2020'!K41-'Volumes 2020'!F41)/'Volumes 2020'!K41</f>
        <v>4.2302883680490989E-2</v>
      </c>
    </row>
    <row r="43" spans="1:6" ht="15" thickBot="1" x14ac:dyDescent="0.35">
      <c r="A43" s="5" t="s">
        <v>38</v>
      </c>
      <c r="B43" s="10">
        <f>('Volumes 2020'!G42-'Volumes 2020'!B42)/'Volumes 2020'!G42</f>
        <v>0.12584667513993017</v>
      </c>
      <c r="C43" s="10">
        <f>('Volumes 2020'!H42-'Volumes 2020'!C42)/'Volumes 2020'!H42</f>
        <v>0.13286450076163869</v>
      </c>
      <c r="D43" s="10">
        <f>('Volumes 2020'!I42-'Volumes 2020'!D42)/'Volumes 2020'!I42</f>
        <v>4.1589771354340443E-2</v>
      </c>
      <c r="E43" s="10">
        <f>('Volumes 2020'!J42-'Volumes 2020'!E42)/'Volumes 2020'!J42</f>
        <v>-2.0488005417160827E-2</v>
      </c>
      <c r="F43" s="10">
        <f>('Volumes 2020'!K42-'Volumes 2020'!F42)/'Volumes 2020'!K42</f>
        <v>4.2302883680491052E-2</v>
      </c>
    </row>
    <row r="44" spans="1:6" ht="15" thickBot="1" x14ac:dyDescent="0.35">
      <c r="A44" s="5" t="s">
        <v>39</v>
      </c>
      <c r="B44" s="10">
        <f>('Volumes 2020'!G43-'Volumes 2020'!B43)/'Volumes 2020'!G43</f>
        <v>0.12584667513993025</v>
      </c>
      <c r="C44" s="10">
        <f>('Volumes 2020'!H43-'Volumes 2020'!C43)/'Volumes 2020'!H43</f>
        <v>0.13286450076163864</v>
      </c>
      <c r="D44" s="10">
        <f>('Volumes 2020'!I43-'Volumes 2020'!D43)/'Volumes 2020'!I43</f>
        <v>4.1589771354340374E-2</v>
      </c>
      <c r="E44" s="10">
        <f>('Volumes 2020'!J43-'Volumes 2020'!E43)/'Volumes 2020'!J43</f>
        <v>-2.0488005417160882E-2</v>
      </c>
      <c r="F44" s="10">
        <f>('Volumes 2020'!K43-'Volumes 2020'!F43)/'Volumes 2020'!K43</f>
        <v>4.2302883680491107E-2</v>
      </c>
    </row>
    <row r="45" spans="1:6" ht="15" thickBot="1" x14ac:dyDescent="0.35">
      <c r="A45" s="5" t="s">
        <v>40</v>
      </c>
      <c r="B45" s="10">
        <f>('Volumes 2020'!G44-'Volumes 2020'!B44)/'Volumes 2020'!G44</f>
        <v>0.12584667513993014</v>
      </c>
      <c r="C45" s="10">
        <f>('Volumes 2020'!H44-'Volumes 2020'!C44)/'Volumes 2020'!H44</f>
        <v>0.13286450076163867</v>
      </c>
      <c r="D45" s="10">
        <f>('Volumes 2020'!I44-'Volumes 2020'!D44)/'Volumes 2020'!I44</f>
        <v>4.1589771354340381E-2</v>
      </c>
      <c r="E45" s="10">
        <f>('Volumes 2020'!J44-'Volumes 2020'!E44)/'Volumes 2020'!J44</f>
        <v>-2.0488005417160886E-2</v>
      </c>
      <c r="F45" s="10">
        <f>('Volumes 2020'!K44-'Volumes 2020'!F44)/'Volumes 2020'!K44</f>
        <v>4.2302883680491024E-2</v>
      </c>
    </row>
    <row r="46" spans="1:6" ht="15" thickBot="1" x14ac:dyDescent="0.35">
      <c r="A46" s="5" t="s">
        <v>41</v>
      </c>
      <c r="B46" s="10">
        <f>('Volumes 2020'!G45-'Volumes 2020'!B45)/'Volumes 2020'!G45</f>
        <v>0.1258466751399302</v>
      </c>
      <c r="C46" s="10">
        <f>('Volumes 2020'!H45-'Volumes 2020'!C45)/'Volumes 2020'!H45</f>
        <v>0.13286450076163869</v>
      </c>
      <c r="D46" s="10">
        <f>('Volumes 2020'!I45-'Volumes 2020'!D45)/'Volumes 2020'!I45</f>
        <v>4.1589771354340423E-2</v>
      </c>
      <c r="E46" s="10">
        <f>('Volumes 2020'!J45-'Volumes 2020'!E45)/'Volumes 2020'!J45</f>
        <v>-2.0488005417160834E-2</v>
      </c>
      <c r="F46" s="10">
        <f>('Volumes 2020'!K45-'Volumes 2020'!F45)/'Volumes 2020'!K45</f>
        <v>4.2302883680491024E-2</v>
      </c>
    </row>
    <row r="47" spans="1:6" ht="15" thickBot="1" x14ac:dyDescent="0.35">
      <c r="A47" s="5" t="s">
        <v>42</v>
      </c>
      <c r="B47" s="10">
        <f>('Volumes 2020'!G46-'Volumes 2020'!B46)/'Volumes 2020'!G46</f>
        <v>0.12584667513993023</v>
      </c>
      <c r="C47" s="10">
        <f>('Volumes 2020'!H46-'Volumes 2020'!C46)/'Volumes 2020'!H46</f>
        <v>0.13286450076163864</v>
      </c>
      <c r="D47" s="10">
        <f>('Volumes 2020'!I46-'Volumes 2020'!D46)/'Volumes 2020'!I46</f>
        <v>4.1589771354340305E-2</v>
      </c>
      <c r="E47" s="10">
        <f>('Volumes 2020'!J46-'Volumes 2020'!E46)/'Volumes 2020'!J46</f>
        <v>-2.0488005417160775E-2</v>
      </c>
      <c r="F47" s="10">
        <f>('Volumes 2020'!K46-'Volumes 2020'!F46)/'Volumes 2020'!K46</f>
        <v>4.23028836804911E-2</v>
      </c>
    </row>
    <row r="48" spans="1:6" ht="15" thickBot="1" x14ac:dyDescent="0.35">
      <c r="A48" s="5" t="s">
        <v>43</v>
      </c>
      <c r="B48" s="10">
        <f>('Volumes 2020'!G47-'Volumes 2020'!B47)/'Volumes 2020'!G47</f>
        <v>0.12584667513993017</v>
      </c>
      <c r="C48" s="10">
        <f>('Volumes 2020'!H47-'Volumes 2020'!C47)/'Volumes 2020'!H47</f>
        <v>0.13286450076163869</v>
      </c>
      <c r="D48" s="10">
        <f>('Volumes 2020'!I47-'Volumes 2020'!D47)/'Volumes 2020'!I47</f>
        <v>4.1589771354340298E-2</v>
      </c>
      <c r="E48" s="10">
        <f>('Volumes 2020'!J47-'Volumes 2020'!E47)/'Volumes 2020'!J47</f>
        <v>-2.048800541716083E-2</v>
      </c>
      <c r="F48" s="10">
        <f>('Volumes 2020'!K47-'Volumes 2020'!F47)/'Volumes 2020'!K47</f>
        <v>4.2302883680491087E-2</v>
      </c>
    </row>
    <row r="49" spans="1:6" ht="15" thickBot="1" x14ac:dyDescent="0.35">
      <c r="A49" s="5" t="s">
        <v>44</v>
      </c>
      <c r="B49" s="10">
        <f>('Volumes 2020'!G48-'Volumes 2020'!B48)/'Volumes 2020'!G48</f>
        <v>0.12584667513993011</v>
      </c>
      <c r="C49" s="10">
        <f>('Volumes 2020'!H48-'Volumes 2020'!C48)/'Volumes 2020'!H48</f>
        <v>0.13286450076163872</v>
      </c>
      <c r="D49" s="10">
        <f>('Volumes 2020'!I48-'Volumes 2020'!D48)/'Volumes 2020'!I48</f>
        <v>4.1589771354340353E-2</v>
      </c>
      <c r="E49" s="10">
        <f>('Volumes 2020'!J48-'Volumes 2020'!E48)/'Volumes 2020'!J48</f>
        <v>-2.0488005417160761E-2</v>
      </c>
      <c r="F49" s="10">
        <f>('Volumes 2020'!K48-'Volumes 2020'!F48)/'Volumes 2020'!K48</f>
        <v>4.2302883680491038E-2</v>
      </c>
    </row>
    <row r="50" spans="1:6" ht="15" thickBot="1" x14ac:dyDescent="0.35">
      <c r="A50" s="5" t="s">
        <v>45</v>
      </c>
      <c r="B50" s="10">
        <f>('Volumes 2020'!G49-'Volumes 2020'!B49)/'Volumes 2020'!G49</f>
        <v>0.12584667513993025</v>
      </c>
      <c r="C50" s="10">
        <f>('Volumes 2020'!H49-'Volumes 2020'!C49)/'Volumes 2020'!H49</f>
        <v>0.13286450076163867</v>
      </c>
      <c r="D50" s="10">
        <f>('Volumes 2020'!I49-'Volumes 2020'!D49)/'Volumes 2020'!I49</f>
        <v>4.1589771354340402E-2</v>
      </c>
      <c r="E50" s="10">
        <f>('Volumes 2020'!J49-'Volumes 2020'!E49)/'Volumes 2020'!J49</f>
        <v>-2.0488005417160848E-2</v>
      </c>
      <c r="F50" s="10">
        <f>('Volumes 2020'!K49-'Volumes 2020'!F49)/'Volumes 2020'!K49</f>
        <v>4.230288368049108E-2</v>
      </c>
    </row>
    <row r="51" spans="1:6" ht="15" thickBot="1" x14ac:dyDescent="0.35">
      <c r="A51" s="5" t="s">
        <v>46</v>
      </c>
      <c r="B51" s="10">
        <f>('Volumes 2020'!G50-'Volumes 2020'!B50)/'Volumes 2020'!G50</f>
        <v>0.12584667513993017</v>
      </c>
      <c r="C51" s="10">
        <f>('Volumes 2020'!H50-'Volumes 2020'!C50)/'Volumes 2020'!H50</f>
        <v>0.13286450076163872</v>
      </c>
      <c r="D51" s="10">
        <f>('Volumes 2020'!I50-'Volumes 2020'!D50)/'Volumes 2020'!I50</f>
        <v>4.1589771354340367E-2</v>
      </c>
      <c r="E51" s="10">
        <f>('Volumes 2020'!J50-'Volumes 2020'!E50)/'Volumes 2020'!J50</f>
        <v>-2.0488005417160886E-2</v>
      </c>
      <c r="F51" s="10">
        <f>('Volumes 2020'!K50-'Volumes 2020'!F50)/'Volumes 2020'!K50</f>
        <v>4.2302883680491045E-2</v>
      </c>
    </row>
    <row r="52" spans="1:6" ht="15" thickBot="1" x14ac:dyDescent="0.35">
      <c r="A52" s="5" t="s">
        <v>47</v>
      </c>
      <c r="B52" s="10">
        <f>('Volumes 2020'!G51-'Volumes 2020'!B51)/'Volumes 2020'!G51</f>
        <v>0.12584667513993017</v>
      </c>
      <c r="C52" s="10">
        <f>('Volumes 2020'!H51-'Volumes 2020'!C51)/'Volumes 2020'!H51</f>
        <v>0.13286450076163869</v>
      </c>
      <c r="D52" s="10">
        <f>('Volumes 2020'!I51-'Volumes 2020'!D51)/'Volumes 2020'!I51</f>
        <v>4.1589771354340332E-2</v>
      </c>
      <c r="E52" s="10">
        <f>('Volumes 2020'!J51-'Volumes 2020'!E51)/'Volumes 2020'!J51</f>
        <v>-2.0488005417160862E-2</v>
      </c>
      <c r="F52" s="10">
        <f>('Volumes 2020'!K51-'Volumes 2020'!F51)/'Volumes 2020'!K51</f>
        <v>4.2302883680491003E-2</v>
      </c>
    </row>
    <row r="53" spans="1:6" ht="15" thickBot="1" x14ac:dyDescent="0.35">
      <c r="A53" s="5" t="s">
        <v>48</v>
      </c>
      <c r="B53" s="10">
        <f>('Volumes 2020'!G52-'Volumes 2020'!B52)/'Volumes 2020'!G52</f>
        <v>0.12584667513993025</v>
      </c>
      <c r="C53" s="10">
        <f>('Volumes 2020'!H52-'Volumes 2020'!C52)/'Volumes 2020'!H52</f>
        <v>0.13286450076163872</v>
      </c>
      <c r="D53" s="10">
        <f>('Volumes 2020'!I52-'Volumes 2020'!D52)/'Volumes 2020'!I52</f>
        <v>4.1589771354340416E-2</v>
      </c>
      <c r="E53" s="10">
        <f>('Volumes 2020'!J52-'Volumes 2020'!E52)/'Volumes 2020'!J52</f>
        <v>-2.048800541716082E-2</v>
      </c>
      <c r="F53" s="10">
        <f>('Volumes 2020'!K52-'Volumes 2020'!F52)/'Volumes 2020'!K52</f>
        <v>4.2302883680491017E-2</v>
      </c>
    </row>
    <row r="54" spans="1:6" ht="15" thickBot="1" x14ac:dyDescent="0.35">
      <c r="A54" s="5" t="s">
        <v>49</v>
      </c>
      <c r="B54" s="10">
        <f>('Volumes 2020'!G53-'Volumes 2020'!B53)/'Volumes 2020'!G53</f>
        <v>0.12584667513993014</v>
      </c>
      <c r="C54" s="10">
        <f>('Volumes 2020'!H53-'Volumes 2020'!C53)/'Volumes 2020'!H53</f>
        <v>0.13286450076163872</v>
      </c>
      <c r="D54" s="10">
        <f>('Volumes 2020'!I53-'Volumes 2020'!D53)/'Volumes 2020'!I53</f>
        <v>4.1589771354340326E-2</v>
      </c>
      <c r="E54" s="10">
        <f>('Volumes 2020'!J53-'Volumes 2020'!E53)/'Volumes 2020'!J53</f>
        <v>-2.0488005417160823E-2</v>
      </c>
      <c r="F54" s="10">
        <f>('Volumes 2020'!K53-'Volumes 2020'!F53)/'Volumes 2020'!K53</f>
        <v>4.2302883680491031E-2</v>
      </c>
    </row>
    <row r="55" spans="1:6" ht="15" thickBot="1" x14ac:dyDescent="0.35">
      <c r="A55" s="5" t="s">
        <v>50</v>
      </c>
      <c r="B55" s="10">
        <f>('Volumes 2020'!G54-'Volumes 2020'!B54)/'Volumes 2020'!G54</f>
        <v>0.12584667513993023</v>
      </c>
      <c r="C55" s="10">
        <f>('Volumes 2020'!H54-'Volumes 2020'!C54)/'Volumes 2020'!H54</f>
        <v>0.13286450076163867</v>
      </c>
      <c r="D55" s="10">
        <f>('Volumes 2020'!I54-'Volumes 2020'!D54)/'Volumes 2020'!I54</f>
        <v>4.1589771354340457E-2</v>
      </c>
      <c r="E55" s="10">
        <f>('Volumes 2020'!J54-'Volumes 2020'!E54)/'Volumes 2020'!J54</f>
        <v>-2.0488005417160862E-2</v>
      </c>
      <c r="F55" s="10">
        <f>('Volumes 2020'!K54-'Volumes 2020'!F54)/'Volumes 2020'!K54</f>
        <v>4.2302883680491073E-2</v>
      </c>
    </row>
    <row r="56" spans="1:6" ht="15" thickBot="1" x14ac:dyDescent="0.35">
      <c r="A56" s="5" t="s">
        <v>51</v>
      </c>
      <c r="B56" s="10">
        <f>('Volumes 2020'!G55-'Volumes 2020'!B55)/'Volumes 2020'!G55</f>
        <v>0.12584667513993023</v>
      </c>
      <c r="C56" s="10">
        <f>('Volumes 2020'!H55-'Volumes 2020'!C55)/'Volumes 2020'!H55</f>
        <v>0.13286450076163869</v>
      </c>
      <c r="D56" s="10">
        <f>('Volumes 2020'!I55-'Volumes 2020'!D55)/'Volumes 2020'!I55</f>
        <v>4.1589771354340319E-2</v>
      </c>
      <c r="E56" s="10">
        <f>('Volumes 2020'!J55-'Volumes 2020'!E55)/'Volumes 2020'!J55</f>
        <v>-2.0488005417160823E-2</v>
      </c>
      <c r="F56" s="10" t="e">
        <f>('Volumes 2020'!K55-'Volumes 2020'!F55)/'Volumes 2020'!K55</f>
        <v>#DIV/0!</v>
      </c>
    </row>
  </sheetData>
  <mergeCells count="1">
    <mergeCell ref="B1:F1"/>
  </mergeCells>
  <conditionalFormatting sqref="B5:E5 B6:F56">
    <cfRule type="colorScale" priority="2">
      <colorScale>
        <cfvo type="min"/>
        <cfvo type="percentile" val="50"/>
        <cfvo type="max"/>
        <color rgb="FFF8696B"/>
        <color rgb="FFFCFCFF"/>
        <color rgb="FF63BE7B"/>
      </colorScale>
    </cfRule>
  </conditionalFormatting>
  <conditionalFormatting sqref="B4:F4">
    <cfRule type="colorScale" priority="1">
      <colorScale>
        <cfvo type="min"/>
        <cfvo type="percentile" val="50"/>
        <cfvo type="max"/>
        <color rgb="FFF8696B"/>
        <color rgb="FFFCFCFF"/>
        <color rgb="FF63BE7B"/>
      </colorScale>
    </cfRule>
  </conditionalFormatting>
  <pageMargins left="0.7" right="0.7" top="0.75" bottom="0.75" header="0.3" footer="0.3"/>
  <pageSetup paperSize="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17DDF5-55A5-4E08-B46F-B8E68ED09C0B}">
  <sheetPr codeName="Feuil3"/>
  <dimension ref="A1:CE281"/>
  <sheetViews>
    <sheetView zoomScale="70" zoomScaleNormal="70" workbookViewId="0">
      <selection activeCell="D36" sqref="D36"/>
    </sheetView>
  </sheetViews>
  <sheetFormatPr baseColWidth="10" defaultRowHeight="14.4" x14ac:dyDescent="0.3"/>
  <cols>
    <col min="1" max="1" width="15.6640625" bestFit="1" customWidth="1"/>
  </cols>
  <sheetData>
    <row r="1" spans="1:83" x14ac:dyDescent="0.3">
      <c r="B1" s="36" t="s">
        <v>97</v>
      </c>
      <c r="C1" s="37" t="s">
        <v>98</v>
      </c>
      <c r="D1" s="37" t="s">
        <v>99</v>
      </c>
      <c r="E1" s="37" t="s">
        <v>100</v>
      </c>
      <c r="F1" s="37" t="s">
        <v>101</v>
      </c>
      <c r="G1" s="37" t="s">
        <v>102</v>
      </c>
      <c r="H1" s="37" t="s">
        <v>103</v>
      </c>
      <c r="I1" s="37" t="s">
        <v>104</v>
      </c>
      <c r="J1" s="37" t="s">
        <v>105</v>
      </c>
      <c r="K1" s="37" t="s">
        <v>106</v>
      </c>
      <c r="L1" s="37" t="s">
        <v>107</v>
      </c>
      <c r="M1" s="37" t="s">
        <v>108</v>
      </c>
      <c r="N1" s="37" t="s">
        <v>109</v>
      </c>
      <c r="O1" s="37" t="s">
        <v>110</v>
      </c>
      <c r="P1" s="37" t="s">
        <v>111</v>
      </c>
      <c r="Q1" s="37" t="s">
        <v>112</v>
      </c>
      <c r="R1" s="37" t="s">
        <v>113</v>
      </c>
      <c r="S1" s="38" t="s">
        <v>114</v>
      </c>
    </row>
    <row r="2" spans="1:83" x14ac:dyDescent="0.3">
      <c r="A2" t="s">
        <v>151</v>
      </c>
      <c r="B2" s="103">
        <f t="shared" ref="B2:S2" si="0">AF12/$AF$5</f>
        <v>6.2869180239779762E-2</v>
      </c>
      <c r="C2" s="103">
        <f t="shared" si="0"/>
        <v>0.11169344947219637</v>
      </c>
      <c r="D2" s="103">
        <f t="shared" si="0"/>
        <v>2.0785066525451777E-2</v>
      </c>
      <c r="E2" s="103">
        <f t="shared" si="0"/>
        <v>4.192836199813877E-2</v>
      </c>
      <c r="F2" s="103">
        <f t="shared" si="0"/>
        <v>3.7349261542175619E-2</v>
      </c>
      <c r="G2" s="103">
        <f t="shared" si="0"/>
        <v>0.10404993400021026</v>
      </c>
      <c r="H2" s="103">
        <f t="shared" si="0"/>
        <v>6.8869515105969573E-2</v>
      </c>
      <c r="I2" s="103">
        <f t="shared" si="0"/>
        <v>6.111697343265101E-2</v>
      </c>
      <c r="J2" s="103">
        <f t="shared" si="0"/>
        <v>0.17398245456917127</v>
      </c>
      <c r="K2" s="103">
        <f t="shared" si="0"/>
        <v>4.5179679073588795E-2</v>
      </c>
      <c r="L2" s="103">
        <f t="shared" si="0"/>
        <v>6.5427402178187752E-2</v>
      </c>
      <c r="M2" s="103">
        <f t="shared" si="0"/>
        <v>6.2616083700972283E-2</v>
      </c>
      <c r="N2" s="103">
        <f t="shared" si="0"/>
        <v>3.5900770581615846E-3</v>
      </c>
      <c r="O2" s="103">
        <f t="shared" si="0"/>
        <v>9.6566064037318115E-4</v>
      </c>
      <c r="P2" s="103">
        <f t="shared" si="0"/>
        <v>6.3079445056635217E-3</v>
      </c>
      <c r="Q2" s="103">
        <f t="shared" si="0"/>
        <v>3.6449795381182856E-2</v>
      </c>
      <c r="R2" s="103">
        <f t="shared" si="0"/>
        <v>8.9837589897943687E-2</v>
      </c>
      <c r="S2" s="103">
        <f t="shared" si="0"/>
        <v>6.9815706781819102E-3</v>
      </c>
    </row>
    <row r="3" spans="1:83" x14ac:dyDescent="0.3">
      <c r="A3" t="s">
        <v>193</v>
      </c>
      <c r="B3" s="102">
        <v>6.8707829635195977E-2</v>
      </c>
      <c r="C3" s="102">
        <v>0.11682492222709094</v>
      </c>
      <c r="D3" s="102">
        <v>2.6846276318372251E-2</v>
      </c>
      <c r="E3" s="102">
        <v>4.4558077378344135E-2</v>
      </c>
      <c r="F3" s="102">
        <v>3.5982734315053146E-2</v>
      </c>
      <c r="G3" s="102">
        <v>8.8779089248998216E-2</v>
      </c>
      <c r="H3" s="102">
        <v>8.8907967237232655E-2</v>
      </c>
      <c r="I3" s="102">
        <v>6.0701532458417022E-2</v>
      </c>
      <c r="J3" s="102">
        <v>0.15433634775643248</v>
      </c>
      <c r="K3" s="102">
        <v>6.8352919482981167E-2</v>
      </c>
      <c r="L3" s="102">
        <v>7.8716692475309949E-2</v>
      </c>
      <c r="M3" s="102">
        <v>7.9152894897026482E-2</v>
      </c>
      <c r="N3" s="102">
        <v>2.4189407022462443E-3</v>
      </c>
      <c r="O3" s="102">
        <v>7.9904352705347252E-4</v>
      </c>
      <c r="P3" s="102">
        <v>3.0018657567219783E-3</v>
      </c>
      <c r="Q3" s="102">
        <v>2.1433400812526149E-2</v>
      </c>
      <c r="R3" s="102">
        <v>5.6192785608492467E-2</v>
      </c>
      <c r="S3" s="102">
        <v>4.2866801625052291E-3</v>
      </c>
    </row>
    <row r="4" spans="1:83" ht="17.399999999999999" x14ac:dyDescent="0.3">
      <c r="C4" s="13"/>
      <c r="D4" s="222" t="s">
        <v>63</v>
      </c>
      <c r="E4" s="222"/>
      <c r="F4" s="222"/>
      <c r="G4" s="222"/>
      <c r="H4" s="222"/>
      <c r="I4" s="222"/>
      <c r="J4" s="222"/>
      <c r="K4" s="222"/>
      <c r="L4" s="222"/>
      <c r="M4" s="222"/>
      <c r="N4" s="222"/>
      <c r="O4" s="222"/>
      <c r="P4" s="222"/>
      <c r="Q4" s="222"/>
      <c r="R4" s="222"/>
      <c r="S4" s="222"/>
      <c r="T4" s="222"/>
      <c r="U4" s="222"/>
      <c r="V4" s="222"/>
      <c r="W4" s="222"/>
      <c r="X4" s="222"/>
      <c r="Y4" s="222"/>
      <c r="Z4" s="13"/>
      <c r="AA4" s="13"/>
      <c r="AB4" s="13"/>
      <c r="AC4" s="13"/>
      <c r="AD4" s="13"/>
      <c r="AE4" s="13"/>
      <c r="AF4" s="13"/>
      <c r="AG4" s="13"/>
      <c r="AH4" s="13"/>
    </row>
    <row r="5" spans="1:83" x14ac:dyDescent="0.3">
      <c r="AE5" t="s">
        <v>148</v>
      </c>
      <c r="AF5" s="101">
        <f>SUM(AF12:AW12)</f>
        <v>256819</v>
      </c>
    </row>
    <row r="6" spans="1:83" ht="16.2" thickBot="1" x14ac:dyDescent="0.35">
      <c r="D6" s="223" t="s">
        <v>64</v>
      </c>
      <c r="E6" s="224"/>
      <c r="F6" s="224"/>
      <c r="G6" s="224"/>
      <c r="H6" s="224"/>
      <c r="I6" s="224"/>
      <c r="J6" s="224"/>
      <c r="K6" s="224"/>
      <c r="L6" s="224"/>
      <c r="M6" s="224"/>
      <c r="N6" s="224"/>
      <c r="O6" s="224"/>
      <c r="P6" s="224"/>
      <c r="Q6" s="224"/>
      <c r="R6" s="224"/>
      <c r="S6" s="224"/>
      <c r="T6" s="224"/>
      <c r="U6" s="224"/>
      <c r="V6" s="224"/>
      <c r="W6" s="224"/>
      <c r="X6" s="224"/>
      <c r="Y6" s="224"/>
    </row>
    <row r="7" spans="1:83" ht="16.2" thickBot="1" x14ac:dyDescent="0.35">
      <c r="D7" s="14"/>
      <c r="E7" s="15"/>
      <c r="F7" s="14"/>
      <c r="G7" s="15"/>
      <c r="H7" s="16"/>
      <c r="I7" s="14"/>
      <c r="J7" s="17"/>
      <c r="K7" s="15"/>
      <c r="L7" s="14"/>
      <c r="M7" s="17"/>
      <c r="N7" s="15"/>
      <c r="O7" s="16"/>
      <c r="P7" s="16"/>
      <c r="Q7" s="14"/>
      <c r="R7" s="18"/>
      <c r="S7" s="18"/>
      <c r="T7" s="18"/>
      <c r="U7" s="16"/>
      <c r="V7" s="14"/>
      <c r="W7" s="15"/>
      <c r="X7" s="14"/>
      <c r="Y7" s="15"/>
    </row>
    <row r="8" spans="1:83" ht="16.2" thickBot="1" x14ac:dyDescent="0.35">
      <c r="D8" s="14"/>
      <c r="E8" s="15"/>
      <c r="F8" s="14"/>
      <c r="G8" s="15"/>
      <c r="H8" s="16"/>
      <c r="I8" s="14"/>
      <c r="J8" s="17"/>
      <c r="K8" s="15"/>
      <c r="L8" s="14"/>
      <c r="M8" s="17"/>
      <c r="N8" s="15"/>
      <c r="O8" s="16"/>
      <c r="P8" s="16"/>
      <c r="Q8" s="14"/>
      <c r="R8" s="18"/>
      <c r="S8" s="18"/>
      <c r="T8" s="18"/>
      <c r="U8" s="16"/>
      <c r="V8" s="14"/>
      <c r="W8" s="15"/>
      <c r="X8" s="14"/>
      <c r="Y8" s="15"/>
    </row>
    <row r="9" spans="1:83" ht="16.2" thickBot="1" x14ac:dyDescent="0.35">
      <c r="D9" s="14"/>
      <c r="E9" s="15"/>
      <c r="F9" s="14"/>
      <c r="G9" s="15"/>
      <c r="H9" s="16"/>
      <c r="I9" s="14"/>
      <c r="J9" s="17"/>
      <c r="K9" s="15"/>
      <c r="L9" s="14"/>
      <c r="M9" s="17"/>
      <c r="N9" s="15"/>
      <c r="O9" s="16"/>
      <c r="P9" s="16"/>
      <c r="Q9" s="14"/>
      <c r="R9" s="18"/>
      <c r="S9" s="18"/>
      <c r="T9" s="18"/>
      <c r="U9" s="16"/>
      <c r="V9" s="14"/>
      <c r="W9" s="15"/>
      <c r="X9" s="14"/>
      <c r="Y9" s="15"/>
      <c r="AE9" t="s">
        <v>149</v>
      </c>
    </row>
    <row r="10" spans="1:83" ht="15" thickBot="1" x14ac:dyDescent="0.35"/>
    <row r="11" spans="1:83" ht="16.2" thickBot="1" x14ac:dyDescent="0.35">
      <c r="B11" s="19"/>
      <c r="C11" s="19"/>
      <c r="D11" s="217" t="s">
        <v>65</v>
      </c>
      <c r="E11" s="218"/>
      <c r="F11" s="218"/>
      <c r="G11" s="217" t="s">
        <v>66</v>
      </c>
      <c r="H11" s="218"/>
      <c r="I11" s="218"/>
      <c r="J11" s="218"/>
      <c r="K11" s="218"/>
      <c r="L11" s="218"/>
      <c r="M11" s="218"/>
      <c r="N11" s="218"/>
      <c r="O11" s="218"/>
      <c r="P11" s="218"/>
      <c r="Q11" s="218"/>
      <c r="R11" s="219"/>
      <c r="S11" s="214" t="s">
        <v>67</v>
      </c>
      <c r="T11" s="216"/>
      <c r="U11" s="217" t="s">
        <v>68</v>
      </c>
      <c r="V11" s="218"/>
      <c r="W11" s="218"/>
      <c r="X11" s="217" t="s">
        <v>69</v>
      </c>
      <c r="Y11" s="218"/>
      <c r="Z11" s="218"/>
      <c r="AA11" s="218"/>
      <c r="AB11" s="218"/>
      <c r="AC11" s="218"/>
      <c r="AD11" s="218"/>
      <c r="AE11" s="219"/>
      <c r="AF11" s="214" t="s">
        <v>70</v>
      </c>
      <c r="AG11" s="215"/>
      <c r="AH11" s="215"/>
      <c r="AI11" s="215"/>
      <c r="AJ11" s="215"/>
      <c r="AK11" s="215"/>
      <c r="AL11" s="215"/>
      <c r="AM11" s="215"/>
      <c r="AN11" s="215"/>
      <c r="AO11" s="215"/>
      <c r="AP11" s="215"/>
      <c r="AQ11" s="215"/>
      <c r="AR11" s="215"/>
      <c r="AS11" s="215"/>
      <c r="AT11" s="215"/>
      <c r="AU11" s="215"/>
      <c r="AV11" s="215"/>
      <c r="AW11" s="216"/>
      <c r="AX11" s="214" t="s">
        <v>71</v>
      </c>
      <c r="AY11" s="215"/>
      <c r="AZ11" s="215"/>
      <c r="BA11" s="215"/>
      <c r="BB11" s="215"/>
      <c r="BC11" s="215"/>
      <c r="BD11" s="215"/>
      <c r="BE11" s="215"/>
      <c r="BF11" s="215"/>
      <c r="BG11" s="216"/>
      <c r="BH11" s="217" t="s">
        <v>72</v>
      </c>
      <c r="BI11" s="218"/>
      <c r="BJ11" s="218"/>
      <c r="BK11" s="218"/>
      <c r="BL11" s="218"/>
      <c r="BM11" s="218"/>
      <c r="BN11" s="218"/>
      <c r="BO11" s="218"/>
      <c r="BP11" s="219"/>
      <c r="BQ11" s="214" t="s">
        <v>73</v>
      </c>
      <c r="BR11" s="215"/>
      <c r="BS11" s="216"/>
      <c r="BT11" s="217" t="s">
        <v>74</v>
      </c>
      <c r="BU11" s="218"/>
      <c r="BV11" s="218"/>
      <c r="BW11" s="218"/>
      <c r="BX11" s="218"/>
      <c r="BY11" s="218"/>
      <c r="BZ11" s="218"/>
      <c r="CA11" s="218"/>
      <c r="CB11" s="218"/>
      <c r="CC11" s="218"/>
      <c r="CD11" s="218"/>
      <c r="CE11" s="219"/>
    </row>
    <row r="12" spans="1:83" ht="15" thickBot="1" x14ac:dyDescent="0.35">
      <c r="B12" s="220" t="s">
        <v>75</v>
      </c>
      <c r="C12" s="221"/>
      <c r="D12" s="20">
        <v>1178</v>
      </c>
      <c r="E12" s="21">
        <v>226823</v>
      </c>
      <c r="F12" s="22">
        <v>35230</v>
      </c>
      <c r="G12" s="23">
        <v>3.3908112081475021</v>
      </c>
      <c r="H12" s="24">
        <v>4.915676487477362</v>
      </c>
      <c r="I12" s="21">
        <v>181112</v>
      </c>
      <c r="J12" s="21">
        <v>262559</v>
      </c>
      <c r="K12" s="21">
        <v>890288</v>
      </c>
      <c r="L12" s="25">
        <v>756702.60000000056</v>
      </c>
      <c r="M12" s="25">
        <v>59944.254000000008</v>
      </c>
      <c r="N12" s="26">
        <v>133543.20000000001</v>
      </c>
      <c r="O12" s="27">
        <v>59894.070000000007</v>
      </c>
      <c r="P12" s="28">
        <v>14.460397232551093</v>
      </c>
      <c r="Q12" s="27">
        <v>76939.329999999987</v>
      </c>
      <c r="R12" s="26">
        <v>11.242170824973513</v>
      </c>
      <c r="S12" s="29">
        <v>0</v>
      </c>
      <c r="T12" s="30">
        <v>0</v>
      </c>
      <c r="U12" s="31">
        <v>70</v>
      </c>
      <c r="V12" s="21">
        <v>9099</v>
      </c>
      <c r="W12" s="22">
        <v>7837</v>
      </c>
      <c r="X12" s="20">
        <v>5155</v>
      </c>
      <c r="Y12" s="21">
        <v>16783</v>
      </c>
      <c r="Z12" s="21">
        <v>39383</v>
      </c>
      <c r="AA12" s="21">
        <v>113837.29999999997</v>
      </c>
      <c r="AB12" s="21">
        <v>10453.031000000001</v>
      </c>
      <c r="AC12" s="21">
        <v>0</v>
      </c>
      <c r="AD12" s="21">
        <v>0</v>
      </c>
      <c r="AE12" s="26" t="e">
        <v>#DIV/0!</v>
      </c>
      <c r="AF12" s="20">
        <v>16146</v>
      </c>
      <c r="AG12" s="21">
        <v>28685</v>
      </c>
      <c r="AH12" s="21">
        <v>5338</v>
      </c>
      <c r="AI12" s="21">
        <v>10768</v>
      </c>
      <c r="AJ12" s="21">
        <v>9592</v>
      </c>
      <c r="AK12" s="21">
        <v>26722</v>
      </c>
      <c r="AL12" s="21">
        <v>17687</v>
      </c>
      <c r="AM12" s="21">
        <v>15696</v>
      </c>
      <c r="AN12" s="21">
        <v>44682</v>
      </c>
      <c r="AO12" s="21">
        <v>11603</v>
      </c>
      <c r="AP12" s="21">
        <v>16803</v>
      </c>
      <c r="AQ12" s="21">
        <v>16081</v>
      </c>
      <c r="AR12" s="21">
        <v>922</v>
      </c>
      <c r="AS12" s="21">
        <v>248</v>
      </c>
      <c r="AT12" s="21">
        <v>1620</v>
      </c>
      <c r="AU12" s="21">
        <v>9361</v>
      </c>
      <c r="AV12" s="21">
        <v>23072</v>
      </c>
      <c r="AW12" s="22">
        <v>1793</v>
      </c>
      <c r="AX12" s="20">
        <v>499938</v>
      </c>
      <c r="AY12" s="31">
        <v>2997995</v>
      </c>
      <c r="AZ12" s="31">
        <v>132699</v>
      </c>
      <c r="BA12" s="31">
        <v>432918</v>
      </c>
      <c r="BB12" s="31">
        <v>49720</v>
      </c>
      <c r="BC12" s="31">
        <v>105393</v>
      </c>
      <c r="BD12" s="31">
        <v>136861</v>
      </c>
      <c r="BE12" s="31">
        <v>178219</v>
      </c>
      <c r="BF12" s="31">
        <v>46502</v>
      </c>
      <c r="BG12" s="32">
        <v>361582</v>
      </c>
      <c r="BH12" s="27" t="e">
        <v>#DIV/0!</v>
      </c>
      <c r="BI12" s="21">
        <v>0</v>
      </c>
      <c r="BJ12" s="21">
        <v>151460</v>
      </c>
      <c r="BK12" s="21">
        <v>0</v>
      </c>
      <c r="BL12" s="21">
        <v>237888</v>
      </c>
      <c r="BM12" s="21">
        <v>30348</v>
      </c>
      <c r="BN12" s="21">
        <v>14726</v>
      </c>
      <c r="BO12" s="21">
        <v>104372</v>
      </c>
      <c r="BP12" s="22">
        <v>2014</v>
      </c>
      <c r="BQ12" s="33">
        <v>103341</v>
      </c>
      <c r="BR12" s="32">
        <v>34723</v>
      </c>
      <c r="BS12" s="22">
        <v>11047</v>
      </c>
      <c r="BT12" s="20">
        <v>77.134900990099013</v>
      </c>
      <c r="BU12" s="21">
        <v>22.865099009900991</v>
      </c>
      <c r="BV12" s="21">
        <v>129636</v>
      </c>
      <c r="BW12" s="21">
        <v>38428</v>
      </c>
      <c r="BX12" s="21">
        <v>73202</v>
      </c>
      <c r="BY12" s="21">
        <v>16492</v>
      </c>
      <c r="BZ12" s="21">
        <v>19459</v>
      </c>
      <c r="CA12" s="21">
        <v>39942</v>
      </c>
      <c r="CB12" s="21">
        <v>1145</v>
      </c>
      <c r="CC12" s="21">
        <v>15745</v>
      </c>
      <c r="CD12" s="21">
        <v>997</v>
      </c>
      <c r="CE12" s="22">
        <v>1082</v>
      </c>
    </row>
    <row r="13" spans="1:83" ht="39.6" x14ac:dyDescent="0.3">
      <c r="B13" s="34" t="s">
        <v>76</v>
      </c>
      <c r="C13" s="35" t="s">
        <v>77</v>
      </c>
      <c r="D13" s="36" t="s">
        <v>78</v>
      </c>
      <c r="E13" s="37" t="s">
        <v>79</v>
      </c>
      <c r="F13" s="38" t="s">
        <v>80</v>
      </c>
      <c r="G13" s="36" t="s">
        <v>81</v>
      </c>
      <c r="H13" s="39" t="s">
        <v>82</v>
      </c>
      <c r="I13" s="37" t="s">
        <v>83</v>
      </c>
      <c r="J13" s="37" t="s">
        <v>84</v>
      </c>
      <c r="K13" s="37" t="s">
        <v>85</v>
      </c>
      <c r="L13" s="37" t="s">
        <v>86</v>
      </c>
      <c r="M13" s="37" t="s">
        <v>87</v>
      </c>
      <c r="N13" s="40" t="s">
        <v>88</v>
      </c>
      <c r="O13" s="36" t="s">
        <v>89</v>
      </c>
      <c r="P13" s="38" t="s">
        <v>90</v>
      </c>
      <c r="Q13" s="39" t="s">
        <v>91</v>
      </c>
      <c r="R13" s="40" t="s">
        <v>92</v>
      </c>
      <c r="S13" s="41" t="s">
        <v>93</v>
      </c>
      <c r="T13" s="42" t="s">
        <v>94</v>
      </c>
      <c r="U13" s="39" t="s">
        <v>78</v>
      </c>
      <c r="V13" s="37" t="s">
        <v>79</v>
      </c>
      <c r="W13" s="38" t="s">
        <v>80</v>
      </c>
      <c r="X13" s="36" t="s">
        <v>83</v>
      </c>
      <c r="Y13" s="37" t="s">
        <v>84</v>
      </c>
      <c r="Z13" s="37" t="s">
        <v>85</v>
      </c>
      <c r="AA13" s="37" t="s">
        <v>86</v>
      </c>
      <c r="AB13" s="37" t="s">
        <v>87</v>
      </c>
      <c r="AC13" s="40" t="s">
        <v>88</v>
      </c>
      <c r="AD13" s="36" t="s">
        <v>95</v>
      </c>
      <c r="AE13" s="38" t="s">
        <v>96</v>
      </c>
      <c r="AF13" s="36" t="s">
        <v>97</v>
      </c>
      <c r="AG13" s="37" t="s">
        <v>98</v>
      </c>
      <c r="AH13" s="37" t="s">
        <v>99</v>
      </c>
      <c r="AI13" s="37" t="s">
        <v>100</v>
      </c>
      <c r="AJ13" s="37" t="s">
        <v>101</v>
      </c>
      <c r="AK13" s="37" t="s">
        <v>102</v>
      </c>
      <c r="AL13" s="37" t="s">
        <v>103</v>
      </c>
      <c r="AM13" s="37" t="s">
        <v>104</v>
      </c>
      <c r="AN13" s="37" t="s">
        <v>105</v>
      </c>
      <c r="AO13" s="37" t="s">
        <v>106</v>
      </c>
      <c r="AP13" s="37" t="s">
        <v>107</v>
      </c>
      <c r="AQ13" s="37" t="s">
        <v>108</v>
      </c>
      <c r="AR13" s="37" t="s">
        <v>109</v>
      </c>
      <c r="AS13" s="37" t="s">
        <v>110</v>
      </c>
      <c r="AT13" s="37" t="s">
        <v>111</v>
      </c>
      <c r="AU13" s="37" t="s">
        <v>112</v>
      </c>
      <c r="AV13" s="37" t="s">
        <v>113</v>
      </c>
      <c r="AW13" s="38" t="s">
        <v>114</v>
      </c>
      <c r="AX13" s="36" t="s">
        <v>115</v>
      </c>
      <c r="AY13" s="37" t="s">
        <v>116</v>
      </c>
      <c r="AZ13" s="37" t="s">
        <v>117</v>
      </c>
      <c r="BA13" s="37" t="s">
        <v>118</v>
      </c>
      <c r="BB13" s="37" t="s">
        <v>119</v>
      </c>
      <c r="BC13" s="37" t="s">
        <v>120</v>
      </c>
      <c r="BD13" s="37" t="s">
        <v>121</v>
      </c>
      <c r="BE13" s="37" t="s">
        <v>122</v>
      </c>
      <c r="BF13" s="37" t="s">
        <v>123</v>
      </c>
      <c r="BG13" s="38" t="s">
        <v>124</v>
      </c>
      <c r="BH13" s="36" t="s">
        <v>96</v>
      </c>
      <c r="BI13" s="38" t="s">
        <v>125</v>
      </c>
      <c r="BJ13" s="39" t="s">
        <v>126</v>
      </c>
      <c r="BK13" s="39" t="s">
        <v>127</v>
      </c>
      <c r="BL13" s="37" t="s">
        <v>128</v>
      </c>
      <c r="BM13" s="37" t="s">
        <v>129</v>
      </c>
      <c r="BN13" s="37" t="s">
        <v>130</v>
      </c>
      <c r="BO13" s="37" t="s">
        <v>131</v>
      </c>
      <c r="BP13" s="38" t="s">
        <v>132</v>
      </c>
      <c r="BQ13" s="34" t="s">
        <v>133</v>
      </c>
      <c r="BR13" s="43" t="s">
        <v>134</v>
      </c>
      <c r="BS13" s="38" t="s">
        <v>135</v>
      </c>
      <c r="BT13" s="36" t="s">
        <v>136</v>
      </c>
      <c r="BU13" s="38" t="s">
        <v>137</v>
      </c>
      <c r="BV13" s="44" t="s">
        <v>138</v>
      </c>
      <c r="BW13" s="45" t="s">
        <v>139</v>
      </c>
      <c r="BX13" s="37" t="s">
        <v>140</v>
      </c>
      <c r="BY13" s="37" t="s">
        <v>141</v>
      </c>
      <c r="BZ13" s="37" t="s">
        <v>142</v>
      </c>
      <c r="CA13" s="37" t="s">
        <v>143</v>
      </c>
      <c r="CB13" s="37" t="s">
        <v>144</v>
      </c>
      <c r="CC13" s="37" t="s">
        <v>145</v>
      </c>
      <c r="CD13" s="37" t="s">
        <v>146</v>
      </c>
      <c r="CE13" s="38" t="s">
        <v>147</v>
      </c>
    </row>
    <row r="14" spans="1:83" x14ac:dyDescent="0.3">
      <c r="B14" s="46">
        <v>1</v>
      </c>
      <c r="C14" s="47">
        <v>43467</v>
      </c>
      <c r="D14" s="48">
        <v>19</v>
      </c>
      <c r="E14" s="49">
        <v>4240</v>
      </c>
      <c r="F14" s="50">
        <v>187</v>
      </c>
      <c r="G14" s="51">
        <v>1.5310834813499112</v>
      </c>
      <c r="H14" s="52">
        <v>1.6741927652342801</v>
      </c>
      <c r="I14" s="53">
        <v>4119</v>
      </c>
      <c r="J14" s="54">
        <v>4504</v>
      </c>
      <c r="K14" s="54">
        <v>6896</v>
      </c>
      <c r="L14" s="55">
        <v>4225.3999999999996</v>
      </c>
      <c r="M14" s="56">
        <v>516.77700000000004</v>
      </c>
      <c r="N14" s="57">
        <v>1034.4000000000001</v>
      </c>
      <c r="O14" s="58">
        <v>538.64</v>
      </c>
      <c r="P14" s="59">
        <v>12.802613990791624</v>
      </c>
      <c r="Q14" s="60">
        <v>680.61000000000013</v>
      </c>
      <c r="R14" s="61">
        <v>10.132087392192297</v>
      </c>
      <c r="S14" s="48"/>
      <c r="T14" s="50"/>
      <c r="U14" s="62">
        <v>0</v>
      </c>
      <c r="V14" s="63">
        <v>36</v>
      </c>
      <c r="W14" s="50">
        <v>27</v>
      </c>
      <c r="X14" s="48">
        <v>17</v>
      </c>
      <c r="Y14" s="63">
        <v>59</v>
      </c>
      <c r="Z14" s="63">
        <v>78</v>
      </c>
      <c r="AA14" s="64">
        <v>158.69999999999999</v>
      </c>
      <c r="AB14" s="65">
        <v>34.764000000000003</v>
      </c>
      <c r="AC14" s="66"/>
      <c r="AD14" s="67"/>
      <c r="AE14" s="68"/>
      <c r="AF14" s="48">
        <v>442</v>
      </c>
      <c r="AG14" s="63">
        <v>818</v>
      </c>
      <c r="AH14" s="63">
        <v>97</v>
      </c>
      <c r="AI14" s="63">
        <v>318</v>
      </c>
      <c r="AJ14" s="63">
        <v>270</v>
      </c>
      <c r="AK14" s="63">
        <v>744</v>
      </c>
      <c r="AL14" s="63">
        <v>328</v>
      </c>
      <c r="AM14" s="63">
        <v>240</v>
      </c>
      <c r="AN14" s="63">
        <v>380</v>
      </c>
      <c r="AO14" s="63">
        <v>176</v>
      </c>
      <c r="AP14" s="63">
        <v>43</v>
      </c>
      <c r="AQ14" s="63">
        <v>278</v>
      </c>
      <c r="AR14" s="63">
        <v>27</v>
      </c>
      <c r="AS14" s="63">
        <v>8</v>
      </c>
      <c r="AT14" s="63">
        <v>58</v>
      </c>
      <c r="AU14" s="63">
        <v>78</v>
      </c>
      <c r="AV14" s="63">
        <v>93</v>
      </c>
      <c r="AW14" s="50">
        <v>16</v>
      </c>
      <c r="AX14" s="69">
        <v>3630</v>
      </c>
      <c r="AY14" s="69">
        <v>21831</v>
      </c>
      <c r="AZ14" s="54">
        <v>724</v>
      </c>
      <c r="BA14" s="54">
        <v>1061</v>
      </c>
      <c r="BB14" s="54">
        <v>652</v>
      </c>
      <c r="BC14" s="54">
        <v>721</v>
      </c>
      <c r="BD14" s="54">
        <v>1610</v>
      </c>
      <c r="BE14" s="70">
        <v>1404</v>
      </c>
      <c r="BF14" s="63">
        <v>1116</v>
      </c>
      <c r="BG14" s="71">
        <v>4130</v>
      </c>
      <c r="BH14" s="67"/>
      <c r="BI14" s="68"/>
      <c r="BJ14" s="72">
        <v>1162</v>
      </c>
      <c r="BK14" s="62"/>
      <c r="BL14" s="70">
        <v>2607</v>
      </c>
      <c r="BM14" s="70">
        <v>92</v>
      </c>
      <c r="BN14" s="70">
        <v>97</v>
      </c>
      <c r="BO14" s="70">
        <v>956</v>
      </c>
      <c r="BP14" s="73">
        <v>17</v>
      </c>
      <c r="BQ14" s="74">
        <v>3082</v>
      </c>
      <c r="BR14" s="54">
        <v>340</v>
      </c>
      <c r="BS14" s="75">
        <v>42</v>
      </c>
      <c r="BT14" s="76">
        <v>81.25</v>
      </c>
      <c r="BU14" s="77">
        <v>18.75</v>
      </c>
      <c r="BV14" s="78">
        <v>3341</v>
      </c>
      <c r="BW14" s="79">
        <v>771</v>
      </c>
      <c r="BX14" s="69">
        <v>2167</v>
      </c>
      <c r="BY14" s="70">
        <v>243</v>
      </c>
      <c r="BZ14" s="70">
        <v>135</v>
      </c>
      <c r="CA14" s="70">
        <v>931</v>
      </c>
      <c r="CB14" s="70">
        <v>5</v>
      </c>
      <c r="CC14" s="70">
        <v>344</v>
      </c>
      <c r="CD14" s="70">
        <v>17</v>
      </c>
      <c r="CE14" s="73">
        <v>270</v>
      </c>
    </row>
    <row r="15" spans="1:83" x14ac:dyDescent="0.3">
      <c r="B15" s="46">
        <v>1</v>
      </c>
      <c r="C15" s="47">
        <v>43468</v>
      </c>
      <c r="D15" s="48">
        <v>49</v>
      </c>
      <c r="E15" s="49">
        <v>1970</v>
      </c>
      <c r="F15" s="50">
        <v>196</v>
      </c>
      <c r="G15" s="51">
        <v>4.7212449255751014</v>
      </c>
      <c r="H15" s="52">
        <v>6.4611111111111112</v>
      </c>
      <c r="I15" s="53">
        <v>1620</v>
      </c>
      <c r="J15" s="54">
        <v>2217</v>
      </c>
      <c r="K15" s="54">
        <v>10467</v>
      </c>
      <c r="L15" s="55">
        <v>5645.7</v>
      </c>
      <c r="M15" s="56">
        <v>452.44</v>
      </c>
      <c r="N15" s="57">
        <v>1570.0500000000002</v>
      </c>
      <c r="O15" s="58">
        <v>554.34</v>
      </c>
      <c r="P15" s="59">
        <v>18.881913627015908</v>
      </c>
      <c r="Q15" s="60">
        <v>696.89</v>
      </c>
      <c r="R15" s="61">
        <v>15.019587022342121</v>
      </c>
      <c r="S15" s="48"/>
      <c r="T15" s="50"/>
      <c r="U15" s="62">
        <v>0</v>
      </c>
      <c r="V15" s="63">
        <v>43</v>
      </c>
      <c r="W15" s="50">
        <v>64</v>
      </c>
      <c r="X15" s="48">
        <v>47</v>
      </c>
      <c r="Y15" s="63">
        <v>135</v>
      </c>
      <c r="Z15" s="63">
        <v>746</v>
      </c>
      <c r="AA15" s="64">
        <v>883.4</v>
      </c>
      <c r="AB15" s="65">
        <v>100.741</v>
      </c>
      <c r="AC15" s="66"/>
      <c r="AD15" s="67"/>
      <c r="AE15" s="68"/>
      <c r="AF15" s="48">
        <v>147</v>
      </c>
      <c r="AG15" s="63">
        <v>278</v>
      </c>
      <c r="AH15" s="63">
        <v>27</v>
      </c>
      <c r="AI15" s="63">
        <v>100</v>
      </c>
      <c r="AJ15" s="63">
        <v>90</v>
      </c>
      <c r="AK15" s="63">
        <v>265</v>
      </c>
      <c r="AL15" s="63">
        <v>173</v>
      </c>
      <c r="AM15" s="63">
        <v>139</v>
      </c>
      <c r="AN15" s="63">
        <v>374</v>
      </c>
      <c r="AO15" s="63">
        <v>99</v>
      </c>
      <c r="AP15" s="63">
        <v>115</v>
      </c>
      <c r="AQ15" s="63">
        <v>129</v>
      </c>
      <c r="AR15" s="63">
        <v>17</v>
      </c>
      <c r="AS15" s="63">
        <v>2</v>
      </c>
      <c r="AT15" s="63">
        <v>14</v>
      </c>
      <c r="AU15" s="63">
        <v>42</v>
      </c>
      <c r="AV15" s="63">
        <v>107</v>
      </c>
      <c r="AW15" s="50">
        <v>47</v>
      </c>
      <c r="AX15" s="69">
        <v>5042</v>
      </c>
      <c r="AY15" s="69">
        <v>24731</v>
      </c>
      <c r="AZ15" s="54">
        <v>2644</v>
      </c>
      <c r="BA15" s="54">
        <v>11498</v>
      </c>
      <c r="BB15" s="54">
        <v>247</v>
      </c>
      <c r="BC15" s="54">
        <v>280</v>
      </c>
      <c r="BD15" s="54">
        <v>1129</v>
      </c>
      <c r="BE15" s="70">
        <v>2595</v>
      </c>
      <c r="BF15" s="63">
        <v>665</v>
      </c>
      <c r="BG15" s="71">
        <v>4389</v>
      </c>
      <c r="BH15" s="67"/>
      <c r="BI15" s="68"/>
      <c r="BJ15" s="72">
        <v>1451</v>
      </c>
      <c r="BK15" s="62"/>
      <c r="BL15" s="70">
        <v>2903</v>
      </c>
      <c r="BM15" s="70">
        <v>217</v>
      </c>
      <c r="BN15" s="70">
        <v>69</v>
      </c>
      <c r="BO15" s="70">
        <v>1148</v>
      </c>
      <c r="BP15" s="73">
        <v>17</v>
      </c>
      <c r="BQ15" s="74">
        <v>1083</v>
      </c>
      <c r="BR15" s="54">
        <v>267</v>
      </c>
      <c r="BS15" s="75">
        <v>81</v>
      </c>
      <c r="BT15" s="76">
        <v>83.364254792826216</v>
      </c>
      <c r="BU15" s="77">
        <v>16.63574520717378</v>
      </c>
      <c r="BV15" s="78">
        <v>1348</v>
      </c>
      <c r="BW15" s="79">
        <v>269</v>
      </c>
      <c r="BX15" s="69">
        <v>699</v>
      </c>
      <c r="BY15" s="70">
        <v>179</v>
      </c>
      <c r="BZ15" s="70">
        <v>98</v>
      </c>
      <c r="CA15" s="70">
        <v>470</v>
      </c>
      <c r="CB15" s="70">
        <v>16</v>
      </c>
      <c r="CC15" s="70">
        <v>145</v>
      </c>
      <c r="CD15" s="70">
        <v>10</v>
      </c>
      <c r="CE15" s="73">
        <v>0</v>
      </c>
    </row>
    <row r="16" spans="1:83" x14ac:dyDescent="0.3">
      <c r="B16" s="46">
        <v>1</v>
      </c>
      <c r="C16" s="47">
        <v>43469</v>
      </c>
      <c r="D16" s="48">
        <v>32</v>
      </c>
      <c r="E16" s="49">
        <v>1913</v>
      </c>
      <c r="F16" s="50">
        <v>193</v>
      </c>
      <c r="G16" s="51">
        <v>5.4557136301055529</v>
      </c>
      <c r="H16" s="52">
        <v>8.6207396664249458</v>
      </c>
      <c r="I16" s="53">
        <v>1379</v>
      </c>
      <c r="J16" s="54">
        <v>2179</v>
      </c>
      <c r="K16" s="54">
        <v>11888</v>
      </c>
      <c r="L16" s="55">
        <v>5319.6</v>
      </c>
      <c r="M16" s="56">
        <v>439.69099999999997</v>
      </c>
      <c r="N16" s="57">
        <v>1783.2</v>
      </c>
      <c r="O16" s="58">
        <v>540.93000000000006</v>
      </c>
      <c r="P16" s="59">
        <v>21.976965596287872</v>
      </c>
      <c r="Q16" s="60">
        <v>679.82999999999993</v>
      </c>
      <c r="R16" s="61">
        <v>17.486724622332055</v>
      </c>
      <c r="S16" s="48"/>
      <c r="T16" s="50"/>
      <c r="U16" s="62">
        <v>0</v>
      </c>
      <c r="V16" s="63">
        <v>54</v>
      </c>
      <c r="W16" s="50">
        <v>19</v>
      </c>
      <c r="X16" s="48">
        <v>31</v>
      </c>
      <c r="Y16" s="63">
        <v>79</v>
      </c>
      <c r="Z16" s="63">
        <v>212</v>
      </c>
      <c r="AA16" s="64">
        <v>692.8</v>
      </c>
      <c r="AB16" s="65">
        <v>33.777999999999999</v>
      </c>
      <c r="AC16" s="66"/>
      <c r="AD16" s="67"/>
      <c r="AE16" s="68"/>
      <c r="AF16" s="48">
        <v>89</v>
      </c>
      <c r="AG16" s="63">
        <v>224</v>
      </c>
      <c r="AH16" s="63">
        <v>37</v>
      </c>
      <c r="AI16" s="63">
        <v>86</v>
      </c>
      <c r="AJ16" s="63">
        <v>95</v>
      </c>
      <c r="AK16" s="63">
        <v>199</v>
      </c>
      <c r="AL16" s="63">
        <v>121</v>
      </c>
      <c r="AM16" s="63">
        <v>117</v>
      </c>
      <c r="AN16" s="63">
        <v>415</v>
      </c>
      <c r="AO16" s="63">
        <v>151</v>
      </c>
      <c r="AP16" s="63">
        <v>147</v>
      </c>
      <c r="AQ16" s="63">
        <v>186</v>
      </c>
      <c r="AR16" s="63">
        <v>18</v>
      </c>
      <c r="AS16" s="63">
        <v>4</v>
      </c>
      <c r="AT16" s="63">
        <v>20</v>
      </c>
      <c r="AU16" s="63">
        <v>58</v>
      </c>
      <c r="AV16" s="63">
        <v>83</v>
      </c>
      <c r="AW16" s="50">
        <v>51</v>
      </c>
      <c r="AX16" s="69">
        <v>5963</v>
      </c>
      <c r="AY16" s="69">
        <v>30084</v>
      </c>
      <c r="AZ16" s="54">
        <v>2401</v>
      </c>
      <c r="BA16" s="54">
        <v>5352</v>
      </c>
      <c r="BB16" s="54">
        <v>662</v>
      </c>
      <c r="BC16" s="54">
        <v>1325</v>
      </c>
      <c r="BD16" s="54">
        <v>1073</v>
      </c>
      <c r="BE16" s="70">
        <v>3162</v>
      </c>
      <c r="BF16" s="63">
        <v>480</v>
      </c>
      <c r="BG16" s="71">
        <v>4715</v>
      </c>
      <c r="BH16" s="67"/>
      <c r="BI16" s="68"/>
      <c r="BJ16" s="72">
        <v>1163</v>
      </c>
      <c r="BK16" s="62"/>
      <c r="BL16" s="70">
        <v>2868</v>
      </c>
      <c r="BM16" s="70">
        <v>72</v>
      </c>
      <c r="BN16" s="70">
        <v>79</v>
      </c>
      <c r="BO16" s="70">
        <v>977</v>
      </c>
      <c r="BP16" s="73">
        <v>35</v>
      </c>
      <c r="BQ16" s="74">
        <v>854</v>
      </c>
      <c r="BR16" s="54">
        <v>297</v>
      </c>
      <c r="BS16" s="75">
        <v>61</v>
      </c>
      <c r="BT16" s="76">
        <v>71.179039301310041</v>
      </c>
      <c r="BU16" s="77">
        <v>28.820960698689955</v>
      </c>
      <c r="BV16" s="78">
        <v>978</v>
      </c>
      <c r="BW16" s="79">
        <v>396</v>
      </c>
      <c r="BX16" s="69">
        <v>527</v>
      </c>
      <c r="BY16" s="70">
        <v>90</v>
      </c>
      <c r="BZ16" s="70">
        <v>216</v>
      </c>
      <c r="CA16" s="70">
        <v>361</v>
      </c>
      <c r="CB16" s="70">
        <v>13</v>
      </c>
      <c r="CC16" s="70">
        <v>127</v>
      </c>
      <c r="CD16" s="70">
        <v>12</v>
      </c>
      <c r="CE16" s="73">
        <v>28</v>
      </c>
    </row>
    <row r="17" spans="2:83" x14ac:dyDescent="0.3">
      <c r="B17" s="46">
        <v>2</v>
      </c>
      <c r="C17" s="47">
        <v>43472</v>
      </c>
      <c r="D17" s="48">
        <v>22</v>
      </c>
      <c r="E17" s="49">
        <v>2446</v>
      </c>
      <c r="F17" s="50">
        <v>331</v>
      </c>
      <c r="G17" s="51">
        <v>3.0253662022150767</v>
      </c>
      <c r="H17" s="52">
        <v>3.6437177280550777</v>
      </c>
      <c r="I17" s="53">
        <v>2324</v>
      </c>
      <c r="J17" s="54">
        <v>2799</v>
      </c>
      <c r="K17" s="54">
        <v>8468</v>
      </c>
      <c r="L17" s="55">
        <v>7292.9</v>
      </c>
      <c r="M17" s="56">
        <v>504.54399999999998</v>
      </c>
      <c r="N17" s="57">
        <v>1270.2</v>
      </c>
      <c r="O17" s="58">
        <v>643.1400000000001</v>
      </c>
      <c r="P17" s="59">
        <v>13.166651117952544</v>
      </c>
      <c r="Q17" s="60">
        <v>776.26</v>
      </c>
      <c r="R17" s="61">
        <v>10.908716151804807</v>
      </c>
      <c r="S17" s="48"/>
      <c r="T17" s="50"/>
      <c r="U17" s="62">
        <v>0</v>
      </c>
      <c r="V17" s="63">
        <v>46</v>
      </c>
      <c r="W17" s="50">
        <v>48</v>
      </c>
      <c r="X17" s="48">
        <v>31</v>
      </c>
      <c r="Y17" s="63">
        <v>72</v>
      </c>
      <c r="Z17" s="63">
        <v>209</v>
      </c>
      <c r="AA17" s="64">
        <v>912.2</v>
      </c>
      <c r="AB17" s="65">
        <v>35.335000000000001</v>
      </c>
      <c r="AC17" s="66"/>
      <c r="AD17" s="67"/>
      <c r="AE17" s="68"/>
      <c r="AF17" s="48">
        <v>203</v>
      </c>
      <c r="AG17" s="63">
        <v>414</v>
      </c>
      <c r="AH17" s="63">
        <v>56</v>
      </c>
      <c r="AI17" s="63">
        <v>180</v>
      </c>
      <c r="AJ17" s="63">
        <v>145</v>
      </c>
      <c r="AK17" s="63">
        <v>389</v>
      </c>
      <c r="AL17" s="63">
        <v>165</v>
      </c>
      <c r="AM17" s="63">
        <v>143</v>
      </c>
      <c r="AN17" s="63">
        <v>335</v>
      </c>
      <c r="AO17" s="63">
        <v>99</v>
      </c>
      <c r="AP17" s="63">
        <v>85</v>
      </c>
      <c r="AQ17" s="63">
        <v>140</v>
      </c>
      <c r="AR17" s="63">
        <v>39</v>
      </c>
      <c r="AS17" s="63">
        <v>22</v>
      </c>
      <c r="AT17" s="63">
        <v>23</v>
      </c>
      <c r="AU17" s="63">
        <v>130</v>
      </c>
      <c r="AV17" s="63">
        <v>188</v>
      </c>
      <c r="AW17" s="50">
        <v>12</v>
      </c>
      <c r="AX17" s="69">
        <v>5007</v>
      </c>
      <c r="AY17" s="69">
        <v>51071</v>
      </c>
      <c r="AZ17" s="54">
        <v>2122</v>
      </c>
      <c r="BA17" s="54">
        <v>6119</v>
      </c>
      <c r="BB17" s="54">
        <v>588</v>
      </c>
      <c r="BC17" s="54">
        <v>806</v>
      </c>
      <c r="BD17" s="54">
        <v>1359</v>
      </c>
      <c r="BE17" s="70">
        <v>2345</v>
      </c>
      <c r="BF17" s="63">
        <v>946</v>
      </c>
      <c r="BG17" s="71">
        <v>4650</v>
      </c>
      <c r="BH17" s="67"/>
      <c r="BI17" s="68"/>
      <c r="BJ17" s="72">
        <v>1388</v>
      </c>
      <c r="BK17" s="62"/>
      <c r="BL17" s="70">
        <v>2860</v>
      </c>
      <c r="BM17" s="70">
        <v>190</v>
      </c>
      <c r="BN17" s="70">
        <v>199</v>
      </c>
      <c r="BO17" s="70">
        <v>981</v>
      </c>
      <c r="BP17" s="73">
        <v>18</v>
      </c>
      <c r="BQ17" s="74">
        <v>1667</v>
      </c>
      <c r="BR17" s="54">
        <v>152</v>
      </c>
      <c r="BS17" s="75">
        <v>142</v>
      </c>
      <c r="BT17" s="76">
        <v>81.233362910381544</v>
      </c>
      <c r="BU17" s="77">
        <v>18.766637089618456</v>
      </c>
      <c r="BV17" s="78">
        <v>1831</v>
      </c>
      <c r="BW17" s="79">
        <v>423</v>
      </c>
      <c r="BX17" s="69">
        <v>1165</v>
      </c>
      <c r="BY17" s="70">
        <v>78</v>
      </c>
      <c r="BZ17" s="70">
        <v>119</v>
      </c>
      <c r="CA17" s="70">
        <v>588</v>
      </c>
      <c r="CB17" s="70">
        <v>5</v>
      </c>
      <c r="CC17" s="70">
        <v>210</v>
      </c>
      <c r="CD17" s="70">
        <v>3</v>
      </c>
      <c r="CE17" s="73">
        <v>86</v>
      </c>
    </row>
    <row r="18" spans="2:83" x14ac:dyDescent="0.3">
      <c r="B18" s="46">
        <v>2</v>
      </c>
      <c r="C18" s="47">
        <v>43473</v>
      </c>
      <c r="D18" s="48">
        <v>86</v>
      </c>
      <c r="E18" s="49">
        <v>1829</v>
      </c>
      <c r="F18" s="50">
        <v>326</v>
      </c>
      <c r="G18" s="51">
        <v>4.6840696117804548</v>
      </c>
      <c r="H18" s="52">
        <v>7.8102678571428568</v>
      </c>
      <c r="I18" s="53">
        <v>1344</v>
      </c>
      <c r="J18" s="54">
        <v>2241</v>
      </c>
      <c r="K18" s="54">
        <v>10497</v>
      </c>
      <c r="L18" s="55">
        <v>8384.1</v>
      </c>
      <c r="M18" s="56">
        <v>594.52300000000002</v>
      </c>
      <c r="N18" s="57">
        <v>1574.55</v>
      </c>
      <c r="O18" s="58">
        <v>648.28000000000009</v>
      </c>
      <c r="P18" s="59">
        <v>16.192077497377674</v>
      </c>
      <c r="Q18" s="60">
        <v>786.48000000000013</v>
      </c>
      <c r="R18" s="61">
        <v>13.346811107720473</v>
      </c>
      <c r="S18" s="48"/>
      <c r="T18" s="50"/>
      <c r="U18" s="62">
        <v>0</v>
      </c>
      <c r="V18" s="63">
        <v>69</v>
      </c>
      <c r="W18" s="50">
        <v>28</v>
      </c>
      <c r="X18" s="48">
        <v>23</v>
      </c>
      <c r="Y18" s="63">
        <v>94</v>
      </c>
      <c r="Z18" s="63">
        <v>448</v>
      </c>
      <c r="AA18" s="64">
        <v>761.8</v>
      </c>
      <c r="AB18" s="65">
        <v>33.537999999999997</v>
      </c>
      <c r="AC18" s="66"/>
      <c r="AD18" s="67"/>
      <c r="AE18" s="68"/>
      <c r="AF18" s="48">
        <v>116</v>
      </c>
      <c r="AG18" s="63">
        <v>201</v>
      </c>
      <c r="AH18" s="63">
        <v>40</v>
      </c>
      <c r="AI18" s="63">
        <v>102</v>
      </c>
      <c r="AJ18" s="63">
        <v>100</v>
      </c>
      <c r="AK18" s="63">
        <v>172</v>
      </c>
      <c r="AL18" s="63">
        <v>115</v>
      </c>
      <c r="AM18" s="63">
        <v>125</v>
      </c>
      <c r="AN18" s="63">
        <v>440</v>
      </c>
      <c r="AO18" s="63">
        <v>62</v>
      </c>
      <c r="AP18" s="63">
        <v>157</v>
      </c>
      <c r="AQ18" s="63">
        <v>127</v>
      </c>
      <c r="AR18" s="63">
        <v>39</v>
      </c>
      <c r="AS18" s="63">
        <v>2</v>
      </c>
      <c r="AT18" s="63">
        <v>9</v>
      </c>
      <c r="AU18" s="63">
        <v>163</v>
      </c>
      <c r="AV18" s="63">
        <v>145</v>
      </c>
      <c r="AW18" s="50">
        <v>18</v>
      </c>
      <c r="AX18" s="69">
        <v>5713</v>
      </c>
      <c r="AY18" s="69">
        <v>36222</v>
      </c>
      <c r="AZ18" s="54">
        <v>4088</v>
      </c>
      <c r="BA18" s="54">
        <v>13086</v>
      </c>
      <c r="BB18" s="54">
        <v>548</v>
      </c>
      <c r="BC18" s="54">
        <v>1273</v>
      </c>
      <c r="BD18" s="54">
        <v>1535</v>
      </c>
      <c r="BE18" s="70">
        <v>3480</v>
      </c>
      <c r="BF18" s="63">
        <v>604</v>
      </c>
      <c r="BG18" s="71">
        <v>5619</v>
      </c>
      <c r="BH18" s="67"/>
      <c r="BI18" s="68"/>
      <c r="BJ18" s="72">
        <v>1173</v>
      </c>
      <c r="BK18" s="62"/>
      <c r="BL18" s="70">
        <v>2500</v>
      </c>
      <c r="BM18" s="70">
        <v>148</v>
      </c>
      <c r="BN18" s="70">
        <v>158</v>
      </c>
      <c r="BO18" s="70">
        <v>840</v>
      </c>
      <c r="BP18" s="73">
        <v>27</v>
      </c>
      <c r="BQ18" s="74">
        <v>777</v>
      </c>
      <c r="BR18" s="54">
        <v>233</v>
      </c>
      <c r="BS18" s="75">
        <v>189</v>
      </c>
      <c r="BT18" s="76">
        <v>78.349735049205151</v>
      </c>
      <c r="BU18" s="77">
        <v>21.650264950794853</v>
      </c>
      <c r="BV18" s="78">
        <v>1035</v>
      </c>
      <c r="BW18" s="79">
        <v>286</v>
      </c>
      <c r="BX18" s="69">
        <v>602</v>
      </c>
      <c r="BY18" s="70">
        <v>106</v>
      </c>
      <c r="BZ18" s="70">
        <v>159</v>
      </c>
      <c r="CA18" s="70">
        <v>327</v>
      </c>
      <c r="CB18" s="70">
        <v>10</v>
      </c>
      <c r="CC18" s="70">
        <v>107</v>
      </c>
      <c r="CD18" s="70">
        <v>10</v>
      </c>
      <c r="CE18" s="73">
        <v>0</v>
      </c>
    </row>
    <row r="19" spans="2:83" x14ac:dyDescent="0.3">
      <c r="B19" s="46">
        <v>2</v>
      </c>
      <c r="C19" s="47">
        <v>43474</v>
      </c>
      <c r="D19" s="48">
        <v>30</v>
      </c>
      <c r="E19" s="49">
        <v>1987</v>
      </c>
      <c r="F19" s="50">
        <v>288</v>
      </c>
      <c r="G19" s="51">
        <v>4.2494577006507592</v>
      </c>
      <c r="H19" s="52">
        <v>6.4229508196721312</v>
      </c>
      <c r="I19" s="53">
        <v>1525</v>
      </c>
      <c r="J19" s="54">
        <v>2305</v>
      </c>
      <c r="K19" s="54">
        <v>9795</v>
      </c>
      <c r="L19" s="55">
        <v>10152.4</v>
      </c>
      <c r="M19" s="56">
        <v>513.80799999999999</v>
      </c>
      <c r="N19" s="57">
        <v>1469.25</v>
      </c>
      <c r="O19" s="58">
        <v>635.62</v>
      </c>
      <c r="P19" s="59">
        <v>15.41015071898304</v>
      </c>
      <c r="Q19" s="60">
        <v>789.34</v>
      </c>
      <c r="R19" s="61">
        <v>12.409101274482479</v>
      </c>
      <c r="S19" s="48"/>
      <c r="T19" s="50"/>
      <c r="U19" s="62">
        <v>0</v>
      </c>
      <c r="V19" s="63">
        <v>133</v>
      </c>
      <c r="W19" s="50">
        <v>69</v>
      </c>
      <c r="X19" s="48">
        <v>71</v>
      </c>
      <c r="Y19" s="63">
        <v>227</v>
      </c>
      <c r="Z19" s="63">
        <v>555</v>
      </c>
      <c r="AA19" s="64">
        <v>3738.6</v>
      </c>
      <c r="AB19" s="65">
        <v>110.72</v>
      </c>
      <c r="AC19" s="66"/>
      <c r="AD19" s="67"/>
      <c r="AE19" s="68"/>
      <c r="AF19" s="48">
        <v>177</v>
      </c>
      <c r="AG19" s="63">
        <v>260</v>
      </c>
      <c r="AH19" s="63">
        <v>50</v>
      </c>
      <c r="AI19" s="63">
        <v>137</v>
      </c>
      <c r="AJ19" s="63">
        <v>86</v>
      </c>
      <c r="AK19" s="63">
        <v>146</v>
      </c>
      <c r="AL19" s="63">
        <v>141</v>
      </c>
      <c r="AM19" s="63">
        <v>103</v>
      </c>
      <c r="AN19" s="63">
        <v>418</v>
      </c>
      <c r="AO19" s="63">
        <v>69</v>
      </c>
      <c r="AP19" s="63">
        <v>207</v>
      </c>
      <c r="AQ19" s="63">
        <v>119</v>
      </c>
      <c r="AR19" s="63">
        <v>30</v>
      </c>
      <c r="AS19" s="63">
        <v>11</v>
      </c>
      <c r="AT19" s="63">
        <v>12</v>
      </c>
      <c r="AU19" s="63">
        <v>81</v>
      </c>
      <c r="AV19" s="63">
        <v>169</v>
      </c>
      <c r="AW19" s="50">
        <v>35</v>
      </c>
      <c r="AX19" s="69">
        <v>5605</v>
      </c>
      <c r="AY19" s="69">
        <v>27738</v>
      </c>
      <c r="AZ19" s="54">
        <v>1152</v>
      </c>
      <c r="BA19" s="54">
        <v>3952</v>
      </c>
      <c r="BB19" s="54">
        <v>481</v>
      </c>
      <c r="BC19" s="54">
        <v>1205</v>
      </c>
      <c r="BD19" s="54">
        <v>1334</v>
      </c>
      <c r="BE19" s="70">
        <v>2675</v>
      </c>
      <c r="BF19" s="63">
        <v>327</v>
      </c>
      <c r="BG19" s="71">
        <v>4336</v>
      </c>
      <c r="BH19" s="67"/>
      <c r="BI19" s="68"/>
      <c r="BJ19" s="72">
        <v>1212</v>
      </c>
      <c r="BK19" s="62"/>
      <c r="BL19" s="70">
        <v>3118</v>
      </c>
      <c r="BM19" s="70">
        <v>178</v>
      </c>
      <c r="BN19" s="70">
        <v>120</v>
      </c>
      <c r="BO19" s="70">
        <v>899</v>
      </c>
      <c r="BP19" s="73">
        <v>15</v>
      </c>
      <c r="BQ19" s="74">
        <v>993</v>
      </c>
      <c r="BR19" s="54">
        <v>302</v>
      </c>
      <c r="BS19" s="75">
        <v>69</v>
      </c>
      <c r="BT19" s="76">
        <v>77.865612648221344</v>
      </c>
      <c r="BU19" s="77">
        <v>22.134387351778656</v>
      </c>
      <c r="BV19" s="78">
        <v>1182</v>
      </c>
      <c r="BW19" s="79">
        <v>336</v>
      </c>
      <c r="BX19" s="69">
        <v>733</v>
      </c>
      <c r="BY19" s="70">
        <v>127</v>
      </c>
      <c r="BZ19" s="70">
        <v>214</v>
      </c>
      <c r="CA19" s="70">
        <v>322</v>
      </c>
      <c r="CB19" s="70">
        <v>10</v>
      </c>
      <c r="CC19" s="70">
        <v>106</v>
      </c>
      <c r="CD19" s="70">
        <v>6</v>
      </c>
      <c r="CE19" s="73">
        <v>0</v>
      </c>
    </row>
    <row r="20" spans="2:83" x14ac:dyDescent="0.3">
      <c r="B20" s="46">
        <v>2</v>
      </c>
      <c r="C20" s="47">
        <v>43475</v>
      </c>
      <c r="D20" s="48">
        <v>24</v>
      </c>
      <c r="E20" s="49">
        <v>1689</v>
      </c>
      <c r="F20" s="50">
        <v>420</v>
      </c>
      <c r="G20" s="51">
        <v>4.5733708391936236</v>
      </c>
      <c r="H20" s="52">
        <v>7.8165064102564106</v>
      </c>
      <c r="I20" s="53">
        <v>1248</v>
      </c>
      <c r="J20" s="54">
        <v>2133</v>
      </c>
      <c r="K20" s="54">
        <v>9755</v>
      </c>
      <c r="L20" s="55">
        <v>7794.5</v>
      </c>
      <c r="M20" s="56">
        <v>579.84699999999998</v>
      </c>
      <c r="N20" s="57">
        <v>1463.2500000000002</v>
      </c>
      <c r="O20" s="58">
        <v>651.91999999999996</v>
      </c>
      <c r="P20" s="59">
        <v>14.963492453061725</v>
      </c>
      <c r="Q20" s="60">
        <v>808.91</v>
      </c>
      <c r="R20" s="61">
        <v>12.059438009172839</v>
      </c>
      <c r="S20" s="48"/>
      <c r="T20" s="50"/>
      <c r="U20" s="62">
        <v>0</v>
      </c>
      <c r="V20" s="63">
        <v>74</v>
      </c>
      <c r="W20" s="50">
        <v>90</v>
      </c>
      <c r="X20" s="48">
        <v>61</v>
      </c>
      <c r="Y20" s="63">
        <v>131</v>
      </c>
      <c r="Z20" s="63">
        <v>764</v>
      </c>
      <c r="AA20" s="64">
        <v>873.4</v>
      </c>
      <c r="AB20" s="65">
        <v>83.292000000000002</v>
      </c>
      <c r="AC20" s="66"/>
      <c r="AD20" s="67"/>
      <c r="AE20" s="68"/>
      <c r="AF20" s="48">
        <v>92</v>
      </c>
      <c r="AG20" s="63">
        <v>125</v>
      </c>
      <c r="AH20" s="63">
        <v>34</v>
      </c>
      <c r="AI20" s="63">
        <v>64</v>
      </c>
      <c r="AJ20" s="63">
        <v>78</v>
      </c>
      <c r="AK20" s="63">
        <v>117</v>
      </c>
      <c r="AL20" s="63">
        <v>137</v>
      </c>
      <c r="AM20" s="63">
        <v>110</v>
      </c>
      <c r="AN20" s="63">
        <v>440</v>
      </c>
      <c r="AO20" s="63">
        <v>96</v>
      </c>
      <c r="AP20" s="63">
        <v>177</v>
      </c>
      <c r="AQ20" s="63">
        <v>121</v>
      </c>
      <c r="AR20" s="63">
        <v>13</v>
      </c>
      <c r="AS20" s="63">
        <v>16</v>
      </c>
      <c r="AT20" s="63">
        <v>18</v>
      </c>
      <c r="AU20" s="63">
        <v>104</v>
      </c>
      <c r="AV20" s="63">
        <v>281</v>
      </c>
      <c r="AW20" s="50">
        <v>35</v>
      </c>
      <c r="AX20" s="69">
        <v>5401</v>
      </c>
      <c r="AY20" s="69">
        <v>32626</v>
      </c>
      <c r="AZ20" s="54">
        <v>1075</v>
      </c>
      <c r="BA20" s="54">
        <v>3202</v>
      </c>
      <c r="BB20" s="54">
        <v>326</v>
      </c>
      <c r="BC20" s="54">
        <v>699</v>
      </c>
      <c r="BD20" s="54">
        <v>1195</v>
      </c>
      <c r="BE20" s="70">
        <v>1630</v>
      </c>
      <c r="BF20" s="63">
        <v>304</v>
      </c>
      <c r="BG20" s="71">
        <v>3129</v>
      </c>
      <c r="BH20" s="67"/>
      <c r="BI20" s="68"/>
      <c r="BJ20" s="72">
        <v>1241</v>
      </c>
      <c r="BK20" s="62"/>
      <c r="BL20" s="70">
        <v>2408</v>
      </c>
      <c r="BM20" s="70">
        <v>258</v>
      </c>
      <c r="BN20" s="70">
        <v>210</v>
      </c>
      <c r="BO20" s="70">
        <v>756</v>
      </c>
      <c r="BP20" s="73">
        <v>17</v>
      </c>
      <c r="BQ20" s="74">
        <v>642</v>
      </c>
      <c r="BR20" s="54">
        <v>326</v>
      </c>
      <c r="BS20" s="75">
        <v>102</v>
      </c>
      <c r="BT20" s="76">
        <v>71.069692058346845</v>
      </c>
      <c r="BU20" s="77">
        <v>28.930307941653162</v>
      </c>
      <c r="BV20" s="78">
        <v>877</v>
      </c>
      <c r="BW20" s="79">
        <v>357</v>
      </c>
      <c r="BX20" s="69">
        <v>370</v>
      </c>
      <c r="BY20" s="70">
        <v>160</v>
      </c>
      <c r="BZ20" s="70">
        <v>184</v>
      </c>
      <c r="CA20" s="70">
        <v>347</v>
      </c>
      <c r="CB20" s="70">
        <v>20</v>
      </c>
      <c r="CC20" s="70">
        <v>128</v>
      </c>
      <c r="CD20" s="70">
        <v>25</v>
      </c>
      <c r="CE20" s="73">
        <v>0</v>
      </c>
    </row>
    <row r="21" spans="2:83" x14ac:dyDescent="0.3">
      <c r="B21" s="46">
        <v>2</v>
      </c>
      <c r="C21" s="47">
        <v>43476</v>
      </c>
      <c r="D21" s="48">
        <v>19</v>
      </c>
      <c r="E21" s="49">
        <v>2252</v>
      </c>
      <c r="F21" s="50">
        <v>276</v>
      </c>
      <c r="G21" s="51">
        <v>3.8755398508048686</v>
      </c>
      <c r="H21" s="52">
        <v>5.6053378762067005</v>
      </c>
      <c r="I21" s="53">
        <v>1761</v>
      </c>
      <c r="J21" s="54">
        <v>2547</v>
      </c>
      <c r="K21" s="54">
        <v>9871</v>
      </c>
      <c r="L21" s="55">
        <v>7555.5</v>
      </c>
      <c r="M21" s="56">
        <v>571.93600000000004</v>
      </c>
      <c r="N21" s="57">
        <v>1480.65</v>
      </c>
      <c r="O21" s="58">
        <v>580.65000000000009</v>
      </c>
      <c r="P21" s="59">
        <v>16.999913889606471</v>
      </c>
      <c r="Q21" s="60">
        <v>724.11999999999989</v>
      </c>
      <c r="R21" s="61">
        <v>13.631718499696184</v>
      </c>
      <c r="S21" s="48"/>
      <c r="T21" s="50"/>
      <c r="U21" s="62">
        <v>0</v>
      </c>
      <c r="V21" s="63">
        <v>62</v>
      </c>
      <c r="W21" s="50">
        <v>71</v>
      </c>
      <c r="X21" s="48">
        <v>50</v>
      </c>
      <c r="Y21" s="63">
        <v>158</v>
      </c>
      <c r="Z21" s="63">
        <v>329</v>
      </c>
      <c r="AA21" s="64">
        <v>1377.5</v>
      </c>
      <c r="AB21" s="65">
        <v>154.21199999999999</v>
      </c>
      <c r="AC21" s="66"/>
      <c r="AD21" s="67"/>
      <c r="AE21" s="68"/>
      <c r="AF21" s="48">
        <v>177</v>
      </c>
      <c r="AG21" s="63">
        <v>236</v>
      </c>
      <c r="AH21" s="63">
        <v>51</v>
      </c>
      <c r="AI21" s="63">
        <v>84</v>
      </c>
      <c r="AJ21" s="63">
        <v>88</v>
      </c>
      <c r="AK21" s="63">
        <v>215</v>
      </c>
      <c r="AL21" s="63">
        <v>195</v>
      </c>
      <c r="AM21" s="63">
        <v>158</v>
      </c>
      <c r="AN21" s="63">
        <v>554</v>
      </c>
      <c r="AO21" s="63">
        <v>123</v>
      </c>
      <c r="AP21" s="63">
        <v>141</v>
      </c>
      <c r="AQ21" s="63">
        <v>139</v>
      </c>
      <c r="AR21" s="63">
        <v>15</v>
      </c>
      <c r="AS21" s="63">
        <v>11</v>
      </c>
      <c r="AT21" s="63">
        <v>19</v>
      </c>
      <c r="AU21" s="63">
        <v>55</v>
      </c>
      <c r="AV21" s="63">
        <v>201</v>
      </c>
      <c r="AW21" s="50">
        <v>20</v>
      </c>
      <c r="AX21" s="69">
        <v>5118</v>
      </c>
      <c r="AY21" s="69">
        <v>30296</v>
      </c>
      <c r="AZ21" s="54">
        <v>1945</v>
      </c>
      <c r="BA21" s="54">
        <v>5516</v>
      </c>
      <c r="BB21" s="54">
        <v>461</v>
      </c>
      <c r="BC21" s="54">
        <v>817</v>
      </c>
      <c r="BD21" s="54">
        <v>1255</v>
      </c>
      <c r="BE21" s="70">
        <v>1968</v>
      </c>
      <c r="BF21" s="63">
        <v>482</v>
      </c>
      <c r="BG21" s="71">
        <v>3705</v>
      </c>
      <c r="BH21" s="67"/>
      <c r="BI21" s="68"/>
      <c r="BJ21" s="72">
        <v>1184</v>
      </c>
      <c r="BK21" s="62"/>
      <c r="BL21" s="70">
        <v>2526</v>
      </c>
      <c r="BM21" s="70">
        <v>213</v>
      </c>
      <c r="BN21" s="70">
        <v>119</v>
      </c>
      <c r="BO21" s="70">
        <v>832</v>
      </c>
      <c r="BP21" s="73">
        <v>20</v>
      </c>
      <c r="BQ21" s="74">
        <v>1012</v>
      </c>
      <c r="BR21" s="54">
        <v>401</v>
      </c>
      <c r="BS21" s="75">
        <v>145</v>
      </c>
      <c r="BT21" s="76">
        <v>78.082191780821915</v>
      </c>
      <c r="BU21" s="77">
        <v>21.917808219178081</v>
      </c>
      <c r="BV21" s="78">
        <v>1368</v>
      </c>
      <c r="BW21" s="79">
        <v>384</v>
      </c>
      <c r="BX21" s="69">
        <v>730</v>
      </c>
      <c r="BY21" s="70">
        <v>189</v>
      </c>
      <c r="BZ21" s="70">
        <v>201</v>
      </c>
      <c r="CA21" s="70">
        <v>449</v>
      </c>
      <c r="CB21" s="70">
        <v>31</v>
      </c>
      <c r="CC21" s="70">
        <v>137</v>
      </c>
      <c r="CD21" s="70">
        <v>15</v>
      </c>
      <c r="CE21" s="73">
        <v>0</v>
      </c>
    </row>
    <row r="22" spans="2:83" x14ac:dyDescent="0.3">
      <c r="B22" s="46">
        <v>2</v>
      </c>
      <c r="C22" s="47">
        <v>43477</v>
      </c>
      <c r="D22" s="48">
        <v>0</v>
      </c>
      <c r="E22" s="49">
        <v>1621</v>
      </c>
      <c r="F22" s="50">
        <v>184</v>
      </c>
      <c r="G22" s="51">
        <v>3.8177285318559555</v>
      </c>
      <c r="H22" s="52">
        <v>5.4647105471847741</v>
      </c>
      <c r="I22" s="53">
        <v>1261</v>
      </c>
      <c r="J22" s="54">
        <v>1805</v>
      </c>
      <c r="K22" s="54">
        <v>6891</v>
      </c>
      <c r="L22" s="55">
        <v>4376.7</v>
      </c>
      <c r="M22" s="56">
        <v>421.02300000000002</v>
      </c>
      <c r="N22" s="57">
        <v>1033.6500000000001</v>
      </c>
      <c r="O22" s="58">
        <v>492.77000000000004</v>
      </c>
      <c r="P22" s="59">
        <v>13.984211701199341</v>
      </c>
      <c r="Q22" s="60">
        <v>555.94999999999993</v>
      </c>
      <c r="R22" s="61">
        <v>12.394999550319275</v>
      </c>
      <c r="S22" s="48"/>
      <c r="T22" s="50"/>
      <c r="U22" s="62">
        <v>0</v>
      </c>
      <c r="V22" s="63">
        <v>25</v>
      </c>
      <c r="W22" s="50">
        <v>13</v>
      </c>
      <c r="X22" s="48">
        <v>21</v>
      </c>
      <c r="Y22" s="63">
        <v>43</v>
      </c>
      <c r="Z22" s="63">
        <v>74</v>
      </c>
      <c r="AA22" s="64">
        <v>393.4</v>
      </c>
      <c r="AB22" s="65">
        <v>31</v>
      </c>
      <c r="AC22" s="66"/>
      <c r="AD22" s="67"/>
      <c r="AE22" s="68"/>
      <c r="AF22" s="48">
        <v>108</v>
      </c>
      <c r="AG22" s="63">
        <v>167</v>
      </c>
      <c r="AH22" s="63">
        <v>45</v>
      </c>
      <c r="AI22" s="63">
        <v>65</v>
      </c>
      <c r="AJ22" s="63">
        <v>64</v>
      </c>
      <c r="AK22" s="63">
        <v>162</v>
      </c>
      <c r="AL22" s="63">
        <v>114</v>
      </c>
      <c r="AM22" s="63">
        <v>97</v>
      </c>
      <c r="AN22" s="63">
        <v>382</v>
      </c>
      <c r="AO22" s="63">
        <v>113</v>
      </c>
      <c r="AP22" s="63">
        <v>120</v>
      </c>
      <c r="AQ22" s="63">
        <v>140</v>
      </c>
      <c r="AR22" s="63">
        <v>14</v>
      </c>
      <c r="AS22" s="63">
        <v>0</v>
      </c>
      <c r="AT22" s="63">
        <v>16</v>
      </c>
      <c r="AU22" s="63">
        <v>94</v>
      </c>
      <c r="AV22" s="63">
        <v>84</v>
      </c>
      <c r="AW22" s="50">
        <v>6</v>
      </c>
      <c r="AX22" s="69">
        <v>2069</v>
      </c>
      <c r="AY22" s="69">
        <v>12197</v>
      </c>
      <c r="AZ22" s="54">
        <v>1536</v>
      </c>
      <c r="BA22" s="54">
        <v>6442</v>
      </c>
      <c r="BB22" s="54">
        <v>284</v>
      </c>
      <c r="BC22" s="54">
        <v>484</v>
      </c>
      <c r="BD22" s="54">
        <v>642</v>
      </c>
      <c r="BE22" s="70">
        <v>2157</v>
      </c>
      <c r="BF22" s="63">
        <v>419</v>
      </c>
      <c r="BG22" s="71">
        <v>3218</v>
      </c>
      <c r="BH22" s="67"/>
      <c r="BI22" s="68"/>
      <c r="BJ22" s="72">
        <v>651</v>
      </c>
      <c r="BK22" s="62"/>
      <c r="BL22" s="70">
        <v>1733</v>
      </c>
      <c r="BM22" s="70">
        <v>0</v>
      </c>
      <c r="BN22" s="70">
        <v>30</v>
      </c>
      <c r="BO22" s="70">
        <v>610</v>
      </c>
      <c r="BP22" s="73">
        <v>11</v>
      </c>
      <c r="BQ22" s="74">
        <v>682</v>
      </c>
      <c r="BR22" s="54">
        <v>309</v>
      </c>
      <c r="BS22" s="75">
        <v>110</v>
      </c>
      <c r="BT22" s="76">
        <v>73.771790808240894</v>
      </c>
      <c r="BU22" s="77">
        <v>26.228209191759113</v>
      </c>
      <c r="BV22" s="78">
        <v>931</v>
      </c>
      <c r="BW22" s="79">
        <v>331</v>
      </c>
      <c r="BX22" s="69">
        <v>496</v>
      </c>
      <c r="BY22" s="70">
        <v>151</v>
      </c>
      <c r="BZ22" s="70">
        <v>181</v>
      </c>
      <c r="CA22" s="70">
        <v>284</v>
      </c>
      <c r="CB22" s="70">
        <v>27</v>
      </c>
      <c r="CC22" s="70">
        <v>121</v>
      </c>
      <c r="CD22" s="70">
        <v>2</v>
      </c>
      <c r="CE22" s="73">
        <v>0</v>
      </c>
    </row>
    <row r="23" spans="2:83" x14ac:dyDescent="0.3">
      <c r="B23" s="46">
        <v>3</v>
      </c>
      <c r="C23" s="47">
        <v>43479</v>
      </c>
      <c r="D23" s="48">
        <v>15</v>
      </c>
      <c r="E23" s="49">
        <v>2993</v>
      </c>
      <c r="F23" s="50">
        <v>303</v>
      </c>
      <c r="G23" s="51">
        <v>2.7374576792859342</v>
      </c>
      <c r="H23" s="52">
        <v>3.5633012820512819</v>
      </c>
      <c r="I23" s="53">
        <v>2496</v>
      </c>
      <c r="J23" s="54">
        <v>3249</v>
      </c>
      <c r="K23" s="54">
        <v>8894</v>
      </c>
      <c r="L23" s="55">
        <v>9336.2000000000007</v>
      </c>
      <c r="M23" s="56">
        <v>518.17200000000003</v>
      </c>
      <c r="N23" s="57">
        <v>1334.1</v>
      </c>
      <c r="O23" s="58">
        <v>647.16999999999996</v>
      </c>
      <c r="P23" s="59">
        <v>13.742911445215324</v>
      </c>
      <c r="Q23" s="60">
        <v>812.81</v>
      </c>
      <c r="R23" s="61">
        <v>10.942286635253012</v>
      </c>
      <c r="S23" s="48"/>
      <c r="T23" s="50"/>
      <c r="U23" s="62">
        <v>0</v>
      </c>
      <c r="V23" s="63">
        <v>57</v>
      </c>
      <c r="W23" s="50">
        <v>59</v>
      </c>
      <c r="X23" s="48">
        <v>34</v>
      </c>
      <c r="Y23" s="63">
        <v>71</v>
      </c>
      <c r="Z23" s="63">
        <v>209</v>
      </c>
      <c r="AA23" s="64">
        <v>578.5</v>
      </c>
      <c r="AB23" s="65">
        <v>35.174999999999997</v>
      </c>
      <c r="AC23" s="66"/>
      <c r="AD23" s="67"/>
      <c r="AE23" s="68"/>
      <c r="AF23" s="48">
        <v>225</v>
      </c>
      <c r="AG23" s="63">
        <v>390</v>
      </c>
      <c r="AH23" s="63">
        <v>65</v>
      </c>
      <c r="AI23" s="63">
        <v>170</v>
      </c>
      <c r="AJ23" s="63">
        <v>183</v>
      </c>
      <c r="AK23" s="63">
        <v>457</v>
      </c>
      <c r="AL23" s="63">
        <v>258</v>
      </c>
      <c r="AM23" s="63">
        <v>164</v>
      </c>
      <c r="AN23" s="63">
        <v>532</v>
      </c>
      <c r="AO23" s="63">
        <v>121</v>
      </c>
      <c r="AP23" s="63">
        <v>203</v>
      </c>
      <c r="AQ23" s="63">
        <v>170</v>
      </c>
      <c r="AR23" s="63">
        <v>5</v>
      </c>
      <c r="AS23" s="63">
        <v>0</v>
      </c>
      <c r="AT23" s="63">
        <v>26</v>
      </c>
      <c r="AU23" s="63">
        <v>73</v>
      </c>
      <c r="AV23" s="63">
        <v>213</v>
      </c>
      <c r="AW23" s="50">
        <v>16</v>
      </c>
      <c r="AX23" s="69">
        <v>3656</v>
      </c>
      <c r="AY23" s="69">
        <v>27427</v>
      </c>
      <c r="AZ23" s="54">
        <v>1489</v>
      </c>
      <c r="BA23" s="54">
        <v>3527</v>
      </c>
      <c r="BB23" s="54">
        <v>414</v>
      </c>
      <c r="BC23" s="54">
        <v>711</v>
      </c>
      <c r="BD23" s="54">
        <v>1385</v>
      </c>
      <c r="BE23" s="70">
        <v>2215</v>
      </c>
      <c r="BF23" s="63">
        <v>672</v>
      </c>
      <c r="BG23" s="71">
        <v>4272</v>
      </c>
      <c r="BH23" s="67"/>
      <c r="BI23" s="68"/>
      <c r="BJ23" s="72">
        <v>956</v>
      </c>
      <c r="BK23" s="62"/>
      <c r="BL23" s="70">
        <v>2536</v>
      </c>
      <c r="BM23" s="70">
        <v>128</v>
      </c>
      <c r="BN23" s="70">
        <v>135</v>
      </c>
      <c r="BO23" s="70">
        <v>677</v>
      </c>
      <c r="BP23" s="73">
        <v>16</v>
      </c>
      <c r="BQ23" s="74">
        <v>1732</v>
      </c>
      <c r="BR23" s="54">
        <v>331</v>
      </c>
      <c r="BS23" s="75">
        <v>119</v>
      </c>
      <c r="BT23" s="76">
        <v>81.626016260162601</v>
      </c>
      <c r="BU23" s="77">
        <v>18.373983739837399</v>
      </c>
      <c r="BV23" s="78">
        <v>2008</v>
      </c>
      <c r="BW23" s="79">
        <v>452</v>
      </c>
      <c r="BX23" s="69">
        <v>1128</v>
      </c>
      <c r="BY23" s="70">
        <v>169</v>
      </c>
      <c r="BZ23" s="70">
        <v>187</v>
      </c>
      <c r="CA23" s="70">
        <v>711</v>
      </c>
      <c r="CB23" s="70">
        <v>26</v>
      </c>
      <c r="CC23" s="70">
        <v>227</v>
      </c>
      <c r="CD23" s="70">
        <v>12</v>
      </c>
      <c r="CE23" s="73">
        <v>0</v>
      </c>
    </row>
    <row r="24" spans="2:83" x14ac:dyDescent="0.3">
      <c r="B24" s="46">
        <v>3</v>
      </c>
      <c r="C24" s="47">
        <v>43480</v>
      </c>
      <c r="D24" s="48">
        <v>3</v>
      </c>
      <c r="E24" s="49">
        <v>1835</v>
      </c>
      <c r="F24" s="50">
        <v>230</v>
      </c>
      <c r="G24" s="51">
        <v>3.3263855992420654</v>
      </c>
      <c r="H24" s="52">
        <v>5.1594415870683319</v>
      </c>
      <c r="I24" s="53">
        <v>1361</v>
      </c>
      <c r="J24" s="54">
        <v>2111</v>
      </c>
      <c r="K24" s="54">
        <v>7022</v>
      </c>
      <c r="L24" s="55">
        <v>6526</v>
      </c>
      <c r="M24" s="56">
        <v>505.38499999999999</v>
      </c>
      <c r="N24" s="57">
        <v>1053.3</v>
      </c>
      <c r="O24" s="58">
        <v>565.62</v>
      </c>
      <c r="P24" s="59">
        <v>12.414695378522683</v>
      </c>
      <c r="Q24" s="60">
        <v>720.43999999999994</v>
      </c>
      <c r="R24" s="61">
        <v>9.7468213869302094</v>
      </c>
      <c r="S24" s="48"/>
      <c r="T24" s="50"/>
      <c r="U24" s="62">
        <v>0</v>
      </c>
      <c r="V24" s="63">
        <v>45</v>
      </c>
      <c r="W24" s="50">
        <v>41</v>
      </c>
      <c r="X24" s="48">
        <v>29</v>
      </c>
      <c r="Y24" s="63">
        <v>110</v>
      </c>
      <c r="Z24" s="63">
        <v>555</v>
      </c>
      <c r="AA24" s="64">
        <v>1078</v>
      </c>
      <c r="AB24" s="65">
        <v>76.436000000000007</v>
      </c>
      <c r="AC24" s="66"/>
      <c r="AD24" s="67"/>
      <c r="AE24" s="68"/>
      <c r="AF24" s="48">
        <v>99</v>
      </c>
      <c r="AG24" s="63">
        <v>151</v>
      </c>
      <c r="AH24" s="63">
        <v>34</v>
      </c>
      <c r="AI24" s="63">
        <v>78</v>
      </c>
      <c r="AJ24" s="63">
        <v>103</v>
      </c>
      <c r="AK24" s="63">
        <v>187</v>
      </c>
      <c r="AL24" s="63">
        <v>133</v>
      </c>
      <c r="AM24" s="63">
        <v>109</v>
      </c>
      <c r="AN24" s="63">
        <v>447</v>
      </c>
      <c r="AO24" s="63">
        <v>120</v>
      </c>
      <c r="AP24" s="63">
        <v>177</v>
      </c>
      <c r="AQ24" s="63">
        <v>159</v>
      </c>
      <c r="AR24" s="63">
        <v>6</v>
      </c>
      <c r="AS24" s="63">
        <v>5</v>
      </c>
      <c r="AT24" s="63">
        <v>15</v>
      </c>
      <c r="AU24" s="63">
        <v>64</v>
      </c>
      <c r="AV24" s="63">
        <v>157</v>
      </c>
      <c r="AW24" s="50">
        <v>9</v>
      </c>
      <c r="AX24" s="69">
        <v>2826</v>
      </c>
      <c r="AY24" s="69">
        <v>21721</v>
      </c>
      <c r="AZ24" s="54">
        <v>1339</v>
      </c>
      <c r="BA24" s="54">
        <v>5598</v>
      </c>
      <c r="BB24" s="54">
        <v>205</v>
      </c>
      <c r="BC24" s="54">
        <v>540</v>
      </c>
      <c r="BD24" s="54">
        <v>933</v>
      </c>
      <c r="BE24" s="70">
        <v>1686</v>
      </c>
      <c r="BF24" s="63">
        <v>281</v>
      </c>
      <c r="BG24" s="71">
        <v>2900</v>
      </c>
      <c r="BH24" s="67"/>
      <c r="BI24" s="68"/>
      <c r="BJ24" s="72">
        <v>1010</v>
      </c>
      <c r="BK24" s="62"/>
      <c r="BL24" s="70">
        <v>2030</v>
      </c>
      <c r="BM24" s="70">
        <v>242</v>
      </c>
      <c r="BN24" s="70">
        <v>134</v>
      </c>
      <c r="BO24" s="70">
        <v>628</v>
      </c>
      <c r="BP24" s="73">
        <v>6</v>
      </c>
      <c r="BQ24" s="74">
        <v>779</v>
      </c>
      <c r="BR24" s="54">
        <v>277</v>
      </c>
      <c r="BS24" s="75">
        <v>103</v>
      </c>
      <c r="BT24" s="76">
        <v>72.503725782414307</v>
      </c>
      <c r="BU24" s="77">
        <v>27.496274217585693</v>
      </c>
      <c r="BV24" s="78">
        <v>973</v>
      </c>
      <c r="BW24" s="79">
        <v>369</v>
      </c>
      <c r="BX24" s="69">
        <v>480</v>
      </c>
      <c r="BY24" s="70">
        <v>104</v>
      </c>
      <c r="BZ24" s="70">
        <v>177</v>
      </c>
      <c r="CA24" s="70">
        <v>389</v>
      </c>
      <c r="CB24" s="70">
        <v>16</v>
      </c>
      <c r="CC24" s="70">
        <v>168</v>
      </c>
      <c r="CD24" s="70">
        <v>8</v>
      </c>
      <c r="CE24" s="73">
        <v>0</v>
      </c>
    </row>
    <row r="25" spans="2:83" x14ac:dyDescent="0.3">
      <c r="B25" s="46">
        <v>3</v>
      </c>
      <c r="C25" s="47">
        <v>43481</v>
      </c>
      <c r="D25" s="48">
        <v>9</v>
      </c>
      <c r="E25" s="49">
        <v>1594</v>
      </c>
      <c r="F25" s="50">
        <v>195</v>
      </c>
      <c r="G25" s="51">
        <v>3.6446558477895916</v>
      </c>
      <c r="H25" s="52">
        <v>5.0293436293436296</v>
      </c>
      <c r="I25" s="53">
        <v>1295</v>
      </c>
      <c r="J25" s="54">
        <v>1787</v>
      </c>
      <c r="K25" s="54">
        <v>6513</v>
      </c>
      <c r="L25" s="55">
        <v>5180.6000000000004</v>
      </c>
      <c r="M25" s="56">
        <v>343.72199999999998</v>
      </c>
      <c r="N25" s="57">
        <v>976.94999999999993</v>
      </c>
      <c r="O25" s="58">
        <v>596.62</v>
      </c>
      <c r="P25" s="59">
        <v>10.916496262277496</v>
      </c>
      <c r="Q25" s="60">
        <v>752.07</v>
      </c>
      <c r="R25" s="61">
        <v>8.660098129163508</v>
      </c>
      <c r="S25" s="48"/>
      <c r="T25" s="50"/>
      <c r="U25" s="62">
        <v>0</v>
      </c>
      <c r="V25" s="63">
        <v>117</v>
      </c>
      <c r="W25" s="50">
        <v>49</v>
      </c>
      <c r="X25" s="48">
        <v>34</v>
      </c>
      <c r="Y25" s="63">
        <v>162</v>
      </c>
      <c r="Z25" s="63">
        <v>329</v>
      </c>
      <c r="AA25" s="64">
        <v>846.2</v>
      </c>
      <c r="AB25" s="65">
        <v>68.661000000000001</v>
      </c>
      <c r="AC25" s="66"/>
      <c r="AD25" s="67"/>
      <c r="AE25" s="68"/>
      <c r="AF25" s="48">
        <v>112</v>
      </c>
      <c r="AG25" s="63">
        <v>198</v>
      </c>
      <c r="AH25" s="63">
        <v>40</v>
      </c>
      <c r="AI25" s="63">
        <v>84</v>
      </c>
      <c r="AJ25" s="63">
        <v>94</v>
      </c>
      <c r="AK25" s="63">
        <v>212</v>
      </c>
      <c r="AL25" s="63">
        <v>161</v>
      </c>
      <c r="AM25" s="63">
        <v>102</v>
      </c>
      <c r="AN25" s="63">
        <v>321</v>
      </c>
      <c r="AO25" s="63">
        <v>88</v>
      </c>
      <c r="AP25" s="63">
        <v>111</v>
      </c>
      <c r="AQ25" s="63">
        <v>56</v>
      </c>
      <c r="AR25" s="63">
        <v>0</v>
      </c>
      <c r="AS25" s="63">
        <v>0</v>
      </c>
      <c r="AT25" s="63">
        <v>7</v>
      </c>
      <c r="AU25" s="63">
        <v>47</v>
      </c>
      <c r="AV25" s="63">
        <v>135</v>
      </c>
      <c r="AW25" s="50">
        <v>13</v>
      </c>
      <c r="AX25" s="69">
        <v>4079</v>
      </c>
      <c r="AY25" s="69">
        <v>35784</v>
      </c>
      <c r="AZ25" s="54">
        <v>3243</v>
      </c>
      <c r="BA25" s="54">
        <v>14710</v>
      </c>
      <c r="BB25" s="54">
        <v>510</v>
      </c>
      <c r="BC25" s="54">
        <v>1198</v>
      </c>
      <c r="BD25" s="54">
        <v>1450</v>
      </c>
      <c r="BE25" s="70">
        <v>2902</v>
      </c>
      <c r="BF25" s="63">
        <v>673</v>
      </c>
      <c r="BG25" s="71">
        <v>5025</v>
      </c>
      <c r="BH25" s="67"/>
      <c r="BI25" s="68"/>
      <c r="BJ25" s="72">
        <v>838</v>
      </c>
      <c r="BK25" s="62"/>
      <c r="BL25" s="70">
        <v>1804</v>
      </c>
      <c r="BM25" s="70">
        <v>253</v>
      </c>
      <c r="BN25" s="70">
        <v>101</v>
      </c>
      <c r="BO25" s="70">
        <v>465</v>
      </c>
      <c r="BP25" s="73">
        <v>19</v>
      </c>
      <c r="BQ25" s="74">
        <v>802</v>
      </c>
      <c r="BR25" s="54">
        <v>304</v>
      </c>
      <c r="BS25" s="75">
        <v>108</v>
      </c>
      <c r="BT25" s="76">
        <v>82.766615146831526</v>
      </c>
      <c r="BU25" s="77">
        <v>17.23338485316847</v>
      </c>
      <c r="BV25" s="78">
        <v>1071</v>
      </c>
      <c r="BW25" s="79">
        <v>223</v>
      </c>
      <c r="BX25" s="69">
        <v>574</v>
      </c>
      <c r="BY25" s="70">
        <v>148</v>
      </c>
      <c r="BZ25" s="70">
        <v>137</v>
      </c>
      <c r="CA25" s="70">
        <v>349</v>
      </c>
      <c r="CB25" s="70">
        <v>5</v>
      </c>
      <c r="CC25" s="70">
        <v>65</v>
      </c>
      <c r="CD25" s="70">
        <v>3</v>
      </c>
      <c r="CE25" s="73">
        <v>13</v>
      </c>
    </row>
    <row r="26" spans="2:83" x14ac:dyDescent="0.3">
      <c r="B26" s="46">
        <v>3</v>
      </c>
      <c r="C26" s="47">
        <v>43482</v>
      </c>
      <c r="D26" s="48">
        <v>9</v>
      </c>
      <c r="E26" s="49">
        <v>1835</v>
      </c>
      <c r="F26" s="50">
        <v>354</v>
      </c>
      <c r="G26" s="51">
        <v>4.2511715089034681</v>
      </c>
      <c r="H26" s="52">
        <v>6.70509977827051</v>
      </c>
      <c r="I26" s="53">
        <v>1353</v>
      </c>
      <c r="J26" s="54">
        <v>2134</v>
      </c>
      <c r="K26" s="54">
        <v>9072</v>
      </c>
      <c r="L26" s="55">
        <v>9297.9</v>
      </c>
      <c r="M26" s="56">
        <v>552.31500000000005</v>
      </c>
      <c r="N26" s="57">
        <v>1360.8</v>
      </c>
      <c r="O26" s="58">
        <v>551.58000000000004</v>
      </c>
      <c r="P26" s="59">
        <v>16.447296856303709</v>
      </c>
      <c r="Q26" s="60">
        <v>714.06999999999994</v>
      </c>
      <c r="R26" s="61">
        <v>12.704636800313695</v>
      </c>
      <c r="S26" s="48"/>
      <c r="T26" s="50"/>
      <c r="U26" s="62">
        <v>0</v>
      </c>
      <c r="V26" s="63">
        <v>96</v>
      </c>
      <c r="W26" s="50">
        <v>71</v>
      </c>
      <c r="X26" s="48">
        <v>41</v>
      </c>
      <c r="Y26" s="63">
        <v>143</v>
      </c>
      <c r="Z26" s="63">
        <v>455</v>
      </c>
      <c r="AA26" s="64">
        <v>1438.8</v>
      </c>
      <c r="AB26" s="65">
        <v>60.527000000000001</v>
      </c>
      <c r="AC26" s="66"/>
      <c r="AD26" s="67"/>
      <c r="AE26" s="68"/>
      <c r="AF26" s="48">
        <v>130</v>
      </c>
      <c r="AG26" s="63">
        <v>209</v>
      </c>
      <c r="AH26" s="63">
        <v>40</v>
      </c>
      <c r="AI26" s="63">
        <v>87</v>
      </c>
      <c r="AJ26" s="63">
        <v>89</v>
      </c>
      <c r="AK26" s="63">
        <v>198</v>
      </c>
      <c r="AL26" s="63">
        <v>116</v>
      </c>
      <c r="AM26" s="63">
        <v>129</v>
      </c>
      <c r="AN26" s="63">
        <v>452</v>
      </c>
      <c r="AO26" s="63">
        <v>120</v>
      </c>
      <c r="AP26" s="63">
        <v>160</v>
      </c>
      <c r="AQ26" s="63">
        <v>79</v>
      </c>
      <c r="AR26" s="63">
        <v>1</v>
      </c>
      <c r="AS26" s="63">
        <v>2</v>
      </c>
      <c r="AT26" s="63">
        <v>5</v>
      </c>
      <c r="AU26" s="63">
        <v>111</v>
      </c>
      <c r="AV26" s="63">
        <v>228</v>
      </c>
      <c r="AW26" s="50">
        <v>14</v>
      </c>
      <c r="AX26" s="69">
        <v>3048</v>
      </c>
      <c r="AY26" s="69">
        <v>29568</v>
      </c>
      <c r="AZ26" s="54">
        <v>1588</v>
      </c>
      <c r="BA26" s="54">
        <v>6142</v>
      </c>
      <c r="BB26" s="54">
        <v>222</v>
      </c>
      <c r="BC26" s="54">
        <v>395</v>
      </c>
      <c r="BD26" s="54">
        <v>1119</v>
      </c>
      <c r="BE26" s="70">
        <v>3039</v>
      </c>
      <c r="BF26" s="63">
        <v>350</v>
      </c>
      <c r="BG26" s="71">
        <v>4508</v>
      </c>
      <c r="BH26" s="67"/>
      <c r="BI26" s="68"/>
      <c r="BJ26" s="72">
        <v>1702</v>
      </c>
      <c r="BK26" s="62"/>
      <c r="BL26" s="70">
        <v>2015</v>
      </c>
      <c r="BM26" s="70">
        <v>354</v>
      </c>
      <c r="BN26" s="70">
        <v>174</v>
      </c>
      <c r="BO26" s="70">
        <v>1157</v>
      </c>
      <c r="BP26" s="73">
        <v>17</v>
      </c>
      <c r="BQ26" s="74">
        <v>840</v>
      </c>
      <c r="BR26" s="54">
        <v>301</v>
      </c>
      <c r="BS26" s="75">
        <v>124</v>
      </c>
      <c r="BT26" s="76">
        <v>78.582089552238813</v>
      </c>
      <c r="BU26" s="77">
        <v>21.417910447761194</v>
      </c>
      <c r="BV26" s="78">
        <v>1053</v>
      </c>
      <c r="BW26" s="79">
        <v>287</v>
      </c>
      <c r="BX26" s="69">
        <v>597</v>
      </c>
      <c r="BY26" s="70">
        <v>136</v>
      </c>
      <c r="BZ26" s="70">
        <v>198</v>
      </c>
      <c r="CA26" s="70">
        <v>320</v>
      </c>
      <c r="CB26" s="70">
        <v>9</v>
      </c>
      <c r="CC26" s="70">
        <v>73</v>
      </c>
      <c r="CD26" s="70">
        <v>7</v>
      </c>
      <c r="CE26" s="73">
        <v>0</v>
      </c>
    </row>
    <row r="27" spans="2:83" x14ac:dyDescent="0.3">
      <c r="B27" s="46">
        <v>3</v>
      </c>
      <c r="C27" s="47">
        <v>43483</v>
      </c>
      <c r="D27" s="48">
        <v>13</v>
      </c>
      <c r="E27" s="49">
        <v>1786</v>
      </c>
      <c r="F27" s="50">
        <v>296</v>
      </c>
      <c r="G27" s="51">
        <v>2.9650550502632838</v>
      </c>
      <c r="H27" s="52">
        <v>4.488405797101449</v>
      </c>
      <c r="I27" s="53">
        <v>1380</v>
      </c>
      <c r="J27" s="54">
        <v>2089</v>
      </c>
      <c r="K27" s="54">
        <v>6194</v>
      </c>
      <c r="L27" s="55">
        <v>7942.6</v>
      </c>
      <c r="M27" s="56">
        <v>548.75400000000002</v>
      </c>
      <c r="N27" s="57">
        <v>929.1</v>
      </c>
      <c r="O27" s="58">
        <v>513.09</v>
      </c>
      <c r="P27" s="59">
        <v>12.071956187023718</v>
      </c>
      <c r="Q27" s="60">
        <v>647.1</v>
      </c>
      <c r="R27" s="61">
        <v>9.5719363313243697</v>
      </c>
      <c r="S27" s="48"/>
      <c r="T27" s="50"/>
      <c r="U27" s="62">
        <v>0</v>
      </c>
      <c r="V27" s="63">
        <v>77</v>
      </c>
      <c r="W27" s="50">
        <v>191</v>
      </c>
      <c r="X27" s="48">
        <v>61</v>
      </c>
      <c r="Y27" s="63">
        <v>286</v>
      </c>
      <c r="Z27" s="63">
        <v>180</v>
      </c>
      <c r="AA27" s="64">
        <v>2038.6</v>
      </c>
      <c r="AB27" s="65">
        <v>315.29399999999998</v>
      </c>
      <c r="AC27" s="66"/>
      <c r="AD27" s="67"/>
      <c r="AE27" s="68"/>
      <c r="AF27" s="48">
        <v>96</v>
      </c>
      <c r="AG27" s="63">
        <v>215</v>
      </c>
      <c r="AH27" s="63">
        <v>38</v>
      </c>
      <c r="AI27" s="63">
        <v>90</v>
      </c>
      <c r="AJ27" s="63">
        <v>127</v>
      </c>
      <c r="AK27" s="63">
        <v>200</v>
      </c>
      <c r="AL27" s="63">
        <v>151</v>
      </c>
      <c r="AM27" s="63">
        <v>112</v>
      </c>
      <c r="AN27" s="63">
        <v>432</v>
      </c>
      <c r="AO27" s="63">
        <v>99</v>
      </c>
      <c r="AP27" s="63">
        <v>126</v>
      </c>
      <c r="AQ27" s="63">
        <v>57</v>
      </c>
      <c r="AR27" s="63">
        <v>1</v>
      </c>
      <c r="AS27" s="63">
        <v>0</v>
      </c>
      <c r="AT27" s="63">
        <v>28</v>
      </c>
      <c r="AU27" s="63">
        <v>45</v>
      </c>
      <c r="AV27" s="63">
        <v>249</v>
      </c>
      <c r="AW27" s="50">
        <v>1</v>
      </c>
      <c r="AX27" s="69">
        <v>3380</v>
      </c>
      <c r="AY27" s="69">
        <v>28970</v>
      </c>
      <c r="AZ27" s="54">
        <v>2540</v>
      </c>
      <c r="BA27" s="54">
        <v>8188</v>
      </c>
      <c r="BB27" s="54">
        <v>550</v>
      </c>
      <c r="BC27" s="54">
        <v>1125</v>
      </c>
      <c r="BD27" s="54">
        <v>1113</v>
      </c>
      <c r="BE27" s="70">
        <v>2322</v>
      </c>
      <c r="BF27" s="63">
        <v>574</v>
      </c>
      <c r="BG27" s="71">
        <v>4009</v>
      </c>
      <c r="BH27" s="67"/>
      <c r="BI27" s="68"/>
      <c r="BJ27" s="72">
        <v>1701</v>
      </c>
      <c r="BK27" s="62"/>
      <c r="BL27" s="70">
        <v>2162</v>
      </c>
      <c r="BM27" s="70">
        <v>413</v>
      </c>
      <c r="BN27" s="70">
        <v>197</v>
      </c>
      <c r="BO27" s="70">
        <v>1086</v>
      </c>
      <c r="BP27" s="73">
        <v>5</v>
      </c>
      <c r="BQ27" s="74">
        <v>861</v>
      </c>
      <c r="BR27" s="54">
        <v>327</v>
      </c>
      <c r="BS27" s="75">
        <v>100</v>
      </c>
      <c r="BT27" s="76">
        <v>80.087527352297599</v>
      </c>
      <c r="BU27" s="77">
        <v>19.912472647702408</v>
      </c>
      <c r="BV27" s="78">
        <v>1098</v>
      </c>
      <c r="BW27" s="79">
        <v>273</v>
      </c>
      <c r="BX27" s="69">
        <v>597</v>
      </c>
      <c r="BY27" s="70">
        <v>117</v>
      </c>
      <c r="BZ27" s="70">
        <v>192</v>
      </c>
      <c r="CA27" s="70">
        <v>384</v>
      </c>
      <c r="CB27" s="70">
        <v>4</v>
      </c>
      <c r="CC27" s="70">
        <v>60</v>
      </c>
      <c r="CD27" s="70">
        <v>8</v>
      </c>
      <c r="CE27" s="73">
        <v>9</v>
      </c>
    </row>
    <row r="28" spans="2:83" x14ac:dyDescent="0.3">
      <c r="B28" s="46">
        <v>4</v>
      </c>
      <c r="C28" s="47">
        <v>43486</v>
      </c>
      <c r="D28" s="48">
        <v>22</v>
      </c>
      <c r="E28" s="49">
        <v>2804</v>
      </c>
      <c r="F28" s="50">
        <v>268</v>
      </c>
      <c r="G28" s="51">
        <v>3.3028442146089203</v>
      </c>
      <c r="H28" s="52">
        <v>4.3209302325581396</v>
      </c>
      <c r="I28" s="53">
        <v>2365</v>
      </c>
      <c r="J28" s="54">
        <v>3094</v>
      </c>
      <c r="K28" s="54">
        <v>10219</v>
      </c>
      <c r="L28" s="55">
        <v>6631.4</v>
      </c>
      <c r="M28" s="56">
        <v>502.93</v>
      </c>
      <c r="N28" s="57">
        <v>1532.85</v>
      </c>
      <c r="O28" s="58">
        <v>661.62</v>
      </c>
      <c r="P28" s="59">
        <v>15.445421843354191</v>
      </c>
      <c r="Q28" s="60">
        <v>821.87</v>
      </c>
      <c r="R28" s="61">
        <v>12.433839901687614</v>
      </c>
      <c r="S28" s="48"/>
      <c r="T28" s="50"/>
      <c r="U28" s="62">
        <v>0</v>
      </c>
      <c r="V28" s="63">
        <v>86</v>
      </c>
      <c r="W28" s="50">
        <v>87</v>
      </c>
      <c r="X28" s="48">
        <v>49</v>
      </c>
      <c r="Y28" s="63">
        <v>116</v>
      </c>
      <c r="Z28" s="63">
        <v>173</v>
      </c>
      <c r="AA28" s="64">
        <v>881.7</v>
      </c>
      <c r="AB28" s="65">
        <v>40.392000000000003</v>
      </c>
      <c r="AC28" s="66"/>
      <c r="AD28" s="67"/>
      <c r="AE28" s="68"/>
      <c r="AF28" s="48">
        <v>205</v>
      </c>
      <c r="AG28" s="63">
        <v>347</v>
      </c>
      <c r="AH28" s="63">
        <v>83</v>
      </c>
      <c r="AI28" s="63">
        <v>139</v>
      </c>
      <c r="AJ28" s="63">
        <v>191</v>
      </c>
      <c r="AK28" s="63">
        <v>416</v>
      </c>
      <c r="AL28" s="63">
        <v>272</v>
      </c>
      <c r="AM28" s="63">
        <v>158</v>
      </c>
      <c r="AN28" s="63">
        <v>557</v>
      </c>
      <c r="AO28" s="63">
        <v>119</v>
      </c>
      <c r="AP28" s="63">
        <v>141</v>
      </c>
      <c r="AQ28" s="63">
        <v>104</v>
      </c>
      <c r="AR28" s="63">
        <v>18</v>
      </c>
      <c r="AS28" s="63">
        <v>3</v>
      </c>
      <c r="AT28" s="63">
        <v>27</v>
      </c>
      <c r="AU28" s="63">
        <v>135</v>
      </c>
      <c r="AV28" s="63">
        <v>121</v>
      </c>
      <c r="AW28" s="50">
        <v>11</v>
      </c>
      <c r="AX28" s="69">
        <v>5610</v>
      </c>
      <c r="AY28" s="69">
        <v>28323</v>
      </c>
      <c r="AZ28" s="54">
        <v>2325</v>
      </c>
      <c r="BA28" s="54">
        <v>8942</v>
      </c>
      <c r="BB28" s="54">
        <v>721</v>
      </c>
      <c r="BC28" s="54">
        <v>1774</v>
      </c>
      <c r="BD28" s="54">
        <v>1594</v>
      </c>
      <c r="BE28" s="70">
        <v>3223</v>
      </c>
      <c r="BF28" s="63">
        <v>865</v>
      </c>
      <c r="BG28" s="71">
        <v>5682</v>
      </c>
      <c r="BH28" s="67"/>
      <c r="BI28" s="68"/>
      <c r="BJ28" s="72">
        <v>1577</v>
      </c>
      <c r="BK28" s="62"/>
      <c r="BL28" s="70">
        <v>2890</v>
      </c>
      <c r="BM28" s="70">
        <v>235</v>
      </c>
      <c r="BN28" s="70">
        <v>173</v>
      </c>
      <c r="BO28" s="70">
        <v>1153</v>
      </c>
      <c r="BP28" s="73">
        <v>16</v>
      </c>
      <c r="BQ28" s="74">
        <v>1581</v>
      </c>
      <c r="BR28" s="54">
        <v>456</v>
      </c>
      <c r="BS28" s="75">
        <v>80</v>
      </c>
      <c r="BT28" s="76">
        <v>81.36672325976231</v>
      </c>
      <c r="BU28" s="77">
        <v>18.63327674023769</v>
      </c>
      <c r="BV28" s="78">
        <v>1917</v>
      </c>
      <c r="BW28" s="79">
        <v>439</v>
      </c>
      <c r="BX28" s="69">
        <v>1083</v>
      </c>
      <c r="BY28" s="70">
        <v>274</v>
      </c>
      <c r="BZ28" s="70">
        <v>179</v>
      </c>
      <c r="CA28" s="70">
        <v>560</v>
      </c>
      <c r="CB28" s="70">
        <v>12</v>
      </c>
      <c r="CC28" s="70">
        <v>238</v>
      </c>
      <c r="CD28" s="70">
        <v>10</v>
      </c>
      <c r="CE28" s="73">
        <v>0</v>
      </c>
    </row>
    <row r="29" spans="2:83" x14ac:dyDescent="0.3">
      <c r="B29" s="46">
        <v>4</v>
      </c>
      <c r="C29" s="47">
        <v>43487</v>
      </c>
      <c r="D29" s="48">
        <v>14</v>
      </c>
      <c r="E29" s="49">
        <v>1932</v>
      </c>
      <c r="F29" s="50">
        <v>317</v>
      </c>
      <c r="G29" s="51">
        <v>3.6527178602243313</v>
      </c>
      <c r="H29" s="52">
        <v>6.2487084870848708</v>
      </c>
      <c r="I29" s="53">
        <v>1355</v>
      </c>
      <c r="J29" s="54">
        <v>2318</v>
      </c>
      <c r="K29" s="54">
        <v>8467</v>
      </c>
      <c r="L29" s="55">
        <v>6584.3</v>
      </c>
      <c r="M29" s="56">
        <v>667.02599999999995</v>
      </c>
      <c r="N29" s="57">
        <v>1270.0500000000002</v>
      </c>
      <c r="O29" s="58">
        <v>644.63</v>
      </c>
      <c r="P29" s="59">
        <v>13.13466639777857</v>
      </c>
      <c r="Q29" s="60">
        <v>812.68</v>
      </c>
      <c r="R29" s="61">
        <v>10.41861495299503</v>
      </c>
      <c r="S29" s="48"/>
      <c r="T29" s="50"/>
      <c r="U29" s="62">
        <v>0</v>
      </c>
      <c r="V29" s="63">
        <v>57</v>
      </c>
      <c r="W29" s="50">
        <v>114</v>
      </c>
      <c r="X29" s="48">
        <v>43</v>
      </c>
      <c r="Y29" s="63">
        <v>221</v>
      </c>
      <c r="Z29" s="63">
        <v>500</v>
      </c>
      <c r="AA29" s="64">
        <v>910.9</v>
      </c>
      <c r="AB29" s="65">
        <v>236.215</v>
      </c>
      <c r="AC29" s="66"/>
      <c r="AD29" s="67"/>
      <c r="AE29" s="68"/>
      <c r="AF29" s="48">
        <v>69</v>
      </c>
      <c r="AG29" s="63">
        <v>161</v>
      </c>
      <c r="AH29" s="63">
        <v>39</v>
      </c>
      <c r="AI29" s="63">
        <v>82</v>
      </c>
      <c r="AJ29" s="63">
        <v>88</v>
      </c>
      <c r="AK29" s="63">
        <v>199</v>
      </c>
      <c r="AL29" s="63">
        <v>157</v>
      </c>
      <c r="AM29" s="63">
        <v>107</v>
      </c>
      <c r="AN29" s="63">
        <v>489</v>
      </c>
      <c r="AO29" s="63">
        <v>99</v>
      </c>
      <c r="AP29" s="63">
        <v>248</v>
      </c>
      <c r="AQ29" s="63">
        <v>187</v>
      </c>
      <c r="AR29" s="63">
        <v>2</v>
      </c>
      <c r="AS29" s="63">
        <v>0</v>
      </c>
      <c r="AT29" s="63">
        <v>4</v>
      </c>
      <c r="AU29" s="63">
        <v>89</v>
      </c>
      <c r="AV29" s="63">
        <v>206</v>
      </c>
      <c r="AW29" s="50">
        <v>22</v>
      </c>
      <c r="AX29" s="69">
        <v>4595</v>
      </c>
      <c r="AY29" s="69">
        <v>29546</v>
      </c>
      <c r="AZ29" s="54">
        <v>1630</v>
      </c>
      <c r="BA29" s="54">
        <v>8080</v>
      </c>
      <c r="BB29" s="54">
        <v>490</v>
      </c>
      <c r="BC29" s="54">
        <v>1958</v>
      </c>
      <c r="BD29" s="54">
        <v>1350</v>
      </c>
      <c r="BE29" s="70">
        <v>1939</v>
      </c>
      <c r="BF29" s="63">
        <v>447</v>
      </c>
      <c r="BG29" s="71">
        <v>3736</v>
      </c>
      <c r="BH29" s="67"/>
      <c r="BI29" s="68"/>
      <c r="BJ29" s="72">
        <v>1638</v>
      </c>
      <c r="BK29" s="62"/>
      <c r="BL29" s="70">
        <v>2492</v>
      </c>
      <c r="BM29" s="70">
        <v>261</v>
      </c>
      <c r="BN29" s="70">
        <v>207</v>
      </c>
      <c r="BO29" s="70">
        <v>1151</v>
      </c>
      <c r="BP29" s="73">
        <v>19</v>
      </c>
      <c r="BQ29" s="74">
        <v>750</v>
      </c>
      <c r="BR29" s="54">
        <v>365</v>
      </c>
      <c r="BS29" s="75">
        <v>91</v>
      </c>
      <c r="BT29" s="76">
        <v>70.883233532934128</v>
      </c>
      <c r="BU29" s="77">
        <v>29.116766467065869</v>
      </c>
      <c r="BV29" s="78">
        <v>947</v>
      </c>
      <c r="BW29" s="79">
        <v>389</v>
      </c>
      <c r="BX29" s="69">
        <v>438</v>
      </c>
      <c r="BY29" s="70">
        <v>129</v>
      </c>
      <c r="BZ29" s="70">
        <v>268</v>
      </c>
      <c r="CA29" s="70">
        <v>380</v>
      </c>
      <c r="CB29" s="70">
        <v>4</v>
      </c>
      <c r="CC29" s="70">
        <v>110</v>
      </c>
      <c r="CD29" s="70">
        <v>7</v>
      </c>
      <c r="CE29" s="73">
        <v>0</v>
      </c>
    </row>
    <row r="30" spans="2:83" x14ac:dyDescent="0.3">
      <c r="B30" s="46">
        <v>4</v>
      </c>
      <c r="C30" s="47">
        <v>43488</v>
      </c>
      <c r="D30" s="48">
        <v>78</v>
      </c>
      <c r="E30" s="49">
        <v>1982</v>
      </c>
      <c r="F30" s="50">
        <v>289</v>
      </c>
      <c r="G30" s="51">
        <v>3.3959131545338441</v>
      </c>
      <c r="H30" s="52">
        <v>5.7720694645441393</v>
      </c>
      <c r="I30" s="53">
        <v>1382</v>
      </c>
      <c r="J30" s="54">
        <v>2349</v>
      </c>
      <c r="K30" s="54">
        <v>7977</v>
      </c>
      <c r="L30" s="55">
        <v>6543</v>
      </c>
      <c r="M30" s="56">
        <v>502</v>
      </c>
      <c r="N30" s="57">
        <v>1196.55</v>
      </c>
      <c r="O30" s="58">
        <v>651.19999999999993</v>
      </c>
      <c r="P30" s="59">
        <v>12.249692874692876</v>
      </c>
      <c r="Q30" s="60">
        <v>816.31</v>
      </c>
      <c r="R30" s="61">
        <v>9.7720228834633911</v>
      </c>
      <c r="S30" s="48"/>
      <c r="T30" s="50"/>
      <c r="U30" s="62">
        <v>0</v>
      </c>
      <c r="V30" s="63">
        <v>87</v>
      </c>
      <c r="W30" s="50">
        <v>67</v>
      </c>
      <c r="X30" s="48">
        <v>53</v>
      </c>
      <c r="Y30" s="63">
        <v>138</v>
      </c>
      <c r="Z30" s="63">
        <v>283</v>
      </c>
      <c r="AA30" s="64">
        <v>1038</v>
      </c>
      <c r="AB30" s="65">
        <v>72.760000000000005</v>
      </c>
      <c r="AC30" s="66"/>
      <c r="AD30" s="67"/>
      <c r="AE30" s="68"/>
      <c r="AF30" s="48">
        <v>288</v>
      </c>
      <c r="AG30" s="63">
        <v>218</v>
      </c>
      <c r="AH30" s="63">
        <v>31</v>
      </c>
      <c r="AI30" s="63">
        <v>77</v>
      </c>
      <c r="AJ30" s="63">
        <v>63</v>
      </c>
      <c r="AK30" s="63">
        <v>136</v>
      </c>
      <c r="AL30" s="63">
        <v>105</v>
      </c>
      <c r="AM30" s="63">
        <v>94</v>
      </c>
      <c r="AN30" s="63">
        <v>487</v>
      </c>
      <c r="AO30" s="63">
        <v>105</v>
      </c>
      <c r="AP30" s="63">
        <v>227</v>
      </c>
      <c r="AQ30" s="63">
        <v>118</v>
      </c>
      <c r="AR30" s="63">
        <v>0</v>
      </c>
      <c r="AS30" s="63">
        <v>0</v>
      </c>
      <c r="AT30" s="63">
        <v>4</v>
      </c>
      <c r="AU30" s="63">
        <v>81</v>
      </c>
      <c r="AV30" s="63">
        <v>149</v>
      </c>
      <c r="AW30" s="50">
        <v>58</v>
      </c>
      <c r="AX30" s="69">
        <v>5117</v>
      </c>
      <c r="AY30" s="69">
        <v>26949</v>
      </c>
      <c r="AZ30" s="54">
        <v>1347</v>
      </c>
      <c r="BA30" s="54">
        <v>3446</v>
      </c>
      <c r="BB30" s="54">
        <v>473</v>
      </c>
      <c r="BC30" s="54">
        <v>1187</v>
      </c>
      <c r="BD30" s="54">
        <v>1433</v>
      </c>
      <c r="BE30" s="70">
        <v>2373</v>
      </c>
      <c r="BF30" s="63">
        <v>388</v>
      </c>
      <c r="BG30" s="71">
        <v>4194</v>
      </c>
      <c r="BH30" s="67"/>
      <c r="BI30" s="68"/>
      <c r="BJ30" s="72">
        <v>1642</v>
      </c>
      <c r="BK30" s="62"/>
      <c r="BL30" s="70">
        <v>2325</v>
      </c>
      <c r="BM30" s="70">
        <v>386</v>
      </c>
      <c r="BN30" s="70">
        <v>121</v>
      </c>
      <c r="BO30" s="70">
        <v>1111</v>
      </c>
      <c r="BP30" s="73">
        <v>24</v>
      </c>
      <c r="BQ30" s="74">
        <v>859</v>
      </c>
      <c r="BR30" s="54">
        <v>222</v>
      </c>
      <c r="BS30" s="75">
        <v>178</v>
      </c>
      <c r="BT30" s="76">
        <v>76.401179941002951</v>
      </c>
      <c r="BU30" s="77">
        <v>23.598820058997049</v>
      </c>
      <c r="BV30" s="78">
        <v>1036</v>
      </c>
      <c r="BW30" s="79">
        <v>320</v>
      </c>
      <c r="BX30" s="69">
        <v>712</v>
      </c>
      <c r="BY30" s="70">
        <v>79</v>
      </c>
      <c r="BZ30" s="70">
        <v>233</v>
      </c>
      <c r="CA30" s="70">
        <v>245</v>
      </c>
      <c r="CB30" s="70">
        <v>7</v>
      </c>
      <c r="CC30" s="70">
        <v>77</v>
      </c>
      <c r="CD30" s="70">
        <v>3</v>
      </c>
      <c r="CE30" s="73">
        <v>0</v>
      </c>
    </row>
    <row r="31" spans="2:83" x14ac:dyDescent="0.3">
      <c r="B31" s="46">
        <v>4</v>
      </c>
      <c r="C31" s="47">
        <v>43489</v>
      </c>
      <c r="D31" s="48">
        <v>9</v>
      </c>
      <c r="E31" s="49">
        <v>2098</v>
      </c>
      <c r="F31" s="50">
        <v>361</v>
      </c>
      <c r="G31" s="51">
        <v>3.9294975688816858</v>
      </c>
      <c r="H31" s="52">
        <v>6.3096942094990238</v>
      </c>
      <c r="I31" s="53">
        <v>1537</v>
      </c>
      <c r="J31" s="54">
        <v>2468</v>
      </c>
      <c r="K31" s="54">
        <v>9698</v>
      </c>
      <c r="L31" s="55">
        <v>6855.9</v>
      </c>
      <c r="M31" s="56">
        <v>637.67200000000003</v>
      </c>
      <c r="N31" s="57">
        <v>1454.7</v>
      </c>
      <c r="O31" s="58">
        <v>626.37</v>
      </c>
      <c r="P31" s="59">
        <v>15.482861567444163</v>
      </c>
      <c r="Q31" s="60">
        <v>809.93000000000006</v>
      </c>
      <c r="R31" s="61">
        <v>11.973874285432073</v>
      </c>
      <c r="S31" s="48"/>
      <c r="T31" s="50"/>
      <c r="U31" s="62">
        <v>0</v>
      </c>
      <c r="V31" s="63">
        <v>47</v>
      </c>
      <c r="W31" s="50">
        <v>123</v>
      </c>
      <c r="X31" s="48">
        <v>41</v>
      </c>
      <c r="Y31" s="63">
        <v>152</v>
      </c>
      <c r="Z31" s="63">
        <v>294</v>
      </c>
      <c r="AA31" s="64">
        <v>730.9</v>
      </c>
      <c r="AB31" s="65">
        <v>144.58600000000001</v>
      </c>
      <c r="AC31" s="66"/>
      <c r="AD31" s="67"/>
      <c r="AE31" s="68"/>
      <c r="AF31" s="48">
        <v>133</v>
      </c>
      <c r="AG31" s="63">
        <v>157</v>
      </c>
      <c r="AH31" s="63">
        <v>37</v>
      </c>
      <c r="AI31" s="63">
        <v>101</v>
      </c>
      <c r="AJ31" s="63">
        <v>79</v>
      </c>
      <c r="AK31" s="63">
        <v>194</v>
      </c>
      <c r="AL31" s="63">
        <v>141</v>
      </c>
      <c r="AM31" s="63">
        <v>130</v>
      </c>
      <c r="AN31" s="63">
        <v>524</v>
      </c>
      <c r="AO31" s="63">
        <v>134</v>
      </c>
      <c r="AP31" s="63">
        <v>164</v>
      </c>
      <c r="AQ31" s="63">
        <v>275</v>
      </c>
      <c r="AR31" s="63">
        <v>1</v>
      </c>
      <c r="AS31" s="63">
        <v>0</v>
      </c>
      <c r="AT31" s="63">
        <v>8</v>
      </c>
      <c r="AU31" s="63">
        <v>100</v>
      </c>
      <c r="AV31" s="63">
        <v>245</v>
      </c>
      <c r="AW31" s="50">
        <v>16</v>
      </c>
      <c r="AX31" s="69">
        <v>4591</v>
      </c>
      <c r="AY31" s="69">
        <v>30690</v>
      </c>
      <c r="AZ31" s="54">
        <v>2236</v>
      </c>
      <c r="BA31" s="54">
        <v>10974</v>
      </c>
      <c r="BB31" s="54">
        <v>250</v>
      </c>
      <c r="BC31" s="54">
        <v>464</v>
      </c>
      <c r="BD31" s="54">
        <v>1174</v>
      </c>
      <c r="BE31" s="70">
        <v>2382</v>
      </c>
      <c r="BF31" s="63">
        <v>421</v>
      </c>
      <c r="BG31" s="71">
        <v>3977</v>
      </c>
      <c r="BH31" s="67"/>
      <c r="BI31" s="68"/>
      <c r="BJ31" s="72">
        <v>1581</v>
      </c>
      <c r="BK31" s="62"/>
      <c r="BL31" s="70">
        <v>2711</v>
      </c>
      <c r="BM31" s="70">
        <v>329</v>
      </c>
      <c r="BN31" s="70">
        <v>105</v>
      </c>
      <c r="BO31" s="70">
        <v>1137</v>
      </c>
      <c r="BP31" s="73">
        <v>10</v>
      </c>
      <c r="BQ31" s="74">
        <v>801</v>
      </c>
      <c r="BR31" s="54">
        <v>433</v>
      </c>
      <c r="BS31" s="75">
        <v>119</v>
      </c>
      <c r="BT31" s="76">
        <v>72.375328083989501</v>
      </c>
      <c r="BU31" s="77">
        <v>27.624671916010499</v>
      </c>
      <c r="BV31" s="78">
        <v>1103</v>
      </c>
      <c r="BW31" s="79">
        <v>421</v>
      </c>
      <c r="BX31" s="69">
        <v>561</v>
      </c>
      <c r="BY31" s="70">
        <v>192</v>
      </c>
      <c r="BZ31" s="70">
        <v>257</v>
      </c>
      <c r="CA31" s="70">
        <v>350</v>
      </c>
      <c r="CB31" s="70">
        <v>9</v>
      </c>
      <c r="CC31" s="70">
        <v>150</v>
      </c>
      <c r="CD31" s="70">
        <v>5</v>
      </c>
      <c r="CE31" s="73">
        <v>0</v>
      </c>
    </row>
    <row r="32" spans="2:83" x14ac:dyDescent="0.3">
      <c r="B32" s="46">
        <v>4</v>
      </c>
      <c r="C32" s="47">
        <v>43490</v>
      </c>
      <c r="D32" s="48">
        <v>9</v>
      </c>
      <c r="E32" s="49">
        <v>2061</v>
      </c>
      <c r="F32" s="50">
        <v>314</v>
      </c>
      <c r="G32" s="51">
        <v>3.613255033557047</v>
      </c>
      <c r="H32" s="52">
        <v>5.6263879817113001</v>
      </c>
      <c r="I32" s="53">
        <v>1531</v>
      </c>
      <c r="J32" s="54">
        <v>2384</v>
      </c>
      <c r="K32" s="54">
        <v>8614</v>
      </c>
      <c r="L32" s="55">
        <v>8274.7000000000007</v>
      </c>
      <c r="M32" s="56">
        <v>522.024</v>
      </c>
      <c r="N32" s="57">
        <v>1292.1000000000001</v>
      </c>
      <c r="O32" s="58">
        <v>589.07999999999993</v>
      </c>
      <c r="P32" s="59">
        <v>14.622801656820807</v>
      </c>
      <c r="Q32" s="60">
        <v>764.65</v>
      </c>
      <c r="R32" s="61">
        <v>11.265284770810174</v>
      </c>
      <c r="S32" s="48"/>
      <c r="T32" s="50"/>
      <c r="U32" s="62">
        <v>7</v>
      </c>
      <c r="V32" s="63">
        <v>41</v>
      </c>
      <c r="W32" s="50">
        <v>52</v>
      </c>
      <c r="X32" s="48">
        <v>40</v>
      </c>
      <c r="Y32" s="63">
        <v>118</v>
      </c>
      <c r="Z32" s="63">
        <v>355</v>
      </c>
      <c r="AA32" s="64">
        <v>970.5</v>
      </c>
      <c r="AB32" s="65">
        <v>99.311000000000007</v>
      </c>
      <c r="AC32" s="66"/>
      <c r="AD32" s="67"/>
      <c r="AE32" s="68"/>
      <c r="AF32" s="48">
        <v>124</v>
      </c>
      <c r="AG32" s="63">
        <v>161</v>
      </c>
      <c r="AH32" s="63">
        <v>42</v>
      </c>
      <c r="AI32" s="63">
        <v>76</v>
      </c>
      <c r="AJ32" s="63">
        <v>69</v>
      </c>
      <c r="AK32" s="63">
        <v>224</v>
      </c>
      <c r="AL32" s="63">
        <v>164</v>
      </c>
      <c r="AM32" s="63">
        <v>121</v>
      </c>
      <c r="AN32" s="63">
        <v>637</v>
      </c>
      <c r="AO32" s="63">
        <v>123</v>
      </c>
      <c r="AP32" s="63">
        <v>153</v>
      </c>
      <c r="AQ32" s="63">
        <v>143</v>
      </c>
      <c r="AR32" s="63">
        <v>3</v>
      </c>
      <c r="AS32" s="63">
        <v>1</v>
      </c>
      <c r="AT32" s="63">
        <v>12</v>
      </c>
      <c r="AU32" s="63">
        <v>93</v>
      </c>
      <c r="AV32" s="63">
        <v>198</v>
      </c>
      <c r="AW32" s="50">
        <v>22</v>
      </c>
      <c r="AX32" s="69">
        <v>4003</v>
      </c>
      <c r="AY32" s="69">
        <v>35231</v>
      </c>
      <c r="AZ32" s="54">
        <v>1619</v>
      </c>
      <c r="BA32" s="54">
        <v>3541</v>
      </c>
      <c r="BB32" s="54">
        <v>642</v>
      </c>
      <c r="BC32" s="54">
        <v>1196</v>
      </c>
      <c r="BD32" s="54">
        <v>1189</v>
      </c>
      <c r="BE32" s="70">
        <v>2584</v>
      </c>
      <c r="BF32" s="63">
        <v>454</v>
      </c>
      <c r="BG32" s="71">
        <v>4227</v>
      </c>
      <c r="BH32" s="67"/>
      <c r="BI32" s="68"/>
      <c r="BJ32" s="72">
        <v>1772</v>
      </c>
      <c r="BK32" s="62"/>
      <c r="BL32" s="70">
        <v>2256</v>
      </c>
      <c r="BM32" s="70">
        <v>441</v>
      </c>
      <c r="BN32" s="70">
        <v>184</v>
      </c>
      <c r="BO32" s="70">
        <v>1126</v>
      </c>
      <c r="BP32" s="73">
        <v>21</v>
      </c>
      <c r="BQ32" s="74">
        <v>814</v>
      </c>
      <c r="BR32" s="54">
        <v>457</v>
      </c>
      <c r="BS32" s="75">
        <v>130</v>
      </c>
      <c r="BT32" s="76">
        <v>78.037383177570092</v>
      </c>
      <c r="BU32" s="77">
        <v>21.962616822429908</v>
      </c>
      <c r="BV32" s="78">
        <v>1169</v>
      </c>
      <c r="BW32" s="79">
        <v>329</v>
      </c>
      <c r="BX32" s="69">
        <v>558</v>
      </c>
      <c r="BY32" s="70">
        <v>219</v>
      </c>
      <c r="BZ32" s="70">
        <v>215</v>
      </c>
      <c r="CA32" s="70">
        <v>392</v>
      </c>
      <c r="CB32" s="70">
        <v>13</v>
      </c>
      <c r="CC32" s="70">
        <v>99</v>
      </c>
      <c r="CD32" s="70">
        <v>2</v>
      </c>
      <c r="CE32" s="73">
        <v>0</v>
      </c>
    </row>
    <row r="33" spans="2:83" x14ac:dyDescent="0.3">
      <c r="B33" s="46">
        <v>5</v>
      </c>
      <c r="C33" s="47">
        <v>43493</v>
      </c>
      <c r="D33" s="48">
        <v>42</v>
      </c>
      <c r="E33" s="49">
        <v>2950</v>
      </c>
      <c r="F33" s="50">
        <v>243</v>
      </c>
      <c r="G33" s="51">
        <v>2.4767840448737926</v>
      </c>
      <c r="H33" s="52">
        <v>3.1144200626959249</v>
      </c>
      <c r="I33" s="53">
        <v>2552</v>
      </c>
      <c r="J33" s="54">
        <v>3209</v>
      </c>
      <c r="K33" s="54">
        <v>7948</v>
      </c>
      <c r="L33" s="55">
        <v>7577.6</v>
      </c>
      <c r="M33" s="56">
        <v>462.36500000000001</v>
      </c>
      <c r="N33" s="57">
        <v>1192.2</v>
      </c>
      <c r="O33" s="58">
        <v>627.92000000000007</v>
      </c>
      <c r="P33" s="59">
        <v>12.657663396611031</v>
      </c>
      <c r="Q33" s="60">
        <v>772.31000000000006</v>
      </c>
      <c r="R33" s="61">
        <v>10.291204309150469</v>
      </c>
      <c r="S33" s="48"/>
      <c r="T33" s="50"/>
      <c r="U33" s="62">
        <v>35</v>
      </c>
      <c r="V33" s="63">
        <v>101</v>
      </c>
      <c r="W33" s="50">
        <v>63</v>
      </c>
      <c r="X33" s="48">
        <v>83</v>
      </c>
      <c r="Y33" s="63">
        <v>187</v>
      </c>
      <c r="Z33" s="63">
        <v>920</v>
      </c>
      <c r="AA33" s="64">
        <v>2215.5</v>
      </c>
      <c r="AB33" s="65">
        <v>83.718000000000004</v>
      </c>
      <c r="AC33" s="66"/>
      <c r="AD33" s="67"/>
      <c r="AE33" s="68"/>
      <c r="AF33" s="48">
        <v>312</v>
      </c>
      <c r="AG33" s="63">
        <v>370</v>
      </c>
      <c r="AH33" s="63">
        <v>82</v>
      </c>
      <c r="AI33" s="63">
        <v>166</v>
      </c>
      <c r="AJ33" s="63">
        <v>123</v>
      </c>
      <c r="AK33" s="63">
        <v>504</v>
      </c>
      <c r="AL33" s="63">
        <v>245</v>
      </c>
      <c r="AM33" s="63">
        <v>153</v>
      </c>
      <c r="AN33" s="63">
        <v>524</v>
      </c>
      <c r="AO33" s="63">
        <v>148</v>
      </c>
      <c r="AP33" s="63">
        <v>155</v>
      </c>
      <c r="AQ33" s="63">
        <v>130</v>
      </c>
      <c r="AR33" s="63">
        <v>5</v>
      </c>
      <c r="AS33" s="63">
        <v>2</v>
      </c>
      <c r="AT33" s="63">
        <v>19</v>
      </c>
      <c r="AU33" s="63">
        <v>36</v>
      </c>
      <c r="AV33" s="63">
        <v>196</v>
      </c>
      <c r="AW33" s="50">
        <v>11</v>
      </c>
      <c r="AX33" s="69">
        <v>5282</v>
      </c>
      <c r="AY33" s="69">
        <v>33558</v>
      </c>
      <c r="AZ33" s="54">
        <v>1169</v>
      </c>
      <c r="BA33" s="54">
        <v>2802</v>
      </c>
      <c r="BB33" s="54">
        <v>710</v>
      </c>
      <c r="BC33" s="54">
        <v>1075</v>
      </c>
      <c r="BD33" s="54">
        <v>1688</v>
      </c>
      <c r="BE33" s="70">
        <v>1691</v>
      </c>
      <c r="BF33" s="63">
        <v>695</v>
      </c>
      <c r="BG33" s="71">
        <v>4074</v>
      </c>
      <c r="BH33" s="67"/>
      <c r="BI33" s="68"/>
      <c r="BJ33" s="72">
        <v>1742</v>
      </c>
      <c r="BK33" s="62"/>
      <c r="BL33" s="70">
        <v>2552</v>
      </c>
      <c r="BM33" s="70">
        <v>366</v>
      </c>
      <c r="BN33" s="70">
        <v>134</v>
      </c>
      <c r="BO33" s="70">
        <v>1223</v>
      </c>
      <c r="BP33" s="73">
        <v>19</v>
      </c>
      <c r="BQ33" s="74">
        <v>1763</v>
      </c>
      <c r="BR33" s="54">
        <v>381</v>
      </c>
      <c r="BS33" s="75">
        <v>88</v>
      </c>
      <c r="BT33" s="76">
        <v>81.016148089799131</v>
      </c>
      <c r="BU33" s="77">
        <v>18.983851910200865</v>
      </c>
      <c r="BV33" s="78">
        <v>2057</v>
      </c>
      <c r="BW33" s="79">
        <v>482</v>
      </c>
      <c r="BX33" s="69">
        <v>1289</v>
      </c>
      <c r="BY33" s="70">
        <v>156</v>
      </c>
      <c r="BZ33" s="70">
        <v>226</v>
      </c>
      <c r="CA33" s="70">
        <v>612</v>
      </c>
      <c r="CB33" s="70">
        <v>20</v>
      </c>
      <c r="CC33" s="70">
        <v>231</v>
      </c>
      <c r="CD33" s="70">
        <v>5</v>
      </c>
      <c r="CE33" s="73">
        <v>0</v>
      </c>
    </row>
    <row r="34" spans="2:83" x14ac:dyDescent="0.3">
      <c r="B34" s="46">
        <v>5</v>
      </c>
      <c r="C34" s="47">
        <v>43494</v>
      </c>
      <c r="D34" s="48">
        <v>58</v>
      </c>
      <c r="E34" s="49">
        <v>1687</v>
      </c>
      <c r="F34" s="50">
        <v>300</v>
      </c>
      <c r="G34" s="51">
        <v>3.5603700097370985</v>
      </c>
      <c r="H34" s="52">
        <v>5.6777950310559007</v>
      </c>
      <c r="I34" s="53">
        <v>1288</v>
      </c>
      <c r="J34" s="54">
        <v>2054</v>
      </c>
      <c r="K34" s="54">
        <v>7313</v>
      </c>
      <c r="L34" s="55">
        <v>6187.4</v>
      </c>
      <c r="M34" s="56">
        <v>593</v>
      </c>
      <c r="N34" s="57">
        <v>1096.95</v>
      </c>
      <c r="O34" s="58">
        <v>541.26</v>
      </c>
      <c r="P34" s="59">
        <v>13.511066770128959</v>
      </c>
      <c r="Q34" s="60">
        <v>691.15</v>
      </c>
      <c r="R34" s="61">
        <v>10.580915864862909</v>
      </c>
      <c r="S34" s="48"/>
      <c r="T34" s="50"/>
      <c r="U34" s="62">
        <v>18</v>
      </c>
      <c r="V34" s="63">
        <v>90</v>
      </c>
      <c r="W34" s="50">
        <v>56</v>
      </c>
      <c r="X34" s="48">
        <v>63</v>
      </c>
      <c r="Y34" s="63">
        <v>195</v>
      </c>
      <c r="Z34" s="63">
        <v>544</v>
      </c>
      <c r="AA34" s="64">
        <v>1258.0999999999999</v>
      </c>
      <c r="AB34" s="65">
        <v>136.46</v>
      </c>
      <c r="AC34" s="66"/>
      <c r="AD34" s="67"/>
      <c r="AE34" s="68"/>
      <c r="AF34" s="48">
        <v>97</v>
      </c>
      <c r="AG34" s="63">
        <v>157</v>
      </c>
      <c r="AH34" s="63">
        <v>37</v>
      </c>
      <c r="AI34" s="63">
        <v>70</v>
      </c>
      <c r="AJ34" s="63">
        <v>62</v>
      </c>
      <c r="AK34" s="63">
        <v>145</v>
      </c>
      <c r="AL34" s="63">
        <v>133</v>
      </c>
      <c r="AM34" s="63">
        <v>120</v>
      </c>
      <c r="AN34" s="63">
        <v>398</v>
      </c>
      <c r="AO34" s="63">
        <v>140</v>
      </c>
      <c r="AP34" s="63">
        <v>203</v>
      </c>
      <c r="AQ34" s="63">
        <v>108</v>
      </c>
      <c r="AR34" s="63">
        <v>3</v>
      </c>
      <c r="AS34" s="63">
        <v>0</v>
      </c>
      <c r="AT34" s="63">
        <v>5</v>
      </c>
      <c r="AU34" s="63">
        <v>71</v>
      </c>
      <c r="AV34" s="63">
        <v>228</v>
      </c>
      <c r="AW34" s="50">
        <v>1</v>
      </c>
      <c r="AX34" s="69">
        <v>3138</v>
      </c>
      <c r="AY34" s="69">
        <v>17430</v>
      </c>
      <c r="AZ34" s="54">
        <v>378</v>
      </c>
      <c r="BA34" s="54">
        <v>1318</v>
      </c>
      <c r="BB34" s="54">
        <v>160</v>
      </c>
      <c r="BC34" s="54">
        <v>292</v>
      </c>
      <c r="BD34" s="54">
        <v>887</v>
      </c>
      <c r="BE34" s="70">
        <v>754</v>
      </c>
      <c r="BF34" s="63">
        <v>171</v>
      </c>
      <c r="BG34" s="71">
        <v>1812</v>
      </c>
      <c r="BH34" s="67"/>
      <c r="BI34" s="68"/>
      <c r="BJ34" s="72">
        <v>1433</v>
      </c>
      <c r="BK34" s="62"/>
      <c r="BL34" s="70">
        <v>2115</v>
      </c>
      <c r="BM34" s="70">
        <v>252</v>
      </c>
      <c r="BN34" s="70">
        <v>189</v>
      </c>
      <c r="BO34" s="70">
        <v>968</v>
      </c>
      <c r="BP34" s="73">
        <v>24</v>
      </c>
      <c r="BQ34" s="74">
        <v>576</v>
      </c>
      <c r="BR34" s="54">
        <v>402</v>
      </c>
      <c r="BS34" s="75">
        <v>115</v>
      </c>
      <c r="BT34" s="76">
        <v>70.236220472440948</v>
      </c>
      <c r="BU34" s="77">
        <v>29.763779527559056</v>
      </c>
      <c r="BV34" s="78">
        <v>892</v>
      </c>
      <c r="BW34" s="79">
        <v>378</v>
      </c>
      <c r="BX34" s="69">
        <v>430</v>
      </c>
      <c r="BY34" s="70">
        <v>163</v>
      </c>
      <c r="BZ34" s="70">
        <v>233</v>
      </c>
      <c r="CA34" s="70">
        <v>299</v>
      </c>
      <c r="CB34" s="70">
        <v>22</v>
      </c>
      <c r="CC34" s="70">
        <v>114</v>
      </c>
      <c r="CD34" s="70">
        <v>9</v>
      </c>
      <c r="CE34" s="73">
        <v>0</v>
      </c>
    </row>
    <row r="35" spans="2:83" x14ac:dyDescent="0.3">
      <c r="B35" s="46">
        <v>5</v>
      </c>
      <c r="C35" s="47">
        <v>43495</v>
      </c>
      <c r="D35" s="48">
        <v>17</v>
      </c>
      <c r="E35" s="49">
        <v>1876</v>
      </c>
      <c r="F35" s="50">
        <v>252</v>
      </c>
      <c r="G35" s="51">
        <v>2.9502113668388916</v>
      </c>
      <c r="H35" s="52">
        <v>4.3317241379310341</v>
      </c>
      <c r="I35" s="53">
        <v>1450</v>
      </c>
      <c r="J35" s="54">
        <v>2129</v>
      </c>
      <c r="K35" s="54">
        <v>6281</v>
      </c>
      <c r="L35" s="55">
        <v>4258.6000000000004</v>
      </c>
      <c r="M35" s="56">
        <v>450.13099999999997</v>
      </c>
      <c r="N35" s="57">
        <v>942.15</v>
      </c>
      <c r="O35" s="58">
        <v>586.6</v>
      </c>
      <c r="P35" s="59">
        <v>10.707466757586088</v>
      </c>
      <c r="Q35" s="60">
        <v>732.24</v>
      </c>
      <c r="R35" s="61">
        <v>8.5777887031574345</v>
      </c>
      <c r="S35" s="48"/>
      <c r="T35" s="50"/>
      <c r="U35" s="62">
        <v>0</v>
      </c>
      <c r="V35" s="63">
        <v>73</v>
      </c>
      <c r="W35" s="50">
        <v>23</v>
      </c>
      <c r="X35" s="48">
        <v>31</v>
      </c>
      <c r="Y35" s="63">
        <v>87</v>
      </c>
      <c r="Z35" s="63">
        <v>231</v>
      </c>
      <c r="AA35" s="64">
        <v>265.2</v>
      </c>
      <c r="AB35" s="65">
        <v>20.41</v>
      </c>
      <c r="AC35" s="66"/>
      <c r="AD35" s="67"/>
      <c r="AE35" s="68"/>
      <c r="AF35" s="48">
        <v>154</v>
      </c>
      <c r="AG35" s="63">
        <v>193</v>
      </c>
      <c r="AH35" s="63">
        <v>64</v>
      </c>
      <c r="AI35" s="63">
        <v>97</v>
      </c>
      <c r="AJ35" s="63">
        <v>62</v>
      </c>
      <c r="AK35" s="63">
        <v>180</v>
      </c>
      <c r="AL35" s="63">
        <v>119</v>
      </c>
      <c r="AM35" s="63">
        <v>139</v>
      </c>
      <c r="AN35" s="63">
        <v>446</v>
      </c>
      <c r="AO35" s="63">
        <v>94</v>
      </c>
      <c r="AP35" s="63">
        <v>121</v>
      </c>
      <c r="AQ35" s="63">
        <v>173</v>
      </c>
      <c r="AR35" s="63">
        <v>4</v>
      </c>
      <c r="AS35" s="63">
        <v>2</v>
      </c>
      <c r="AT35" s="63">
        <v>14</v>
      </c>
      <c r="AU35" s="63">
        <v>96</v>
      </c>
      <c r="AV35" s="63">
        <v>155</v>
      </c>
      <c r="AW35" s="50">
        <v>0</v>
      </c>
      <c r="AX35" s="69">
        <v>5107</v>
      </c>
      <c r="AY35" s="69">
        <v>34363</v>
      </c>
      <c r="AZ35" s="54">
        <v>1547</v>
      </c>
      <c r="BA35" s="54">
        <v>5752</v>
      </c>
      <c r="BB35" s="54">
        <v>482</v>
      </c>
      <c r="BC35" s="54">
        <v>1033</v>
      </c>
      <c r="BD35" s="54">
        <v>1590</v>
      </c>
      <c r="BE35" s="70">
        <v>1672</v>
      </c>
      <c r="BF35" s="63">
        <v>453</v>
      </c>
      <c r="BG35" s="71">
        <v>3715</v>
      </c>
      <c r="BH35" s="67"/>
      <c r="BI35" s="68"/>
      <c r="BJ35" s="72">
        <v>1866</v>
      </c>
      <c r="BK35" s="62"/>
      <c r="BL35" s="70">
        <v>2571</v>
      </c>
      <c r="BM35" s="70">
        <v>261</v>
      </c>
      <c r="BN35" s="70">
        <v>135</v>
      </c>
      <c r="BO35" s="70">
        <v>1427</v>
      </c>
      <c r="BP35" s="73">
        <v>43</v>
      </c>
      <c r="BQ35" s="74">
        <v>823</v>
      </c>
      <c r="BR35" s="54">
        <v>422</v>
      </c>
      <c r="BS35" s="75">
        <v>108</v>
      </c>
      <c r="BT35" s="76">
        <v>75</v>
      </c>
      <c r="BU35" s="77">
        <v>25</v>
      </c>
      <c r="BV35" s="78">
        <v>1074</v>
      </c>
      <c r="BW35" s="79">
        <v>358</v>
      </c>
      <c r="BX35" s="69">
        <v>607</v>
      </c>
      <c r="BY35" s="70">
        <v>164</v>
      </c>
      <c r="BZ35" s="70">
        <v>218</v>
      </c>
      <c r="CA35" s="70">
        <v>303</v>
      </c>
      <c r="CB35" s="70">
        <v>6</v>
      </c>
      <c r="CC35" s="70">
        <v>122</v>
      </c>
      <c r="CD35" s="70">
        <v>12</v>
      </c>
      <c r="CE35" s="73">
        <v>0</v>
      </c>
    </row>
    <row r="36" spans="2:83" x14ac:dyDescent="0.3">
      <c r="B36" s="46">
        <v>5</v>
      </c>
      <c r="C36" s="47">
        <v>43496</v>
      </c>
      <c r="D36" s="48">
        <v>23</v>
      </c>
      <c r="E36" s="49">
        <v>1736</v>
      </c>
      <c r="F36" s="50">
        <v>318</v>
      </c>
      <c r="G36" s="51">
        <v>4.2124878993223618</v>
      </c>
      <c r="H36" s="52">
        <v>6.4899328859060406</v>
      </c>
      <c r="I36" s="53">
        <v>1341</v>
      </c>
      <c r="J36" s="54">
        <v>2066</v>
      </c>
      <c r="K36" s="54">
        <v>8703</v>
      </c>
      <c r="L36" s="55">
        <v>7767</v>
      </c>
      <c r="M36" s="56">
        <v>536.04100000000005</v>
      </c>
      <c r="N36" s="57">
        <v>1305.4499999999998</v>
      </c>
      <c r="O36" s="58">
        <v>555.30000000000007</v>
      </c>
      <c r="P36" s="59">
        <v>15.672609400324147</v>
      </c>
      <c r="Q36" s="60">
        <v>712.7</v>
      </c>
      <c r="R36" s="61">
        <v>12.211309106215799</v>
      </c>
      <c r="S36" s="48"/>
      <c r="T36" s="50"/>
      <c r="U36" s="62">
        <v>0</v>
      </c>
      <c r="V36" s="63">
        <v>53</v>
      </c>
      <c r="W36" s="50">
        <v>52</v>
      </c>
      <c r="X36" s="48">
        <v>46</v>
      </c>
      <c r="Y36" s="63">
        <v>96</v>
      </c>
      <c r="Z36" s="63">
        <v>188</v>
      </c>
      <c r="AA36" s="64">
        <v>189.3</v>
      </c>
      <c r="AB36" s="65">
        <v>36.869</v>
      </c>
      <c r="AC36" s="66"/>
      <c r="AD36" s="67"/>
      <c r="AE36" s="68"/>
      <c r="AF36" s="48">
        <v>118</v>
      </c>
      <c r="AG36" s="63">
        <v>188</v>
      </c>
      <c r="AH36" s="63">
        <v>41</v>
      </c>
      <c r="AI36" s="63">
        <v>94</v>
      </c>
      <c r="AJ36" s="63">
        <v>41</v>
      </c>
      <c r="AK36" s="63">
        <v>186</v>
      </c>
      <c r="AL36" s="63">
        <v>103</v>
      </c>
      <c r="AM36" s="63">
        <v>93</v>
      </c>
      <c r="AN36" s="63">
        <v>383</v>
      </c>
      <c r="AO36" s="63">
        <v>109</v>
      </c>
      <c r="AP36" s="63">
        <v>163</v>
      </c>
      <c r="AQ36" s="63">
        <v>172</v>
      </c>
      <c r="AR36" s="63">
        <v>1</v>
      </c>
      <c r="AS36" s="63">
        <v>2</v>
      </c>
      <c r="AT36" s="63">
        <v>7</v>
      </c>
      <c r="AU36" s="63">
        <v>99</v>
      </c>
      <c r="AV36" s="63">
        <v>218</v>
      </c>
      <c r="AW36" s="50">
        <v>0</v>
      </c>
      <c r="AX36" s="69">
        <v>3356</v>
      </c>
      <c r="AY36" s="69">
        <v>24434</v>
      </c>
      <c r="AZ36" s="54">
        <v>1127</v>
      </c>
      <c r="BA36" s="54">
        <v>2805</v>
      </c>
      <c r="BB36" s="54">
        <v>163</v>
      </c>
      <c r="BC36" s="54">
        <v>280</v>
      </c>
      <c r="BD36" s="54">
        <v>1028</v>
      </c>
      <c r="BE36" s="70">
        <v>1725</v>
      </c>
      <c r="BF36" s="63">
        <v>202</v>
      </c>
      <c r="BG36" s="71">
        <v>2955</v>
      </c>
      <c r="BH36" s="67"/>
      <c r="BI36" s="68"/>
      <c r="BJ36" s="72">
        <v>1193</v>
      </c>
      <c r="BK36" s="62"/>
      <c r="BL36" s="70">
        <v>2053</v>
      </c>
      <c r="BM36" s="70">
        <v>106</v>
      </c>
      <c r="BN36" s="70">
        <v>166</v>
      </c>
      <c r="BO36" s="70">
        <v>893</v>
      </c>
      <c r="BP36" s="73">
        <v>28</v>
      </c>
      <c r="BQ36" s="74">
        <v>698</v>
      </c>
      <c r="BR36" s="54">
        <v>331</v>
      </c>
      <c r="BS36" s="75">
        <v>114</v>
      </c>
      <c r="BT36" s="76">
        <v>72.907153729071538</v>
      </c>
      <c r="BU36" s="77">
        <v>27.092846270928462</v>
      </c>
      <c r="BV36" s="78">
        <v>958</v>
      </c>
      <c r="BW36" s="79">
        <v>356</v>
      </c>
      <c r="BX36" s="69">
        <v>488</v>
      </c>
      <c r="BY36" s="70">
        <v>160</v>
      </c>
      <c r="BZ36" s="70">
        <v>229</v>
      </c>
      <c r="CA36" s="70">
        <v>310</v>
      </c>
      <c r="CB36" s="70">
        <v>4</v>
      </c>
      <c r="CC36" s="70">
        <v>111</v>
      </c>
      <c r="CD36" s="70">
        <v>12</v>
      </c>
      <c r="CE36" s="73">
        <v>0</v>
      </c>
    </row>
    <row r="37" spans="2:83" x14ac:dyDescent="0.3">
      <c r="B37" s="46">
        <v>5</v>
      </c>
      <c r="C37" s="47">
        <v>43497</v>
      </c>
      <c r="D37" s="48">
        <v>5</v>
      </c>
      <c r="E37" s="49">
        <v>1654</v>
      </c>
      <c r="F37" s="50">
        <v>123</v>
      </c>
      <c r="G37" s="51">
        <v>3.5883977900552488</v>
      </c>
      <c r="H37" s="52">
        <v>5.336894001643385</v>
      </c>
      <c r="I37" s="53">
        <v>1217</v>
      </c>
      <c r="J37" s="54">
        <v>1810</v>
      </c>
      <c r="K37" s="54">
        <v>6495</v>
      </c>
      <c r="L37" s="55">
        <v>4995.5</v>
      </c>
      <c r="M37" s="56">
        <v>299</v>
      </c>
      <c r="N37" s="57">
        <v>974.25</v>
      </c>
      <c r="O37" s="58">
        <v>478.37</v>
      </c>
      <c r="P37" s="59">
        <v>13.577356439576061</v>
      </c>
      <c r="Q37" s="60">
        <v>617.04000000000008</v>
      </c>
      <c r="R37" s="61">
        <v>10.526059898872033</v>
      </c>
      <c r="S37" s="48"/>
      <c r="T37" s="50"/>
      <c r="U37" s="62">
        <v>0</v>
      </c>
      <c r="V37" s="63">
        <v>111</v>
      </c>
      <c r="W37" s="50">
        <v>29</v>
      </c>
      <c r="X37" s="48">
        <v>50</v>
      </c>
      <c r="Y37" s="63">
        <v>180</v>
      </c>
      <c r="Z37" s="63">
        <v>409</v>
      </c>
      <c r="AA37" s="64">
        <v>1467.3</v>
      </c>
      <c r="AB37" s="65">
        <v>78.8</v>
      </c>
      <c r="AC37" s="66"/>
      <c r="AD37" s="67"/>
      <c r="AE37" s="68"/>
      <c r="AF37" s="48">
        <v>154</v>
      </c>
      <c r="AG37" s="63">
        <v>169</v>
      </c>
      <c r="AH37" s="63">
        <v>21</v>
      </c>
      <c r="AI37" s="63">
        <v>59</v>
      </c>
      <c r="AJ37" s="63">
        <v>50</v>
      </c>
      <c r="AK37" s="63">
        <v>182</v>
      </c>
      <c r="AL37" s="63">
        <v>131</v>
      </c>
      <c r="AM37" s="63">
        <v>108</v>
      </c>
      <c r="AN37" s="63">
        <v>390</v>
      </c>
      <c r="AO37" s="63">
        <v>77</v>
      </c>
      <c r="AP37" s="63">
        <v>146</v>
      </c>
      <c r="AQ37" s="63">
        <v>128</v>
      </c>
      <c r="AR37" s="63">
        <v>8</v>
      </c>
      <c r="AS37" s="63">
        <v>0</v>
      </c>
      <c r="AT37" s="63">
        <v>11</v>
      </c>
      <c r="AU37" s="63">
        <v>38</v>
      </c>
      <c r="AV37" s="63">
        <v>74</v>
      </c>
      <c r="AW37" s="50">
        <v>11</v>
      </c>
      <c r="AX37" s="69">
        <v>3604</v>
      </c>
      <c r="AY37" s="69">
        <v>21514</v>
      </c>
      <c r="AZ37" s="54">
        <v>1493</v>
      </c>
      <c r="BA37" s="54">
        <v>5152</v>
      </c>
      <c r="BB37" s="54">
        <v>659</v>
      </c>
      <c r="BC37" s="54">
        <v>1284</v>
      </c>
      <c r="BD37" s="54"/>
      <c r="BE37" s="70"/>
      <c r="BF37" s="63">
        <v>447</v>
      </c>
      <c r="BG37" s="71">
        <v>447</v>
      </c>
      <c r="BH37" s="67"/>
      <c r="BI37" s="68"/>
      <c r="BJ37" s="72">
        <v>1201</v>
      </c>
      <c r="BK37" s="62"/>
      <c r="BL37" s="70">
        <v>1748</v>
      </c>
      <c r="BM37" s="70">
        <v>271</v>
      </c>
      <c r="BN37" s="70">
        <v>82</v>
      </c>
      <c r="BO37" s="70">
        <v>825</v>
      </c>
      <c r="BP37" s="73">
        <v>23</v>
      </c>
      <c r="BQ37" s="74">
        <v>648</v>
      </c>
      <c r="BR37" s="54">
        <v>381</v>
      </c>
      <c r="BS37" s="75">
        <v>76</v>
      </c>
      <c r="BT37" s="76">
        <v>76.206322795341094</v>
      </c>
      <c r="BU37" s="77">
        <v>23.793677204658902</v>
      </c>
      <c r="BV37" s="78">
        <v>916</v>
      </c>
      <c r="BW37" s="79">
        <v>286</v>
      </c>
      <c r="BX37" s="69">
        <v>465</v>
      </c>
      <c r="BY37" s="70">
        <v>169</v>
      </c>
      <c r="BZ37" s="70">
        <v>181</v>
      </c>
      <c r="CA37" s="70">
        <v>282</v>
      </c>
      <c r="CB37" s="70">
        <v>14</v>
      </c>
      <c r="CC37" s="70">
        <v>86</v>
      </c>
      <c r="CD37" s="70">
        <v>5</v>
      </c>
      <c r="CE37" s="73">
        <v>0</v>
      </c>
    </row>
    <row r="38" spans="2:83" x14ac:dyDescent="0.3">
      <c r="B38" s="46">
        <v>6</v>
      </c>
      <c r="C38" s="47">
        <v>43500</v>
      </c>
      <c r="D38" s="48">
        <v>4</v>
      </c>
      <c r="E38" s="49">
        <v>2865</v>
      </c>
      <c r="F38" s="50">
        <v>230</v>
      </c>
      <c r="G38" s="51">
        <v>2.5259761213294611</v>
      </c>
      <c r="H38" s="52">
        <v>3.2521811383464896</v>
      </c>
      <c r="I38" s="53">
        <v>2407</v>
      </c>
      <c r="J38" s="54">
        <v>3099</v>
      </c>
      <c r="K38" s="54">
        <v>7828</v>
      </c>
      <c r="L38" s="55">
        <v>5823.5</v>
      </c>
      <c r="M38" s="56">
        <v>451.68</v>
      </c>
      <c r="N38" s="57">
        <v>1174.2</v>
      </c>
      <c r="O38" s="58">
        <v>587.53</v>
      </c>
      <c r="P38" s="59">
        <v>13.323574966384696</v>
      </c>
      <c r="Q38" s="60">
        <v>718.26</v>
      </c>
      <c r="R38" s="61">
        <v>10.898560409879432</v>
      </c>
      <c r="S38" s="48"/>
      <c r="T38" s="50"/>
      <c r="U38" s="62">
        <v>0</v>
      </c>
      <c r="V38" s="63">
        <v>108</v>
      </c>
      <c r="W38" s="50">
        <v>108</v>
      </c>
      <c r="X38" s="48">
        <v>55</v>
      </c>
      <c r="Y38" s="63">
        <v>182</v>
      </c>
      <c r="Z38" s="63">
        <v>178</v>
      </c>
      <c r="AA38" s="64">
        <v>812.5</v>
      </c>
      <c r="AB38" s="65">
        <v>148.80000000000001</v>
      </c>
      <c r="AC38" s="66"/>
      <c r="AD38" s="67"/>
      <c r="AE38" s="68"/>
      <c r="AF38" s="48">
        <v>263</v>
      </c>
      <c r="AG38" s="63">
        <v>443</v>
      </c>
      <c r="AH38" s="63">
        <v>66</v>
      </c>
      <c r="AI38" s="63">
        <v>134</v>
      </c>
      <c r="AJ38" s="63">
        <v>94</v>
      </c>
      <c r="AK38" s="63">
        <v>457</v>
      </c>
      <c r="AL38" s="63">
        <v>240</v>
      </c>
      <c r="AM38" s="63">
        <v>144</v>
      </c>
      <c r="AN38" s="63">
        <v>525</v>
      </c>
      <c r="AO38" s="63">
        <v>111</v>
      </c>
      <c r="AP38" s="63">
        <v>161</v>
      </c>
      <c r="AQ38" s="63">
        <v>127</v>
      </c>
      <c r="AR38" s="63">
        <v>16</v>
      </c>
      <c r="AS38" s="63">
        <v>13</v>
      </c>
      <c r="AT38" s="63">
        <v>27</v>
      </c>
      <c r="AU38" s="63">
        <v>43</v>
      </c>
      <c r="AV38" s="63">
        <v>169</v>
      </c>
      <c r="AW38" s="50">
        <v>17</v>
      </c>
      <c r="AX38" s="69">
        <v>4914</v>
      </c>
      <c r="AY38" s="69">
        <v>26955</v>
      </c>
      <c r="AZ38" s="54">
        <v>1389</v>
      </c>
      <c r="BA38" s="54">
        <v>3344</v>
      </c>
      <c r="BB38" s="54">
        <v>608</v>
      </c>
      <c r="BC38" s="54">
        <v>1071</v>
      </c>
      <c r="BD38" s="54">
        <v>1553</v>
      </c>
      <c r="BE38" s="70">
        <v>2033</v>
      </c>
      <c r="BF38" s="63">
        <v>661</v>
      </c>
      <c r="BG38" s="71">
        <v>4247</v>
      </c>
      <c r="BH38" s="67"/>
      <c r="BI38" s="68"/>
      <c r="BJ38" s="72">
        <v>1267</v>
      </c>
      <c r="BK38" s="62"/>
      <c r="BL38" s="70">
        <v>2367</v>
      </c>
      <c r="BM38" s="70">
        <v>78</v>
      </c>
      <c r="BN38" s="70">
        <v>138</v>
      </c>
      <c r="BO38" s="70">
        <v>1041</v>
      </c>
      <c r="BP38" s="73">
        <v>10</v>
      </c>
      <c r="BQ38" s="74">
        <v>1678</v>
      </c>
      <c r="BR38" s="54">
        <v>373</v>
      </c>
      <c r="BS38" s="75">
        <v>135</v>
      </c>
      <c r="BT38" s="76">
        <v>83.215621105110102</v>
      </c>
      <c r="BU38" s="77">
        <v>16.784378894889905</v>
      </c>
      <c r="BV38" s="78">
        <v>2003</v>
      </c>
      <c r="BW38" s="79">
        <v>404</v>
      </c>
      <c r="BX38" s="69">
        <v>1188</v>
      </c>
      <c r="BY38" s="70">
        <v>204</v>
      </c>
      <c r="BZ38" s="70">
        <v>187</v>
      </c>
      <c r="CA38" s="70">
        <v>611</v>
      </c>
      <c r="CB38" s="70">
        <v>10</v>
      </c>
      <c r="CC38" s="70">
        <v>188</v>
      </c>
      <c r="CD38" s="70">
        <v>6</v>
      </c>
      <c r="CE38" s="73">
        <v>13</v>
      </c>
    </row>
    <row r="39" spans="2:83" x14ac:dyDescent="0.3">
      <c r="B39" s="46">
        <v>6</v>
      </c>
      <c r="C39" s="47">
        <v>43501</v>
      </c>
      <c r="D39" s="48">
        <v>0</v>
      </c>
      <c r="E39" s="49">
        <v>1493</v>
      </c>
      <c r="F39" s="50">
        <v>229</v>
      </c>
      <c r="G39" s="51">
        <v>3.9802555168408826</v>
      </c>
      <c r="H39" s="52">
        <v>5.7403685092127299</v>
      </c>
      <c r="I39" s="53">
        <v>1194</v>
      </c>
      <c r="J39" s="54">
        <v>1722</v>
      </c>
      <c r="K39" s="54">
        <v>6854</v>
      </c>
      <c r="L39" s="55">
        <v>12260.4</v>
      </c>
      <c r="M39" s="56">
        <v>366.24599999999998</v>
      </c>
      <c r="N39" s="57">
        <v>1028.0999999999999</v>
      </c>
      <c r="O39" s="58">
        <v>453.98</v>
      </c>
      <c r="P39" s="59">
        <v>15.097581391250715</v>
      </c>
      <c r="Q39" s="60">
        <v>593.57000000000005</v>
      </c>
      <c r="R39" s="61">
        <v>11.54707953569082</v>
      </c>
      <c r="S39" s="48"/>
      <c r="T39" s="50"/>
      <c r="U39" s="62">
        <v>0</v>
      </c>
      <c r="V39" s="63">
        <v>102</v>
      </c>
      <c r="W39" s="50">
        <v>85</v>
      </c>
      <c r="X39" s="48">
        <v>56</v>
      </c>
      <c r="Y39" s="63">
        <v>116</v>
      </c>
      <c r="Z39" s="63">
        <v>416</v>
      </c>
      <c r="AA39" s="64">
        <v>565.9</v>
      </c>
      <c r="AB39" s="65">
        <v>40.640999999999998</v>
      </c>
      <c r="AC39" s="66"/>
      <c r="AD39" s="67"/>
      <c r="AE39" s="68"/>
      <c r="AF39" s="48">
        <v>100</v>
      </c>
      <c r="AG39" s="63">
        <v>219</v>
      </c>
      <c r="AH39" s="63">
        <v>22</v>
      </c>
      <c r="AI39" s="63">
        <v>66</v>
      </c>
      <c r="AJ39" s="63">
        <v>61</v>
      </c>
      <c r="AK39" s="63">
        <v>188</v>
      </c>
      <c r="AL39" s="63">
        <v>131</v>
      </c>
      <c r="AM39" s="63">
        <v>102</v>
      </c>
      <c r="AN39" s="63">
        <v>323</v>
      </c>
      <c r="AO39" s="63">
        <v>78</v>
      </c>
      <c r="AP39" s="63">
        <v>97</v>
      </c>
      <c r="AQ39" s="63">
        <v>53</v>
      </c>
      <c r="AR39" s="63">
        <v>11</v>
      </c>
      <c r="AS39" s="63">
        <v>8</v>
      </c>
      <c r="AT39" s="63">
        <v>14</v>
      </c>
      <c r="AU39" s="63">
        <v>85</v>
      </c>
      <c r="AV39" s="63">
        <v>137</v>
      </c>
      <c r="AW39" s="50">
        <v>7</v>
      </c>
      <c r="AX39" s="69">
        <v>3722</v>
      </c>
      <c r="AY39" s="69">
        <v>27509</v>
      </c>
      <c r="AZ39" s="54">
        <v>1263</v>
      </c>
      <c r="BA39" s="54">
        <v>6232</v>
      </c>
      <c r="BB39" s="54">
        <v>229</v>
      </c>
      <c r="BC39" s="54">
        <v>535</v>
      </c>
      <c r="BD39" s="54">
        <v>1133</v>
      </c>
      <c r="BE39" s="70">
        <v>1611</v>
      </c>
      <c r="BF39" s="63">
        <v>335</v>
      </c>
      <c r="BG39" s="71">
        <v>3079</v>
      </c>
      <c r="BH39" s="67"/>
      <c r="BI39" s="68"/>
      <c r="BJ39" s="72">
        <v>1390</v>
      </c>
      <c r="BK39" s="62"/>
      <c r="BL39" s="70">
        <v>1676</v>
      </c>
      <c r="BM39" s="70">
        <v>269</v>
      </c>
      <c r="BN39" s="70">
        <v>157</v>
      </c>
      <c r="BO39" s="70">
        <v>925</v>
      </c>
      <c r="BP39" s="73">
        <v>39</v>
      </c>
      <c r="BQ39" s="74">
        <v>731</v>
      </c>
      <c r="BR39" s="54">
        <v>247</v>
      </c>
      <c r="BS39" s="75">
        <v>119</v>
      </c>
      <c r="BT39" s="76">
        <v>79.396984924623112</v>
      </c>
      <c r="BU39" s="77">
        <v>20.603015075376884</v>
      </c>
      <c r="BV39" s="78">
        <v>948</v>
      </c>
      <c r="BW39" s="79">
        <v>246</v>
      </c>
      <c r="BX39" s="69">
        <v>509</v>
      </c>
      <c r="BY39" s="70">
        <v>126</v>
      </c>
      <c r="BZ39" s="70">
        <v>130</v>
      </c>
      <c r="CA39" s="70">
        <v>313</v>
      </c>
      <c r="CB39" s="70">
        <v>9</v>
      </c>
      <c r="CC39" s="70">
        <v>85</v>
      </c>
      <c r="CD39" s="70">
        <v>1</v>
      </c>
      <c r="CE39" s="73">
        <v>21</v>
      </c>
    </row>
    <row r="40" spans="2:83" x14ac:dyDescent="0.3">
      <c r="B40" s="46">
        <v>6</v>
      </c>
      <c r="C40" s="47">
        <v>43502</v>
      </c>
      <c r="D40" s="48">
        <v>7</v>
      </c>
      <c r="E40" s="49">
        <v>1778</v>
      </c>
      <c r="F40" s="50">
        <v>387</v>
      </c>
      <c r="G40" s="51">
        <v>3.0639963167587476</v>
      </c>
      <c r="H40" s="52">
        <v>4.8969830757910229</v>
      </c>
      <c r="I40" s="53">
        <v>1359</v>
      </c>
      <c r="J40" s="54">
        <v>2172</v>
      </c>
      <c r="K40" s="54">
        <v>6655</v>
      </c>
      <c r="L40" s="55">
        <v>11333.5</v>
      </c>
      <c r="M40" s="56">
        <v>590.54200000000003</v>
      </c>
      <c r="N40" s="57">
        <v>998.25</v>
      </c>
      <c r="O40" s="58">
        <v>579.54</v>
      </c>
      <c r="P40" s="59">
        <v>11.48324533250509</v>
      </c>
      <c r="Q40" s="60">
        <v>742.22</v>
      </c>
      <c r="R40" s="61">
        <v>8.9663442106114086</v>
      </c>
      <c r="S40" s="48"/>
      <c r="T40" s="50"/>
      <c r="U40" s="62">
        <v>0</v>
      </c>
      <c r="V40" s="63">
        <v>180</v>
      </c>
      <c r="W40" s="50">
        <v>203</v>
      </c>
      <c r="X40" s="48">
        <v>45</v>
      </c>
      <c r="Y40" s="63">
        <v>214</v>
      </c>
      <c r="Z40" s="63">
        <v>661</v>
      </c>
      <c r="AA40" s="64">
        <v>955.1</v>
      </c>
      <c r="AB40" s="65">
        <v>115.837</v>
      </c>
      <c r="AC40" s="66"/>
      <c r="AD40" s="67"/>
      <c r="AE40" s="68"/>
      <c r="AF40" s="48">
        <v>112</v>
      </c>
      <c r="AG40" s="63">
        <v>231</v>
      </c>
      <c r="AH40" s="63">
        <v>37</v>
      </c>
      <c r="AI40" s="63">
        <v>98</v>
      </c>
      <c r="AJ40" s="63">
        <v>72</v>
      </c>
      <c r="AK40" s="63">
        <v>162</v>
      </c>
      <c r="AL40" s="63">
        <v>143</v>
      </c>
      <c r="AM40" s="63">
        <v>172</v>
      </c>
      <c r="AN40" s="63">
        <v>394</v>
      </c>
      <c r="AO40" s="63">
        <v>74</v>
      </c>
      <c r="AP40" s="63">
        <v>1119</v>
      </c>
      <c r="AQ40" s="63">
        <v>161</v>
      </c>
      <c r="AR40" s="63">
        <v>8</v>
      </c>
      <c r="AS40" s="63">
        <v>11</v>
      </c>
      <c r="AT40" s="63">
        <v>11</v>
      </c>
      <c r="AU40" s="63">
        <v>51</v>
      </c>
      <c r="AV40" s="63">
        <v>232</v>
      </c>
      <c r="AW40" s="50">
        <v>13</v>
      </c>
      <c r="AX40" s="69">
        <v>4958</v>
      </c>
      <c r="AY40" s="69">
        <v>28813</v>
      </c>
      <c r="AZ40" s="54">
        <v>1916</v>
      </c>
      <c r="BA40" s="54">
        <v>6403</v>
      </c>
      <c r="BB40" s="54">
        <v>517</v>
      </c>
      <c r="BC40" s="54">
        <v>1150</v>
      </c>
      <c r="BD40" s="54">
        <v>1384</v>
      </c>
      <c r="BE40" s="70">
        <v>1773</v>
      </c>
      <c r="BF40" s="63">
        <v>478</v>
      </c>
      <c r="BG40" s="71">
        <v>3635</v>
      </c>
      <c r="BH40" s="67"/>
      <c r="BI40" s="68"/>
      <c r="BJ40" s="72">
        <v>1505</v>
      </c>
      <c r="BK40" s="62"/>
      <c r="BL40" s="70">
        <v>2371</v>
      </c>
      <c r="BM40" s="70">
        <v>177</v>
      </c>
      <c r="BN40" s="70">
        <v>179</v>
      </c>
      <c r="BO40" s="70">
        <v>1118</v>
      </c>
      <c r="BP40" s="73">
        <v>31</v>
      </c>
      <c r="BQ40" s="74">
        <v>740</v>
      </c>
      <c r="BR40" s="54">
        <v>330</v>
      </c>
      <c r="BS40" s="75">
        <v>72</v>
      </c>
      <c r="BT40" s="76">
        <v>76.747608535688002</v>
      </c>
      <c r="BU40" s="77">
        <v>23.252391464311994</v>
      </c>
      <c r="BV40" s="78">
        <v>1043</v>
      </c>
      <c r="BW40" s="79">
        <v>316</v>
      </c>
      <c r="BX40" s="62">
        <v>527</v>
      </c>
      <c r="BY40" s="63">
        <v>186</v>
      </c>
      <c r="BZ40" s="63">
        <v>134</v>
      </c>
      <c r="CA40" s="63">
        <v>330</v>
      </c>
      <c r="CB40" s="63">
        <v>20</v>
      </c>
      <c r="CC40" s="63">
        <v>139</v>
      </c>
      <c r="CD40" s="63">
        <v>11</v>
      </c>
      <c r="CE40" s="50">
        <v>12</v>
      </c>
    </row>
    <row r="41" spans="2:83" x14ac:dyDescent="0.3">
      <c r="B41" s="46">
        <v>6</v>
      </c>
      <c r="C41" s="47">
        <v>43503</v>
      </c>
      <c r="D41" s="48">
        <v>12</v>
      </c>
      <c r="E41" s="49">
        <v>1498</v>
      </c>
      <c r="F41" s="50">
        <v>347</v>
      </c>
      <c r="G41" s="51">
        <v>4.2288637587506734</v>
      </c>
      <c r="H41" s="52">
        <v>6.9680567879325643</v>
      </c>
      <c r="I41" s="53">
        <v>1127</v>
      </c>
      <c r="J41" s="54">
        <v>1857</v>
      </c>
      <c r="K41" s="54">
        <v>7853</v>
      </c>
      <c r="L41" s="55">
        <v>5519</v>
      </c>
      <c r="M41" s="56">
        <v>482.911</v>
      </c>
      <c r="N41" s="57">
        <v>1177.95</v>
      </c>
      <c r="O41" s="58">
        <v>542.64</v>
      </c>
      <c r="P41" s="59">
        <v>14.471841368126197</v>
      </c>
      <c r="Q41" s="60">
        <v>699.08999999999992</v>
      </c>
      <c r="R41" s="61">
        <v>11.233174555493571</v>
      </c>
      <c r="S41" s="48"/>
      <c r="T41" s="50"/>
      <c r="U41" s="62">
        <v>0</v>
      </c>
      <c r="V41" s="63">
        <v>72</v>
      </c>
      <c r="W41" s="50">
        <v>80</v>
      </c>
      <c r="X41" s="48">
        <v>57</v>
      </c>
      <c r="Y41" s="63">
        <v>133</v>
      </c>
      <c r="Z41" s="63">
        <v>248</v>
      </c>
      <c r="AA41" s="64">
        <v>1295</v>
      </c>
      <c r="AB41" s="65">
        <v>83.177000000000007</v>
      </c>
      <c r="AC41" s="66"/>
      <c r="AD41" s="67"/>
      <c r="AE41" s="68"/>
      <c r="AF41" s="48">
        <v>79</v>
      </c>
      <c r="AG41" s="63">
        <v>170</v>
      </c>
      <c r="AH41" s="63">
        <v>39</v>
      </c>
      <c r="AI41" s="63">
        <v>70</v>
      </c>
      <c r="AJ41" s="63">
        <v>41</v>
      </c>
      <c r="AK41" s="63">
        <v>122</v>
      </c>
      <c r="AL41" s="63">
        <v>125</v>
      </c>
      <c r="AM41" s="63">
        <v>97</v>
      </c>
      <c r="AN41" s="63">
        <v>305</v>
      </c>
      <c r="AO41" s="63">
        <v>118</v>
      </c>
      <c r="AP41" s="63">
        <v>159</v>
      </c>
      <c r="AQ41" s="63">
        <v>101</v>
      </c>
      <c r="AR41" s="63">
        <v>2</v>
      </c>
      <c r="AS41" s="63">
        <v>11</v>
      </c>
      <c r="AT41" s="63">
        <v>5</v>
      </c>
      <c r="AU41" s="63">
        <v>39</v>
      </c>
      <c r="AV41" s="63">
        <v>289</v>
      </c>
      <c r="AW41" s="50">
        <v>18</v>
      </c>
      <c r="AX41" s="69">
        <v>2598</v>
      </c>
      <c r="AY41" s="69">
        <v>16404</v>
      </c>
      <c r="AZ41" s="54">
        <v>900</v>
      </c>
      <c r="BA41" s="54">
        <v>5850</v>
      </c>
      <c r="BB41" s="54">
        <v>213</v>
      </c>
      <c r="BC41" s="54">
        <v>336</v>
      </c>
      <c r="BD41" s="54">
        <v>777</v>
      </c>
      <c r="BE41" s="70">
        <v>1883</v>
      </c>
      <c r="BF41" s="63">
        <v>259</v>
      </c>
      <c r="BG41" s="71">
        <v>2919</v>
      </c>
      <c r="BH41" s="67"/>
      <c r="BI41" s="68"/>
      <c r="BJ41" s="72">
        <v>1288</v>
      </c>
      <c r="BK41" s="62"/>
      <c r="BL41" s="70">
        <v>2141</v>
      </c>
      <c r="BM41" s="70">
        <v>201</v>
      </c>
      <c r="BN41" s="70">
        <v>164</v>
      </c>
      <c r="BO41" s="70">
        <v>899</v>
      </c>
      <c r="BP41" s="73">
        <v>24</v>
      </c>
      <c r="BQ41" s="74">
        <v>690</v>
      </c>
      <c r="BR41" s="54">
        <v>280</v>
      </c>
      <c r="BS41" s="75">
        <v>81</v>
      </c>
      <c r="BT41" s="76">
        <v>72.978303747534511</v>
      </c>
      <c r="BU41" s="77">
        <v>27.021696252465482</v>
      </c>
      <c r="BV41" s="78">
        <v>1110</v>
      </c>
      <c r="BW41" s="79">
        <v>411</v>
      </c>
      <c r="BX41" s="62">
        <v>513</v>
      </c>
      <c r="BY41" s="63">
        <v>197</v>
      </c>
      <c r="BZ41" s="63">
        <v>208</v>
      </c>
      <c r="CA41" s="63">
        <v>400</v>
      </c>
      <c r="CB41" s="63">
        <v>17</v>
      </c>
      <c r="CC41" s="63">
        <v>177</v>
      </c>
      <c r="CD41" s="63">
        <v>9</v>
      </c>
      <c r="CE41" s="50">
        <v>0</v>
      </c>
    </row>
    <row r="42" spans="2:83" x14ac:dyDescent="0.3">
      <c r="B42" s="46">
        <v>6</v>
      </c>
      <c r="C42" s="47">
        <v>43504</v>
      </c>
      <c r="D42" s="48">
        <v>12</v>
      </c>
      <c r="E42" s="49">
        <v>1619</v>
      </c>
      <c r="F42" s="50">
        <v>288</v>
      </c>
      <c r="G42" s="51">
        <v>3.8071912454403334</v>
      </c>
      <c r="H42" s="52">
        <v>6.2284739982949704</v>
      </c>
      <c r="I42" s="53">
        <v>1173</v>
      </c>
      <c r="J42" s="54">
        <v>1919</v>
      </c>
      <c r="K42" s="54">
        <v>7306</v>
      </c>
      <c r="L42" s="55">
        <v>5755.1</v>
      </c>
      <c r="M42" s="56">
        <v>578.77499999999998</v>
      </c>
      <c r="N42" s="57">
        <v>1095.9000000000001</v>
      </c>
      <c r="O42" s="58">
        <v>443.79000000000008</v>
      </c>
      <c r="P42" s="59">
        <v>16.462741386691899</v>
      </c>
      <c r="Q42" s="60">
        <v>596.41999999999996</v>
      </c>
      <c r="R42" s="61">
        <v>12.249756882733644</v>
      </c>
      <c r="S42" s="48"/>
      <c r="T42" s="50"/>
      <c r="U42" s="62">
        <v>0</v>
      </c>
      <c r="V42" s="63">
        <v>96</v>
      </c>
      <c r="W42" s="50">
        <v>92</v>
      </c>
      <c r="X42" s="48">
        <v>49</v>
      </c>
      <c r="Y42" s="63">
        <v>192</v>
      </c>
      <c r="Z42" s="63">
        <v>491</v>
      </c>
      <c r="AA42" s="64">
        <v>1496.7</v>
      </c>
      <c r="AB42" s="65">
        <v>144.40299999999999</v>
      </c>
      <c r="AC42" s="66"/>
      <c r="AD42" s="67"/>
      <c r="AE42" s="68"/>
      <c r="AF42" s="48">
        <v>193</v>
      </c>
      <c r="AG42" s="63">
        <v>437</v>
      </c>
      <c r="AH42" s="63">
        <v>87</v>
      </c>
      <c r="AI42" s="63">
        <v>146</v>
      </c>
      <c r="AJ42" s="63">
        <v>112</v>
      </c>
      <c r="AK42" s="63">
        <v>370</v>
      </c>
      <c r="AL42" s="63">
        <v>216</v>
      </c>
      <c r="AM42" s="63">
        <v>187</v>
      </c>
      <c r="AN42" s="63">
        <v>440</v>
      </c>
      <c r="AO42" s="63">
        <v>89</v>
      </c>
      <c r="AP42" s="63">
        <v>112</v>
      </c>
      <c r="AQ42" s="63">
        <v>71</v>
      </c>
      <c r="AR42" s="63">
        <v>0</v>
      </c>
      <c r="AS42" s="63">
        <v>2</v>
      </c>
      <c r="AT42" s="63">
        <v>27</v>
      </c>
      <c r="AU42" s="63">
        <v>50</v>
      </c>
      <c r="AV42" s="63">
        <v>91</v>
      </c>
      <c r="AW42" s="50">
        <v>5</v>
      </c>
      <c r="AX42" s="69">
        <v>2752</v>
      </c>
      <c r="AY42" s="69">
        <v>17824</v>
      </c>
      <c r="AZ42" s="54">
        <v>1027</v>
      </c>
      <c r="BA42" s="54">
        <v>2187</v>
      </c>
      <c r="BB42" s="54">
        <v>480</v>
      </c>
      <c r="BC42" s="54">
        <v>1008</v>
      </c>
      <c r="BD42" s="54">
        <v>820</v>
      </c>
      <c r="BE42" s="70">
        <v>1573</v>
      </c>
      <c r="BF42" s="63">
        <v>339</v>
      </c>
      <c r="BG42" s="71">
        <v>2732</v>
      </c>
      <c r="BH42" s="67"/>
      <c r="BI42" s="68"/>
      <c r="BJ42" s="72">
        <v>1430</v>
      </c>
      <c r="BK42" s="62"/>
      <c r="BL42" s="70">
        <v>1405</v>
      </c>
      <c r="BM42" s="70">
        <v>429</v>
      </c>
      <c r="BN42" s="70">
        <v>137</v>
      </c>
      <c r="BO42" s="70">
        <v>838</v>
      </c>
      <c r="BP42" s="73">
        <v>26</v>
      </c>
      <c r="BQ42" s="74">
        <v>600</v>
      </c>
      <c r="BR42" s="54">
        <v>304</v>
      </c>
      <c r="BS42" s="75">
        <v>81</v>
      </c>
      <c r="BT42" s="76">
        <v>73.496076721883171</v>
      </c>
      <c r="BU42" s="77">
        <v>26.503923278116826</v>
      </c>
      <c r="BV42" s="78">
        <v>843</v>
      </c>
      <c r="BW42" s="79">
        <v>304</v>
      </c>
      <c r="BX42" s="62">
        <v>411</v>
      </c>
      <c r="BY42" s="63">
        <v>172</v>
      </c>
      <c r="BZ42" s="63">
        <v>180</v>
      </c>
      <c r="CA42" s="63">
        <v>260</v>
      </c>
      <c r="CB42" s="63">
        <v>14</v>
      </c>
      <c r="CC42" s="63">
        <v>102</v>
      </c>
      <c r="CD42" s="63">
        <v>8</v>
      </c>
      <c r="CE42" s="50">
        <v>0</v>
      </c>
    </row>
    <row r="43" spans="2:83" x14ac:dyDescent="0.3">
      <c r="B43" s="46">
        <v>7</v>
      </c>
      <c r="C43" s="47">
        <v>43507</v>
      </c>
      <c r="D43" s="48">
        <v>2</v>
      </c>
      <c r="E43" s="49">
        <v>2536</v>
      </c>
      <c r="F43" s="50">
        <v>147</v>
      </c>
      <c r="G43" s="51">
        <v>2.3980190755685986</v>
      </c>
      <c r="H43" s="52">
        <v>2.9392985611510793</v>
      </c>
      <c r="I43" s="53">
        <v>2224</v>
      </c>
      <c r="J43" s="54">
        <v>2726</v>
      </c>
      <c r="K43" s="54">
        <v>6537</v>
      </c>
      <c r="L43" s="55">
        <v>5636.2</v>
      </c>
      <c r="M43" s="56">
        <v>384.49799999999999</v>
      </c>
      <c r="N43" s="57">
        <v>980.55</v>
      </c>
      <c r="O43" s="58">
        <v>529.96</v>
      </c>
      <c r="P43" s="59">
        <v>12.334893199486753</v>
      </c>
      <c r="Q43" s="60">
        <v>706.28</v>
      </c>
      <c r="R43" s="61">
        <v>9.2555360480262792</v>
      </c>
      <c r="S43" s="48"/>
      <c r="T43" s="50"/>
      <c r="U43" s="62">
        <v>0</v>
      </c>
      <c r="V43" s="63">
        <v>77</v>
      </c>
      <c r="W43" s="50">
        <v>22</v>
      </c>
      <c r="X43" s="48">
        <v>54</v>
      </c>
      <c r="Y43" s="63">
        <v>123</v>
      </c>
      <c r="Z43" s="63">
        <v>269</v>
      </c>
      <c r="AA43" s="64">
        <v>911.6</v>
      </c>
      <c r="AB43" s="65">
        <v>68.540999999999997</v>
      </c>
      <c r="AC43" s="66"/>
      <c r="AD43" s="67"/>
      <c r="AE43" s="68"/>
      <c r="AF43" s="48">
        <v>84</v>
      </c>
      <c r="AG43" s="63">
        <v>172</v>
      </c>
      <c r="AH43" s="63">
        <v>23</v>
      </c>
      <c r="AI43" s="63">
        <v>66</v>
      </c>
      <c r="AJ43" s="63">
        <v>48</v>
      </c>
      <c r="AK43" s="63">
        <v>140</v>
      </c>
      <c r="AL43" s="63">
        <v>142</v>
      </c>
      <c r="AM43" s="63">
        <v>100</v>
      </c>
      <c r="AN43" s="63">
        <v>479</v>
      </c>
      <c r="AO43" s="63">
        <v>113</v>
      </c>
      <c r="AP43" s="63">
        <v>122</v>
      </c>
      <c r="AQ43" s="63">
        <v>111</v>
      </c>
      <c r="AR43" s="63">
        <v>1</v>
      </c>
      <c r="AS43" s="63">
        <v>4</v>
      </c>
      <c r="AT43" s="63">
        <v>12</v>
      </c>
      <c r="AU43" s="63">
        <v>73</v>
      </c>
      <c r="AV43" s="63">
        <v>203</v>
      </c>
      <c r="AW43" s="50">
        <v>12</v>
      </c>
      <c r="AX43" s="69">
        <v>4725</v>
      </c>
      <c r="AY43" s="69">
        <v>22060</v>
      </c>
      <c r="AZ43" s="54">
        <v>1300</v>
      </c>
      <c r="BA43" s="54">
        <v>3290</v>
      </c>
      <c r="BB43" s="54">
        <v>560</v>
      </c>
      <c r="BC43" s="54">
        <v>1116</v>
      </c>
      <c r="BD43" s="54">
        <v>1473</v>
      </c>
      <c r="BE43" s="70">
        <v>1698</v>
      </c>
      <c r="BF43" s="63">
        <v>651</v>
      </c>
      <c r="BG43" s="71">
        <v>3822</v>
      </c>
      <c r="BH43" s="67"/>
      <c r="BI43" s="68"/>
      <c r="BJ43" s="72">
        <v>1613</v>
      </c>
      <c r="BK43" s="62"/>
      <c r="BL43" s="70">
        <v>2077</v>
      </c>
      <c r="BM43" s="70">
        <v>483</v>
      </c>
      <c r="BN43" s="70">
        <v>78</v>
      </c>
      <c r="BO43" s="70">
        <v>1037</v>
      </c>
      <c r="BP43" s="73">
        <v>15</v>
      </c>
      <c r="BQ43" s="74">
        <v>1593</v>
      </c>
      <c r="BR43" s="54">
        <v>341</v>
      </c>
      <c r="BS43" s="75">
        <v>82</v>
      </c>
      <c r="BT43" s="76">
        <v>84.338433843384337</v>
      </c>
      <c r="BU43" s="77">
        <v>15.661566156615661</v>
      </c>
      <c r="BV43" s="78">
        <v>1874</v>
      </c>
      <c r="BW43" s="79">
        <v>348</v>
      </c>
      <c r="BX43" s="62">
        <v>1086</v>
      </c>
      <c r="BY43" s="63">
        <v>191</v>
      </c>
      <c r="BZ43" s="63">
        <v>120</v>
      </c>
      <c r="CA43" s="63">
        <v>597</v>
      </c>
      <c r="CB43" s="63">
        <v>8</v>
      </c>
      <c r="CC43" s="63">
        <v>202</v>
      </c>
      <c r="CD43" s="63">
        <v>7</v>
      </c>
      <c r="CE43" s="50">
        <v>11</v>
      </c>
    </row>
    <row r="44" spans="2:83" x14ac:dyDescent="0.3">
      <c r="B44" s="46">
        <v>7</v>
      </c>
      <c r="C44" s="47">
        <v>43508</v>
      </c>
      <c r="D44" s="48">
        <v>0</v>
      </c>
      <c r="E44" s="49">
        <v>1292</v>
      </c>
      <c r="F44" s="50">
        <v>275</v>
      </c>
      <c r="G44" s="51">
        <v>3.7552083333333335</v>
      </c>
      <c r="H44" s="52">
        <v>5.436380772855796</v>
      </c>
      <c r="I44" s="53">
        <v>1061</v>
      </c>
      <c r="J44" s="54">
        <v>1536</v>
      </c>
      <c r="K44" s="54">
        <v>5768</v>
      </c>
      <c r="L44" s="55">
        <v>4962</v>
      </c>
      <c r="M44" s="56">
        <v>424.49400000000003</v>
      </c>
      <c r="N44" s="57">
        <v>865.19999999999993</v>
      </c>
      <c r="O44" s="58">
        <v>398.96</v>
      </c>
      <c r="P44" s="59">
        <v>14.457589733306598</v>
      </c>
      <c r="Q44" s="60">
        <v>564.41</v>
      </c>
      <c r="R44" s="61">
        <v>10.21952126999876</v>
      </c>
      <c r="S44" s="48"/>
      <c r="T44" s="50"/>
      <c r="U44" s="62">
        <v>0</v>
      </c>
      <c r="V44" s="63">
        <v>83</v>
      </c>
      <c r="W44" s="50">
        <v>18</v>
      </c>
      <c r="X44" s="48">
        <v>40</v>
      </c>
      <c r="Y44" s="63">
        <v>108</v>
      </c>
      <c r="Z44" s="63">
        <v>323</v>
      </c>
      <c r="AA44" s="64">
        <v>382.2</v>
      </c>
      <c r="AB44" s="65">
        <v>37.627000000000002</v>
      </c>
      <c r="AC44" s="66"/>
      <c r="AD44" s="67"/>
      <c r="AE44" s="68"/>
      <c r="AF44" s="48">
        <v>100</v>
      </c>
      <c r="AG44" s="63">
        <v>147</v>
      </c>
      <c r="AH44" s="63">
        <v>37</v>
      </c>
      <c r="AI44" s="63">
        <v>52</v>
      </c>
      <c r="AJ44" s="63">
        <v>49</v>
      </c>
      <c r="AK44" s="63">
        <v>139</v>
      </c>
      <c r="AL44" s="63">
        <v>120</v>
      </c>
      <c r="AM44" s="63">
        <v>116</v>
      </c>
      <c r="AN44" s="63">
        <v>241</v>
      </c>
      <c r="AO44" s="63">
        <v>78</v>
      </c>
      <c r="AP44" s="63">
        <v>126</v>
      </c>
      <c r="AQ44" s="63">
        <v>70</v>
      </c>
      <c r="AR44" s="63">
        <v>0</v>
      </c>
      <c r="AS44" s="63">
        <v>0</v>
      </c>
      <c r="AT44" s="63">
        <v>6</v>
      </c>
      <c r="AU44" s="63">
        <v>56</v>
      </c>
      <c r="AV44" s="63">
        <v>203</v>
      </c>
      <c r="AW44" s="50">
        <v>16</v>
      </c>
      <c r="AX44" s="69">
        <v>2334</v>
      </c>
      <c r="AY44" s="69">
        <v>16933</v>
      </c>
      <c r="AZ44" s="54">
        <v>1037</v>
      </c>
      <c r="BA44" s="54">
        <v>3789</v>
      </c>
      <c r="BB44" s="54">
        <v>152</v>
      </c>
      <c r="BC44" s="54">
        <v>332</v>
      </c>
      <c r="BD44" s="54">
        <v>806</v>
      </c>
      <c r="BE44" s="70">
        <v>1302</v>
      </c>
      <c r="BF44" s="63">
        <v>247</v>
      </c>
      <c r="BG44" s="71">
        <v>2355</v>
      </c>
      <c r="BH44" s="67"/>
      <c r="BI44" s="68"/>
      <c r="BJ44" s="72">
        <v>1219</v>
      </c>
      <c r="BK44" s="62"/>
      <c r="BL44" s="70">
        <v>1213</v>
      </c>
      <c r="BM44" s="70">
        <v>387</v>
      </c>
      <c r="BN44" s="70">
        <v>162</v>
      </c>
      <c r="BO44" s="70">
        <v>663</v>
      </c>
      <c r="BP44" s="73">
        <v>7</v>
      </c>
      <c r="BQ44" s="74">
        <v>639</v>
      </c>
      <c r="BR44" s="54">
        <v>240</v>
      </c>
      <c r="BS44" s="75">
        <v>101</v>
      </c>
      <c r="BT44" s="76">
        <v>78.260869565217391</v>
      </c>
      <c r="BU44" s="77">
        <v>21.739130434782609</v>
      </c>
      <c r="BV44" s="78">
        <v>810</v>
      </c>
      <c r="BW44" s="79">
        <v>225</v>
      </c>
      <c r="BX44" s="62">
        <v>435</v>
      </c>
      <c r="BY44" s="63">
        <v>100</v>
      </c>
      <c r="BZ44" s="63">
        <v>161</v>
      </c>
      <c r="CA44" s="63">
        <v>275</v>
      </c>
      <c r="CB44" s="63">
        <v>4</v>
      </c>
      <c r="CC44" s="63">
        <v>54</v>
      </c>
      <c r="CD44" s="63">
        <v>1</v>
      </c>
      <c r="CE44" s="50">
        <v>5</v>
      </c>
    </row>
    <row r="45" spans="2:83" x14ac:dyDescent="0.3">
      <c r="B45" s="46">
        <v>7</v>
      </c>
      <c r="C45" s="47">
        <v>43509</v>
      </c>
      <c r="D45" s="48">
        <v>3</v>
      </c>
      <c r="E45" s="49">
        <v>2084</v>
      </c>
      <c r="F45" s="50">
        <v>247</v>
      </c>
      <c r="G45" s="51">
        <v>3.1987288135593221</v>
      </c>
      <c r="H45" s="52">
        <v>4.674303405572755</v>
      </c>
      <c r="I45" s="53">
        <v>1615</v>
      </c>
      <c r="J45" s="54">
        <v>2360</v>
      </c>
      <c r="K45" s="54">
        <v>7549</v>
      </c>
      <c r="L45" s="55">
        <v>5830</v>
      </c>
      <c r="M45" s="56">
        <v>506.04300000000001</v>
      </c>
      <c r="N45" s="57">
        <v>1132.3500000000001</v>
      </c>
      <c r="O45" s="58">
        <v>533.52</v>
      </c>
      <c r="P45" s="59">
        <v>14.149422702054281</v>
      </c>
      <c r="Q45" s="60">
        <v>691.05</v>
      </c>
      <c r="R45" s="61">
        <v>10.923956298386514</v>
      </c>
      <c r="S45" s="48"/>
      <c r="T45" s="50"/>
      <c r="U45" s="62">
        <v>0</v>
      </c>
      <c r="V45" s="63">
        <v>102</v>
      </c>
      <c r="W45" s="50">
        <v>14</v>
      </c>
      <c r="X45" s="48">
        <v>64</v>
      </c>
      <c r="Y45" s="63">
        <v>112</v>
      </c>
      <c r="Z45" s="63">
        <v>290</v>
      </c>
      <c r="AA45" s="64">
        <v>229.3</v>
      </c>
      <c r="AB45" s="65">
        <v>20.334</v>
      </c>
      <c r="AC45" s="66"/>
      <c r="AD45" s="67"/>
      <c r="AE45" s="68"/>
      <c r="AF45" s="48">
        <v>137</v>
      </c>
      <c r="AG45" s="63">
        <v>233</v>
      </c>
      <c r="AH45" s="63">
        <v>46</v>
      </c>
      <c r="AI45" s="63">
        <v>88</v>
      </c>
      <c r="AJ45" s="63">
        <v>106</v>
      </c>
      <c r="AK45" s="63">
        <v>194</v>
      </c>
      <c r="AL45" s="63">
        <v>159</v>
      </c>
      <c r="AM45" s="63">
        <v>166</v>
      </c>
      <c r="AN45" s="63">
        <v>497</v>
      </c>
      <c r="AO45" s="63">
        <v>133</v>
      </c>
      <c r="AP45" s="63">
        <v>129</v>
      </c>
      <c r="AQ45" s="63">
        <v>123</v>
      </c>
      <c r="AR45" s="63">
        <v>7</v>
      </c>
      <c r="AS45" s="63">
        <v>0</v>
      </c>
      <c r="AT45" s="63">
        <v>14</v>
      </c>
      <c r="AU45" s="63">
        <v>124</v>
      </c>
      <c r="AV45" s="63">
        <v>113</v>
      </c>
      <c r="AW45" s="50">
        <v>10</v>
      </c>
      <c r="AX45" s="69">
        <v>3471</v>
      </c>
      <c r="AY45" s="69">
        <v>21090</v>
      </c>
      <c r="AZ45" s="54">
        <v>2826</v>
      </c>
      <c r="BA45" s="54">
        <v>11878</v>
      </c>
      <c r="BB45" s="54">
        <v>543</v>
      </c>
      <c r="BC45" s="54">
        <v>986</v>
      </c>
      <c r="BD45" s="54">
        <v>1356</v>
      </c>
      <c r="BE45" s="70">
        <v>1978</v>
      </c>
      <c r="BF45" s="63">
        <v>427</v>
      </c>
      <c r="BG45" s="71">
        <v>3761</v>
      </c>
      <c r="BH45" s="67"/>
      <c r="BI45" s="68"/>
      <c r="BJ45" s="72">
        <v>1412</v>
      </c>
      <c r="BK45" s="62"/>
      <c r="BL45" s="70">
        <v>2236</v>
      </c>
      <c r="BM45" s="70">
        <v>520</v>
      </c>
      <c r="BN45" s="70">
        <v>110</v>
      </c>
      <c r="BO45" s="70">
        <v>772</v>
      </c>
      <c r="BP45" s="73">
        <v>10</v>
      </c>
      <c r="BQ45" s="74">
        <v>841</v>
      </c>
      <c r="BR45" s="54">
        <v>392</v>
      </c>
      <c r="BS45" s="75">
        <v>148</v>
      </c>
      <c r="BT45" s="76">
        <v>78.638941398865782</v>
      </c>
      <c r="BU45" s="77">
        <v>21.361058601134214</v>
      </c>
      <c r="BV45" s="78">
        <v>1248</v>
      </c>
      <c r="BW45" s="79">
        <v>339</v>
      </c>
      <c r="BX45" s="62">
        <v>686</v>
      </c>
      <c r="BY45" s="63">
        <v>221</v>
      </c>
      <c r="BZ45" s="63">
        <v>170</v>
      </c>
      <c r="CA45" s="63">
        <v>341</v>
      </c>
      <c r="CB45" s="63">
        <v>18</v>
      </c>
      <c r="CC45" s="63">
        <v>140</v>
      </c>
      <c r="CD45" s="63">
        <v>7</v>
      </c>
      <c r="CE45" s="50">
        <v>4</v>
      </c>
    </row>
    <row r="46" spans="2:83" x14ac:dyDescent="0.3">
      <c r="B46" s="46">
        <v>7</v>
      </c>
      <c r="C46" s="47">
        <v>43510</v>
      </c>
      <c r="D46" s="48">
        <v>0</v>
      </c>
      <c r="E46" s="49">
        <v>1334</v>
      </c>
      <c r="F46" s="50">
        <v>227</v>
      </c>
      <c r="G46" s="51">
        <v>4.2934491978609621</v>
      </c>
      <c r="H46" s="52">
        <v>5.9198156682027649</v>
      </c>
      <c r="I46" s="53">
        <v>1085</v>
      </c>
      <c r="J46" s="54">
        <v>1496</v>
      </c>
      <c r="K46" s="54">
        <v>6423</v>
      </c>
      <c r="L46" s="55">
        <v>5310</v>
      </c>
      <c r="M46" s="56">
        <v>319.21600000000001</v>
      </c>
      <c r="N46" s="57">
        <v>963.45</v>
      </c>
      <c r="O46" s="58">
        <v>450.24999999999994</v>
      </c>
      <c r="P46" s="59">
        <v>14.265408106607442</v>
      </c>
      <c r="Q46" s="60">
        <v>614.21999999999991</v>
      </c>
      <c r="R46" s="61">
        <v>10.457165185112828</v>
      </c>
      <c r="S46" s="48"/>
      <c r="T46" s="50"/>
      <c r="U46" s="62">
        <v>0</v>
      </c>
      <c r="V46" s="63">
        <v>54</v>
      </c>
      <c r="W46" s="50">
        <v>38</v>
      </c>
      <c r="X46" s="48">
        <v>39</v>
      </c>
      <c r="Y46" s="63">
        <v>57</v>
      </c>
      <c r="Z46" s="63">
        <v>204</v>
      </c>
      <c r="AA46" s="64">
        <v>329.1</v>
      </c>
      <c r="AB46" s="65">
        <v>18.975999999999999</v>
      </c>
      <c r="AC46" s="66"/>
      <c r="AD46" s="67"/>
      <c r="AE46" s="68"/>
      <c r="AF46" s="48">
        <v>73</v>
      </c>
      <c r="AG46" s="63">
        <v>158</v>
      </c>
      <c r="AH46" s="63">
        <v>45</v>
      </c>
      <c r="AI46" s="63">
        <v>51</v>
      </c>
      <c r="AJ46" s="63">
        <v>55</v>
      </c>
      <c r="AK46" s="63">
        <v>171</v>
      </c>
      <c r="AL46" s="63">
        <v>121</v>
      </c>
      <c r="AM46" s="63">
        <v>83</v>
      </c>
      <c r="AN46" s="63">
        <v>363</v>
      </c>
      <c r="AO46" s="63">
        <v>50</v>
      </c>
      <c r="AP46" s="63">
        <v>75</v>
      </c>
      <c r="AQ46" s="63">
        <v>70</v>
      </c>
      <c r="AR46" s="63">
        <v>6</v>
      </c>
      <c r="AS46" s="63">
        <v>0</v>
      </c>
      <c r="AT46" s="63">
        <v>4</v>
      </c>
      <c r="AU46" s="63">
        <v>58</v>
      </c>
      <c r="AV46" s="63">
        <v>156</v>
      </c>
      <c r="AW46" s="50">
        <v>12</v>
      </c>
      <c r="AX46" s="69">
        <v>3093</v>
      </c>
      <c r="AY46" s="69">
        <v>25384</v>
      </c>
      <c r="AZ46" s="54">
        <v>1042</v>
      </c>
      <c r="BA46" s="54">
        <v>2428</v>
      </c>
      <c r="BB46" s="54">
        <v>221</v>
      </c>
      <c r="BC46" s="54">
        <v>415</v>
      </c>
      <c r="BD46" s="54">
        <v>941</v>
      </c>
      <c r="BE46" s="70">
        <v>1238</v>
      </c>
      <c r="BF46" s="63">
        <v>211</v>
      </c>
      <c r="BG46" s="71">
        <v>2390</v>
      </c>
      <c r="BH46" s="67"/>
      <c r="BI46" s="68"/>
      <c r="BJ46" s="72">
        <v>1157</v>
      </c>
      <c r="BK46" s="62"/>
      <c r="BL46" s="70">
        <v>1569</v>
      </c>
      <c r="BM46" s="70">
        <v>325</v>
      </c>
      <c r="BN46" s="70">
        <v>132</v>
      </c>
      <c r="BO46" s="70">
        <v>673</v>
      </c>
      <c r="BP46" s="73">
        <v>27</v>
      </c>
      <c r="BQ46" s="74">
        <v>672</v>
      </c>
      <c r="BR46" s="54">
        <v>258</v>
      </c>
      <c r="BS46" s="75">
        <v>95</v>
      </c>
      <c r="BT46" s="76">
        <v>82.942830365510773</v>
      </c>
      <c r="BU46" s="77">
        <v>17.057169634489224</v>
      </c>
      <c r="BV46" s="78">
        <v>885</v>
      </c>
      <c r="BW46" s="79">
        <v>182</v>
      </c>
      <c r="BX46" s="62">
        <v>426</v>
      </c>
      <c r="BY46" s="63">
        <v>134</v>
      </c>
      <c r="BZ46" s="63">
        <v>122</v>
      </c>
      <c r="CA46" s="63">
        <v>325</v>
      </c>
      <c r="CB46" s="63">
        <v>4</v>
      </c>
      <c r="CC46" s="63">
        <v>54</v>
      </c>
      <c r="CD46" s="63">
        <v>2</v>
      </c>
      <c r="CE46" s="50">
        <v>0</v>
      </c>
    </row>
    <row r="47" spans="2:83" x14ac:dyDescent="0.3">
      <c r="B47" s="46">
        <v>7</v>
      </c>
      <c r="C47" s="47">
        <v>43511</v>
      </c>
      <c r="D47" s="48">
        <v>0</v>
      </c>
      <c r="E47" s="49">
        <v>1832</v>
      </c>
      <c r="F47" s="50">
        <v>236</v>
      </c>
      <c r="G47" s="51">
        <v>3.1412621359223301</v>
      </c>
      <c r="H47" s="52">
        <v>5.0162790697674415</v>
      </c>
      <c r="I47" s="53">
        <v>1290</v>
      </c>
      <c r="J47" s="54">
        <v>2060</v>
      </c>
      <c r="K47" s="54">
        <v>6471</v>
      </c>
      <c r="L47" s="55">
        <v>5379.8</v>
      </c>
      <c r="M47" s="56">
        <v>406.45499999999998</v>
      </c>
      <c r="N47" s="57">
        <v>970.65</v>
      </c>
      <c r="O47" s="58">
        <v>454.76</v>
      </c>
      <c r="P47" s="59">
        <v>14.229483683701293</v>
      </c>
      <c r="Q47" s="60">
        <v>627.15</v>
      </c>
      <c r="R47" s="61">
        <v>10.318105716335806</v>
      </c>
      <c r="S47" s="48"/>
      <c r="T47" s="50"/>
      <c r="U47" s="62">
        <v>0</v>
      </c>
      <c r="V47" s="63">
        <v>67</v>
      </c>
      <c r="W47" s="50">
        <v>38</v>
      </c>
      <c r="X47" s="48">
        <v>31</v>
      </c>
      <c r="Y47" s="63">
        <v>140</v>
      </c>
      <c r="Z47" s="63">
        <v>168</v>
      </c>
      <c r="AA47" s="64">
        <v>976.5</v>
      </c>
      <c r="AB47" s="65">
        <v>79.668999999999997</v>
      </c>
      <c r="AC47" s="66"/>
      <c r="AD47" s="67"/>
      <c r="AE47" s="68"/>
      <c r="AF47" s="48">
        <v>103</v>
      </c>
      <c r="AG47" s="63">
        <v>193</v>
      </c>
      <c r="AH47" s="63">
        <v>37</v>
      </c>
      <c r="AI47" s="63">
        <v>64</v>
      </c>
      <c r="AJ47" s="63">
        <v>67</v>
      </c>
      <c r="AK47" s="63">
        <v>176</v>
      </c>
      <c r="AL47" s="63">
        <v>139</v>
      </c>
      <c r="AM47" s="63">
        <v>133</v>
      </c>
      <c r="AN47" s="63">
        <v>495</v>
      </c>
      <c r="AO47" s="63">
        <v>88</v>
      </c>
      <c r="AP47" s="63">
        <v>128</v>
      </c>
      <c r="AQ47" s="63">
        <v>170</v>
      </c>
      <c r="AR47" s="63">
        <v>5</v>
      </c>
      <c r="AS47" s="63">
        <v>1</v>
      </c>
      <c r="AT47" s="63">
        <v>8</v>
      </c>
      <c r="AU47" s="63">
        <v>57</v>
      </c>
      <c r="AV47" s="63">
        <v>150</v>
      </c>
      <c r="AW47" s="50">
        <v>21</v>
      </c>
      <c r="AX47" s="69">
        <v>3559</v>
      </c>
      <c r="AY47" s="69">
        <v>21532</v>
      </c>
      <c r="AZ47" s="54">
        <v>933</v>
      </c>
      <c r="BA47" s="54">
        <v>2505</v>
      </c>
      <c r="BB47" s="54">
        <v>526</v>
      </c>
      <c r="BC47" s="54">
        <v>977</v>
      </c>
      <c r="BD47" s="54">
        <v>1046</v>
      </c>
      <c r="BE47" s="70">
        <v>1385</v>
      </c>
      <c r="BF47" s="63">
        <v>312</v>
      </c>
      <c r="BG47" s="71">
        <v>2743</v>
      </c>
      <c r="BH47" s="67"/>
      <c r="BI47" s="68"/>
      <c r="BJ47" s="72">
        <v>1426</v>
      </c>
      <c r="BK47" s="62"/>
      <c r="BL47" s="70">
        <v>1927</v>
      </c>
      <c r="BM47" s="70">
        <v>681</v>
      </c>
      <c r="BN47" s="70">
        <v>94</v>
      </c>
      <c r="BO47" s="70">
        <v>645</v>
      </c>
      <c r="BP47" s="73">
        <v>6</v>
      </c>
      <c r="BQ47" s="74">
        <v>692</v>
      </c>
      <c r="BR47" s="54">
        <v>370</v>
      </c>
      <c r="BS47" s="75">
        <v>88</v>
      </c>
      <c r="BT47" s="76">
        <v>78.548895899053633</v>
      </c>
      <c r="BU47" s="77">
        <v>21.451104100946374</v>
      </c>
      <c r="BV47" s="78">
        <v>996</v>
      </c>
      <c r="BW47" s="79">
        <v>272</v>
      </c>
      <c r="BX47" s="62">
        <v>491</v>
      </c>
      <c r="BY47" s="63">
        <v>206</v>
      </c>
      <c r="BZ47" s="63">
        <v>169</v>
      </c>
      <c r="CA47" s="63">
        <v>299</v>
      </c>
      <c r="CB47" s="63">
        <v>11</v>
      </c>
      <c r="CC47" s="63">
        <v>79</v>
      </c>
      <c r="CD47" s="63">
        <v>9</v>
      </c>
      <c r="CE47" s="50">
        <v>4</v>
      </c>
    </row>
    <row r="48" spans="2:83" x14ac:dyDescent="0.3">
      <c r="B48" s="46">
        <v>8</v>
      </c>
      <c r="C48" s="47">
        <v>43514</v>
      </c>
      <c r="D48" s="48">
        <v>19</v>
      </c>
      <c r="E48" s="49">
        <v>1983</v>
      </c>
      <c r="F48" s="50">
        <v>232</v>
      </c>
      <c r="G48" s="51">
        <v>2.9807520143240822</v>
      </c>
      <c r="H48" s="52">
        <v>4.0578915295551496</v>
      </c>
      <c r="I48" s="53">
        <v>1641</v>
      </c>
      <c r="J48" s="54">
        <v>2234</v>
      </c>
      <c r="K48" s="54">
        <v>6659</v>
      </c>
      <c r="L48" s="55">
        <v>4542.2</v>
      </c>
      <c r="M48" s="56">
        <v>371.68799999999999</v>
      </c>
      <c r="N48" s="57">
        <v>998.85</v>
      </c>
      <c r="O48" s="58">
        <v>539.52</v>
      </c>
      <c r="P48" s="59">
        <v>12.342452550415183</v>
      </c>
      <c r="Q48" s="60">
        <v>704.06999999999994</v>
      </c>
      <c r="R48" s="61">
        <v>9.4578664053290158</v>
      </c>
      <c r="S48" s="48"/>
      <c r="T48" s="50"/>
      <c r="U48" s="62">
        <v>0</v>
      </c>
      <c r="V48" s="63">
        <v>98</v>
      </c>
      <c r="W48" s="50">
        <v>66</v>
      </c>
      <c r="X48" s="48">
        <v>55</v>
      </c>
      <c r="Y48" s="63">
        <v>143</v>
      </c>
      <c r="Z48" s="63">
        <v>255</v>
      </c>
      <c r="AA48" s="64">
        <v>6211</v>
      </c>
      <c r="AB48" s="65">
        <v>72.966999999999999</v>
      </c>
      <c r="AC48" s="66"/>
      <c r="AD48" s="67"/>
      <c r="AE48" s="68"/>
      <c r="AF48" s="48">
        <v>135</v>
      </c>
      <c r="AG48" s="63">
        <v>341</v>
      </c>
      <c r="AH48" s="63">
        <v>57</v>
      </c>
      <c r="AI48" s="63">
        <v>116</v>
      </c>
      <c r="AJ48" s="63">
        <v>92</v>
      </c>
      <c r="AK48" s="63">
        <v>275</v>
      </c>
      <c r="AL48" s="63">
        <v>145</v>
      </c>
      <c r="AM48" s="63">
        <v>114</v>
      </c>
      <c r="AN48" s="63">
        <v>333</v>
      </c>
      <c r="AO48" s="63">
        <v>93</v>
      </c>
      <c r="AP48" s="63">
        <v>141</v>
      </c>
      <c r="AQ48" s="63">
        <v>92</v>
      </c>
      <c r="AR48" s="63">
        <v>16</v>
      </c>
      <c r="AS48" s="63">
        <v>1</v>
      </c>
      <c r="AT48" s="63">
        <v>17</v>
      </c>
      <c r="AU48" s="63">
        <v>80</v>
      </c>
      <c r="AV48" s="63">
        <v>144</v>
      </c>
      <c r="AW48" s="50">
        <v>8</v>
      </c>
      <c r="AX48" s="69">
        <v>4439</v>
      </c>
      <c r="AY48" s="69">
        <v>25816</v>
      </c>
      <c r="AZ48" s="54">
        <v>1761</v>
      </c>
      <c r="BA48" s="54">
        <v>4014</v>
      </c>
      <c r="BB48" s="54">
        <v>234</v>
      </c>
      <c r="BC48" s="54">
        <v>392</v>
      </c>
      <c r="BD48" s="54">
        <v>1233</v>
      </c>
      <c r="BE48" s="70">
        <v>2075</v>
      </c>
      <c r="BF48" s="63">
        <v>492</v>
      </c>
      <c r="BG48" s="71">
        <v>3800</v>
      </c>
      <c r="BH48" s="67"/>
      <c r="BI48" s="68"/>
      <c r="BJ48" s="72">
        <v>1778</v>
      </c>
      <c r="BK48" s="62"/>
      <c r="BL48" s="70">
        <v>2190</v>
      </c>
      <c r="BM48" s="70">
        <v>731</v>
      </c>
      <c r="BN48" s="70">
        <v>123</v>
      </c>
      <c r="BO48" s="70">
        <v>918</v>
      </c>
      <c r="BP48" s="73">
        <v>6</v>
      </c>
      <c r="BQ48" s="74">
        <v>1175</v>
      </c>
      <c r="BR48" s="54">
        <v>254</v>
      </c>
      <c r="BS48" s="75">
        <v>83</v>
      </c>
      <c r="BT48" s="76">
        <v>80.225080385852095</v>
      </c>
      <c r="BU48" s="77">
        <v>19.774919614147908</v>
      </c>
      <c r="BV48" s="78">
        <v>998</v>
      </c>
      <c r="BW48" s="79">
        <v>246</v>
      </c>
      <c r="BX48" s="62">
        <v>537</v>
      </c>
      <c r="BY48" s="63">
        <v>124</v>
      </c>
      <c r="BZ48" s="63">
        <v>148</v>
      </c>
      <c r="CA48" s="63">
        <v>337</v>
      </c>
      <c r="CB48" s="63">
        <v>6</v>
      </c>
      <c r="CC48" s="63">
        <v>85</v>
      </c>
      <c r="CD48" s="63">
        <v>7</v>
      </c>
      <c r="CE48" s="50">
        <v>0</v>
      </c>
    </row>
    <row r="49" spans="2:83" x14ac:dyDescent="0.3">
      <c r="B49" s="46">
        <v>8</v>
      </c>
      <c r="C49" s="47">
        <v>43515</v>
      </c>
      <c r="D49" s="48">
        <v>4</v>
      </c>
      <c r="E49" s="49">
        <v>1502</v>
      </c>
      <c r="F49" s="50">
        <v>457</v>
      </c>
      <c r="G49" s="51">
        <v>3.8140601120733573</v>
      </c>
      <c r="H49" s="52">
        <v>5.8174048174048174</v>
      </c>
      <c r="I49" s="53">
        <v>1287</v>
      </c>
      <c r="J49" s="54">
        <v>1963</v>
      </c>
      <c r="K49" s="54">
        <v>7487</v>
      </c>
      <c r="L49" s="55">
        <v>7176.3</v>
      </c>
      <c r="M49" s="56">
        <v>558</v>
      </c>
      <c r="N49" s="57">
        <v>1123.05</v>
      </c>
      <c r="O49" s="58">
        <v>484.68</v>
      </c>
      <c r="P49" s="59">
        <v>15.447305438639928</v>
      </c>
      <c r="Q49" s="60">
        <v>665.1</v>
      </c>
      <c r="R49" s="61">
        <v>11.25695384152759</v>
      </c>
      <c r="S49" s="48"/>
      <c r="T49" s="50"/>
      <c r="U49" s="62">
        <v>0</v>
      </c>
      <c r="V49" s="63">
        <v>75</v>
      </c>
      <c r="W49" s="50">
        <v>201</v>
      </c>
      <c r="X49" s="48">
        <v>53</v>
      </c>
      <c r="Y49" s="63">
        <v>186</v>
      </c>
      <c r="Z49" s="63">
        <v>272</v>
      </c>
      <c r="AA49" s="64">
        <v>531.20000000000005</v>
      </c>
      <c r="AB49" s="65">
        <v>94</v>
      </c>
      <c r="AC49" s="66"/>
      <c r="AD49" s="67"/>
      <c r="AE49" s="68"/>
      <c r="AF49" s="48">
        <v>125</v>
      </c>
      <c r="AG49" s="63">
        <v>211</v>
      </c>
      <c r="AH49" s="63">
        <v>45</v>
      </c>
      <c r="AI49" s="63">
        <v>75</v>
      </c>
      <c r="AJ49" s="63">
        <v>63</v>
      </c>
      <c r="AK49" s="63">
        <v>191</v>
      </c>
      <c r="AL49" s="63">
        <v>123</v>
      </c>
      <c r="AM49" s="63">
        <v>101</v>
      </c>
      <c r="AN49" s="63">
        <v>287</v>
      </c>
      <c r="AO49" s="63">
        <v>96</v>
      </c>
      <c r="AP49" s="63">
        <v>95</v>
      </c>
      <c r="AQ49" s="63">
        <v>73</v>
      </c>
      <c r="AR49" s="63">
        <v>1</v>
      </c>
      <c r="AS49" s="63">
        <v>0</v>
      </c>
      <c r="AT49" s="63">
        <v>9</v>
      </c>
      <c r="AU49" s="63">
        <v>86</v>
      </c>
      <c r="AV49" s="63">
        <v>361</v>
      </c>
      <c r="AW49" s="50">
        <v>10</v>
      </c>
      <c r="AX49" s="69">
        <v>3453</v>
      </c>
      <c r="AY49" s="69">
        <v>27629</v>
      </c>
      <c r="AZ49" s="54">
        <v>1162</v>
      </c>
      <c r="BA49" s="54">
        <v>3055</v>
      </c>
      <c r="BB49" s="54">
        <v>1162</v>
      </c>
      <c r="BC49" s="54">
        <v>3055</v>
      </c>
      <c r="BD49" s="54">
        <v>1095</v>
      </c>
      <c r="BE49" s="70">
        <v>1321</v>
      </c>
      <c r="BF49" s="63">
        <v>141</v>
      </c>
      <c r="BG49" s="71">
        <v>2557</v>
      </c>
      <c r="BH49" s="67"/>
      <c r="BI49" s="68"/>
      <c r="BJ49" s="72">
        <v>1704</v>
      </c>
      <c r="BK49" s="62"/>
      <c r="BL49" s="70">
        <v>1380</v>
      </c>
      <c r="BM49" s="70">
        <v>577</v>
      </c>
      <c r="BN49" s="70">
        <v>163</v>
      </c>
      <c r="BO49" s="70">
        <v>956</v>
      </c>
      <c r="BP49" s="73">
        <v>8</v>
      </c>
      <c r="BQ49" s="74">
        <v>753</v>
      </c>
      <c r="BR49" s="54">
        <v>258</v>
      </c>
      <c r="BS49" s="75">
        <v>100</v>
      </c>
      <c r="BT49" s="76">
        <v>83.466502765826675</v>
      </c>
      <c r="BU49" s="77">
        <v>16.533497234173325</v>
      </c>
      <c r="BV49" s="78">
        <v>1358</v>
      </c>
      <c r="BW49" s="79">
        <v>269</v>
      </c>
      <c r="BX49" s="62">
        <v>773</v>
      </c>
      <c r="BY49" s="63">
        <v>139</v>
      </c>
      <c r="BZ49" s="63">
        <v>130</v>
      </c>
      <c r="CA49" s="63">
        <v>446</v>
      </c>
      <c r="CB49" s="63">
        <v>13</v>
      </c>
      <c r="CC49" s="63">
        <v>122</v>
      </c>
      <c r="CD49" s="63">
        <v>4</v>
      </c>
      <c r="CE49" s="50">
        <v>0</v>
      </c>
    </row>
    <row r="50" spans="2:83" x14ac:dyDescent="0.3">
      <c r="B50" s="46">
        <v>8</v>
      </c>
      <c r="C50" s="47">
        <v>43516</v>
      </c>
      <c r="D50" s="48">
        <v>6</v>
      </c>
      <c r="E50" s="49">
        <v>1746</v>
      </c>
      <c r="F50" s="50">
        <v>392</v>
      </c>
      <c r="G50" s="51">
        <v>3.2435839711841514</v>
      </c>
      <c r="H50" s="52">
        <v>5.6858721389108133</v>
      </c>
      <c r="I50" s="53">
        <v>1267</v>
      </c>
      <c r="J50" s="54">
        <v>2221</v>
      </c>
      <c r="K50" s="54">
        <v>7204</v>
      </c>
      <c r="L50" s="55">
        <v>12595</v>
      </c>
      <c r="M50" s="56">
        <v>590.12199999999996</v>
      </c>
      <c r="N50" s="57">
        <v>1080.5999999999999</v>
      </c>
      <c r="O50" s="58">
        <v>473.79999999999995</v>
      </c>
      <c r="P50" s="59">
        <v>15.20472773322077</v>
      </c>
      <c r="Q50" s="60">
        <v>655.27</v>
      </c>
      <c r="R50" s="61">
        <v>10.993941428724037</v>
      </c>
      <c r="S50" s="48"/>
      <c r="T50" s="50"/>
      <c r="U50" s="62">
        <v>0</v>
      </c>
      <c r="V50" s="63">
        <v>90</v>
      </c>
      <c r="W50" s="50">
        <v>171</v>
      </c>
      <c r="X50" s="48">
        <v>57</v>
      </c>
      <c r="Y50" s="63">
        <v>372</v>
      </c>
      <c r="Z50" s="63">
        <v>593</v>
      </c>
      <c r="AA50" s="64">
        <v>1841</v>
      </c>
      <c r="AB50" s="65">
        <v>236.74</v>
      </c>
      <c r="AC50" s="66"/>
      <c r="AD50" s="67"/>
      <c r="AE50" s="68"/>
      <c r="AF50" s="48">
        <v>103</v>
      </c>
      <c r="AG50" s="63">
        <v>143</v>
      </c>
      <c r="AH50" s="63">
        <v>39</v>
      </c>
      <c r="AI50" s="63">
        <v>71</v>
      </c>
      <c r="AJ50" s="63">
        <v>62</v>
      </c>
      <c r="AK50" s="63">
        <v>155</v>
      </c>
      <c r="AL50" s="63">
        <v>145</v>
      </c>
      <c r="AM50" s="63">
        <v>142</v>
      </c>
      <c r="AN50" s="63">
        <v>553</v>
      </c>
      <c r="AO50" s="63">
        <v>108</v>
      </c>
      <c r="AP50" s="63">
        <v>151</v>
      </c>
      <c r="AQ50" s="63">
        <v>47</v>
      </c>
      <c r="AR50" s="63">
        <v>5</v>
      </c>
      <c r="AS50" s="63">
        <v>0</v>
      </c>
      <c r="AT50" s="63">
        <v>10</v>
      </c>
      <c r="AU50" s="63">
        <v>90</v>
      </c>
      <c r="AV50" s="63">
        <v>292</v>
      </c>
      <c r="AW50" s="50">
        <v>4</v>
      </c>
      <c r="AX50" s="69">
        <v>4752</v>
      </c>
      <c r="AY50" s="69">
        <v>35152</v>
      </c>
      <c r="AZ50" s="54">
        <v>1375</v>
      </c>
      <c r="BA50" s="54">
        <v>3484</v>
      </c>
      <c r="BB50" s="54">
        <v>630</v>
      </c>
      <c r="BC50" s="54">
        <v>1421</v>
      </c>
      <c r="BD50" s="54">
        <v>1351</v>
      </c>
      <c r="BE50" s="70">
        <v>1914</v>
      </c>
      <c r="BF50" s="63">
        <v>442</v>
      </c>
      <c r="BG50" s="71">
        <v>3707</v>
      </c>
      <c r="BH50" s="67"/>
      <c r="BI50" s="68"/>
      <c r="BJ50" s="72">
        <v>1430</v>
      </c>
      <c r="BK50" s="62"/>
      <c r="BL50" s="70">
        <v>1393</v>
      </c>
      <c r="BM50" s="70">
        <v>275</v>
      </c>
      <c r="BN50" s="70">
        <v>202</v>
      </c>
      <c r="BO50" s="70">
        <v>947</v>
      </c>
      <c r="BP50" s="73">
        <v>6</v>
      </c>
      <c r="BQ50" s="74">
        <v>635</v>
      </c>
      <c r="BR50" s="54">
        <v>361</v>
      </c>
      <c r="BS50" s="75">
        <v>119</v>
      </c>
      <c r="BT50" s="76">
        <v>77.455716586151368</v>
      </c>
      <c r="BU50" s="77">
        <v>22.544283413848632</v>
      </c>
      <c r="BV50" s="78">
        <v>962</v>
      </c>
      <c r="BW50" s="79">
        <v>280</v>
      </c>
      <c r="BX50" s="62">
        <v>590</v>
      </c>
      <c r="BY50" s="63">
        <v>166</v>
      </c>
      <c r="BZ50" s="63">
        <v>161</v>
      </c>
      <c r="CA50" s="63">
        <v>206</v>
      </c>
      <c r="CB50" s="63">
        <v>11</v>
      </c>
      <c r="CC50" s="63">
        <v>103</v>
      </c>
      <c r="CD50" s="63">
        <v>5</v>
      </c>
      <c r="CE50" s="50">
        <v>0</v>
      </c>
    </row>
    <row r="51" spans="2:83" x14ac:dyDescent="0.3">
      <c r="B51" s="46">
        <v>8</v>
      </c>
      <c r="C51" s="47">
        <v>43517</v>
      </c>
      <c r="D51" s="48">
        <v>13</v>
      </c>
      <c r="E51" s="49">
        <v>1460</v>
      </c>
      <c r="F51" s="50">
        <v>242</v>
      </c>
      <c r="G51" s="51">
        <v>3.761025029797378</v>
      </c>
      <c r="H51" s="52">
        <v>5.7582116788321169</v>
      </c>
      <c r="I51" s="53">
        <v>1096</v>
      </c>
      <c r="J51" s="54">
        <v>1678</v>
      </c>
      <c r="K51" s="54">
        <v>6311</v>
      </c>
      <c r="L51" s="55">
        <v>5319.2</v>
      </c>
      <c r="M51" s="56">
        <v>399.09</v>
      </c>
      <c r="N51" s="57">
        <v>946.65</v>
      </c>
      <c r="O51" s="58">
        <v>495.76</v>
      </c>
      <c r="P51" s="59">
        <v>12.729949975794739</v>
      </c>
      <c r="Q51" s="60">
        <v>656.58</v>
      </c>
      <c r="R51" s="61">
        <v>9.6119284778701743</v>
      </c>
      <c r="S51" s="48"/>
      <c r="T51" s="50"/>
      <c r="U51" s="62">
        <v>0</v>
      </c>
      <c r="V51" s="63">
        <v>59</v>
      </c>
      <c r="W51" s="50">
        <v>93</v>
      </c>
      <c r="X51" s="48">
        <v>45</v>
      </c>
      <c r="Y51" s="63">
        <v>130</v>
      </c>
      <c r="Z51" s="63">
        <v>276</v>
      </c>
      <c r="AA51" s="64">
        <v>560.79999999999995</v>
      </c>
      <c r="AB51" s="65">
        <v>56.021999999999998</v>
      </c>
      <c r="AC51" s="66"/>
      <c r="AD51" s="67"/>
      <c r="AE51" s="68"/>
      <c r="AF51" s="48">
        <v>104</v>
      </c>
      <c r="AG51" s="63">
        <v>147</v>
      </c>
      <c r="AH51" s="63">
        <v>36</v>
      </c>
      <c r="AI51" s="63">
        <v>69</v>
      </c>
      <c r="AJ51" s="63">
        <v>54</v>
      </c>
      <c r="AK51" s="63">
        <v>154</v>
      </c>
      <c r="AL51" s="63">
        <v>99</v>
      </c>
      <c r="AM51" s="63">
        <v>103</v>
      </c>
      <c r="AN51" s="63">
        <v>382</v>
      </c>
      <c r="AO51" s="63">
        <v>100</v>
      </c>
      <c r="AP51" s="63">
        <v>120</v>
      </c>
      <c r="AQ51" s="63">
        <v>74</v>
      </c>
      <c r="AR51" s="63">
        <v>6</v>
      </c>
      <c r="AS51" s="63">
        <v>4</v>
      </c>
      <c r="AT51" s="63">
        <v>5</v>
      </c>
      <c r="AU51" s="63">
        <v>56</v>
      </c>
      <c r="AV51" s="63">
        <v>177</v>
      </c>
      <c r="AW51" s="50">
        <v>4</v>
      </c>
      <c r="AX51" s="69">
        <v>3493</v>
      </c>
      <c r="AY51" s="69">
        <v>26174</v>
      </c>
      <c r="AZ51" s="54">
        <v>975</v>
      </c>
      <c r="BA51" s="54">
        <v>3078</v>
      </c>
      <c r="BB51" s="54">
        <v>445</v>
      </c>
      <c r="BC51" s="54">
        <v>730</v>
      </c>
      <c r="BD51" s="54">
        <v>1045</v>
      </c>
      <c r="BE51" s="70">
        <v>1325</v>
      </c>
      <c r="BF51" s="63">
        <v>409</v>
      </c>
      <c r="BG51" s="71">
        <v>2779</v>
      </c>
      <c r="BH51" s="67"/>
      <c r="BI51" s="68"/>
      <c r="BJ51" s="72">
        <v>1782</v>
      </c>
      <c r="BK51" s="62"/>
      <c r="BL51" s="70">
        <v>2063</v>
      </c>
      <c r="BM51" s="70">
        <v>522</v>
      </c>
      <c r="BN51" s="70">
        <v>76</v>
      </c>
      <c r="BO51" s="70">
        <v>1176</v>
      </c>
      <c r="BP51" s="73">
        <v>8</v>
      </c>
      <c r="BQ51" s="74">
        <v>556</v>
      </c>
      <c r="BR51" s="54">
        <v>311</v>
      </c>
      <c r="BS51" s="75">
        <v>99</v>
      </c>
      <c r="BT51" s="76">
        <v>75.836431226765797</v>
      </c>
      <c r="BU51" s="77">
        <v>24.1635687732342</v>
      </c>
      <c r="BV51" s="78">
        <v>816</v>
      </c>
      <c r="BW51" s="79">
        <v>260</v>
      </c>
      <c r="BX51" s="62">
        <v>453</v>
      </c>
      <c r="BY51" s="63">
        <v>118</v>
      </c>
      <c r="BZ51" s="63">
        <v>154</v>
      </c>
      <c r="CA51" s="63">
        <v>245</v>
      </c>
      <c r="CB51" s="63">
        <v>11</v>
      </c>
      <c r="CC51" s="63">
        <v>87</v>
      </c>
      <c r="CD51" s="63">
        <v>4</v>
      </c>
      <c r="CE51" s="50">
        <v>4</v>
      </c>
    </row>
    <row r="52" spans="2:83" x14ac:dyDescent="0.3">
      <c r="B52" s="46">
        <v>8</v>
      </c>
      <c r="C52" s="47">
        <v>43518</v>
      </c>
      <c r="D52" s="48">
        <v>10</v>
      </c>
      <c r="E52" s="49">
        <v>1631</v>
      </c>
      <c r="F52" s="50">
        <v>343</v>
      </c>
      <c r="G52" s="51">
        <v>3.6277205040091638</v>
      </c>
      <c r="H52" s="52">
        <v>5.0998389694041872</v>
      </c>
      <c r="I52" s="53">
        <v>1242</v>
      </c>
      <c r="J52" s="54">
        <v>1746</v>
      </c>
      <c r="K52" s="54">
        <v>6334</v>
      </c>
      <c r="L52" s="55">
        <v>3654.4</v>
      </c>
      <c r="M52" s="56">
        <v>248.15700000000001</v>
      </c>
      <c r="N52" s="57">
        <v>950.09999999999991</v>
      </c>
      <c r="O52" s="58">
        <v>477.96000000000004</v>
      </c>
      <c r="P52" s="59">
        <v>13.252154992049542</v>
      </c>
      <c r="Q52" s="60">
        <v>637.09</v>
      </c>
      <c r="R52" s="61">
        <v>9.9420803968042186</v>
      </c>
      <c r="S52" s="48"/>
      <c r="T52" s="50"/>
      <c r="U52" s="62">
        <v>0</v>
      </c>
      <c r="V52" s="63">
        <v>68</v>
      </c>
      <c r="W52" s="50">
        <v>191</v>
      </c>
      <c r="X52" s="48">
        <v>44</v>
      </c>
      <c r="Y52" s="63">
        <v>90</v>
      </c>
      <c r="Z52" s="63">
        <v>274</v>
      </c>
      <c r="AA52" s="64">
        <v>623.9</v>
      </c>
      <c r="AB52" s="65">
        <v>29.504000000000001</v>
      </c>
      <c r="AC52" s="66"/>
      <c r="AD52" s="67"/>
      <c r="AE52" s="68"/>
      <c r="AF52" s="48">
        <v>124</v>
      </c>
      <c r="AG52" s="63">
        <v>158</v>
      </c>
      <c r="AH52" s="63">
        <v>32</v>
      </c>
      <c r="AI52" s="63">
        <v>88</v>
      </c>
      <c r="AJ52" s="63">
        <v>68</v>
      </c>
      <c r="AK52" s="63">
        <v>171</v>
      </c>
      <c r="AL52" s="63">
        <v>138</v>
      </c>
      <c r="AM52" s="63">
        <v>135</v>
      </c>
      <c r="AN52" s="63">
        <v>362</v>
      </c>
      <c r="AO52" s="63">
        <v>117</v>
      </c>
      <c r="AP52" s="63">
        <v>121</v>
      </c>
      <c r="AQ52" s="63">
        <v>102</v>
      </c>
      <c r="AR52" s="63">
        <v>0</v>
      </c>
      <c r="AS52" s="63">
        <v>0</v>
      </c>
      <c r="AT52" s="63">
        <v>5</v>
      </c>
      <c r="AU52" s="63">
        <v>49</v>
      </c>
      <c r="AV52" s="63">
        <v>292</v>
      </c>
      <c r="AW52" s="50">
        <v>2</v>
      </c>
      <c r="AX52" s="69">
        <v>4144</v>
      </c>
      <c r="AY52" s="69">
        <v>27358</v>
      </c>
      <c r="AZ52" s="54">
        <v>968</v>
      </c>
      <c r="BA52" s="54">
        <v>3377</v>
      </c>
      <c r="BB52" s="54">
        <v>776</v>
      </c>
      <c r="BC52" s="54">
        <v>1770</v>
      </c>
      <c r="BD52" s="54">
        <v>1201</v>
      </c>
      <c r="BE52" s="70">
        <v>1661</v>
      </c>
      <c r="BF52" s="63">
        <v>461</v>
      </c>
      <c r="BG52" s="71">
        <v>3323</v>
      </c>
      <c r="BH52" s="67"/>
      <c r="BI52" s="68"/>
      <c r="BJ52" s="72">
        <v>1221</v>
      </c>
      <c r="BK52" s="62"/>
      <c r="BL52" s="70">
        <v>1882</v>
      </c>
      <c r="BM52" s="70">
        <v>260</v>
      </c>
      <c r="BN52" s="70">
        <v>83</v>
      </c>
      <c r="BO52" s="70">
        <v>872</v>
      </c>
      <c r="BP52" s="73">
        <v>6</v>
      </c>
      <c r="BQ52" s="74">
        <v>639</v>
      </c>
      <c r="BR52" s="54">
        <v>397</v>
      </c>
      <c r="BS52" s="75">
        <v>118</v>
      </c>
      <c r="BT52" s="76">
        <v>76.612903225806448</v>
      </c>
      <c r="BU52" s="77">
        <v>23.387096774193548</v>
      </c>
      <c r="BV52" s="78">
        <v>950</v>
      </c>
      <c r="BW52" s="79">
        <v>290</v>
      </c>
      <c r="BX52" s="62">
        <v>504</v>
      </c>
      <c r="BY52" s="63">
        <v>195</v>
      </c>
      <c r="BZ52" s="63">
        <v>189</v>
      </c>
      <c r="CA52" s="63">
        <v>251</v>
      </c>
      <c r="CB52" s="63">
        <v>6</v>
      </c>
      <c r="CC52" s="63">
        <v>83</v>
      </c>
      <c r="CD52" s="63">
        <v>12</v>
      </c>
      <c r="CE52" s="50">
        <v>0</v>
      </c>
    </row>
    <row r="53" spans="2:83" x14ac:dyDescent="0.3">
      <c r="B53" s="46">
        <v>9</v>
      </c>
      <c r="C53" s="47">
        <v>43521</v>
      </c>
      <c r="D53" s="48">
        <v>2</v>
      </c>
      <c r="E53" s="49">
        <v>2631</v>
      </c>
      <c r="F53" s="50">
        <v>202</v>
      </c>
      <c r="G53" s="51">
        <v>2.163845633039946</v>
      </c>
      <c r="H53" s="52">
        <v>3.0849420849420848</v>
      </c>
      <c r="I53" s="53">
        <v>2072</v>
      </c>
      <c r="J53" s="54">
        <v>2954</v>
      </c>
      <c r="K53" s="54">
        <v>6392</v>
      </c>
      <c r="L53" s="55">
        <v>4969.1000000000004</v>
      </c>
      <c r="M53" s="56">
        <v>477</v>
      </c>
      <c r="N53" s="57">
        <v>958.80000000000007</v>
      </c>
      <c r="O53" s="58">
        <v>565.19000000000005</v>
      </c>
      <c r="P53" s="59">
        <v>11.309471151294254</v>
      </c>
      <c r="Q53" s="60">
        <v>708.26</v>
      </c>
      <c r="R53" s="61">
        <v>9.0249343461440716</v>
      </c>
      <c r="S53" s="48"/>
      <c r="T53" s="50"/>
      <c r="U53" s="62">
        <v>0</v>
      </c>
      <c r="V53" s="63">
        <v>61</v>
      </c>
      <c r="W53" s="50">
        <v>45</v>
      </c>
      <c r="X53" s="48">
        <v>23</v>
      </c>
      <c r="Y53" s="63">
        <v>230</v>
      </c>
      <c r="Z53" s="63">
        <v>53</v>
      </c>
      <c r="AA53" s="64">
        <v>191.7</v>
      </c>
      <c r="AB53" s="65">
        <v>131.46600000000001</v>
      </c>
      <c r="AC53" s="66"/>
      <c r="AD53" s="67"/>
      <c r="AE53" s="68"/>
      <c r="AF53" s="48">
        <v>192</v>
      </c>
      <c r="AG53" s="63">
        <v>414</v>
      </c>
      <c r="AH53" s="63">
        <v>65</v>
      </c>
      <c r="AI53" s="63">
        <v>141</v>
      </c>
      <c r="AJ53" s="63">
        <v>117</v>
      </c>
      <c r="AK53" s="63">
        <v>332</v>
      </c>
      <c r="AL53" s="63">
        <v>199</v>
      </c>
      <c r="AM53" s="63">
        <v>160</v>
      </c>
      <c r="AN53" s="63">
        <v>363</v>
      </c>
      <c r="AO53" s="63">
        <v>125</v>
      </c>
      <c r="AP53" s="63">
        <v>172</v>
      </c>
      <c r="AQ53" s="63">
        <v>295</v>
      </c>
      <c r="AR53" s="63">
        <v>18</v>
      </c>
      <c r="AS53" s="63">
        <v>1</v>
      </c>
      <c r="AT53" s="63">
        <v>9</v>
      </c>
      <c r="AU53" s="63">
        <v>70</v>
      </c>
      <c r="AV53" s="63">
        <v>119</v>
      </c>
      <c r="AW53" s="50">
        <v>11</v>
      </c>
      <c r="AX53" s="69">
        <v>5122</v>
      </c>
      <c r="AY53" s="69">
        <v>28932</v>
      </c>
      <c r="AZ53" s="54">
        <v>1020</v>
      </c>
      <c r="BA53" s="54">
        <v>3070</v>
      </c>
      <c r="BB53" s="54">
        <v>653</v>
      </c>
      <c r="BC53" s="54">
        <v>1487</v>
      </c>
      <c r="BD53" s="54">
        <v>1585</v>
      </c>
      <c r="BE53" s="70">
        <v>1070</v>
      </c>
      <c r="BF53" s="63">
        <v>640</v>
      </c>
      <c r="BG53" s="71">
        <v>3295</v>
      </c>
      <c r="BH53" s="67"/>
      <c r="BI53" s="68"/>
      <c r="BJ53" s="72">
        <v>1408</v>
      </c>
      <c r="BK53" s="62"/>
      <c r="BL53" s="70">
        <v>2185</v>
      </c>
      <c r="BM53" s="70">
        <v>218</v>
      </c>
      <c r="BN53" s="70">
        <v>160</v>
      </c>
      <c r="BO53" s="70">
        <v>982</v>
      </c>
      <c r="BP53" s="73">
        <v>48</v>
      </c>
      <c r="BQ53" s="74">
        <v>1380</v>
      </c>
      <c r="BR53" s="54">
        <v>339</v>
      </c>
      <c r="BS53" s="75">
        <v>62</v>
      </c>
      <c r="BT53" s="76">
        <v>76.362759286058846</v>
      </c>
      <c r="BU53" s="77">
        <v>23.637240713941146</v>
      </c>
      <c r="BV53" s="78">
        <v>1583</v>
      </c>
      <c r="BW53" s="79">
        <v>490</v>
      </c>
      <c r="BX53" s="62">
        <v>948</v>
      </c>
      <c r="BY53" s="63">
        <v>153</v>
      </c>
      <c r="BZ53" s="63">
        <v>199</v>
      </c>
      <c r="CA53" s="63">
        <v>482</v>
      </c>
      <c r="CB53" s="63">
        <v>12</v>
      </c>
      <c r="CC53" s="63">
        <v>263</v>
      </c>
      <c r="CD53" s="63">
        <v>16</v>
      </c>
      <c r="CE53" s="50">
        <v>0</v>
      </c>
    </row>
    <row r="54" spans="2:83" x14ac:dyDescent="0.3">
      <c r="B54" s="46">
        <v>9</v>
      </c>
      <c r="C54" s="47">
        <v>43522</v>
      </c>
      <c r="D54" s="48">
        <v>7</v>
      </c>
      <c r="E54" s="49">
        <v>1293</v>
      </c>
      <c r="F54" s="50">
        <v>359</v>
      </c>
      <c r="G54" s="51">
        <v>2.9211448598130842</v>
      </c>
      <c r="H54" s="52">
        <v>5.5137816979051824</v>
      </c>
      <c r="I54" s="53">
        <v>907</v>
      </c>
      <c r="J54" s="54">
        <v>1712</v>
      </c>
      <c r="K54" s="54">
        <v>5001</v>
      </c>
      <c r="L54" s="55">
        <v>8518.2999999999993</v>
      </c>
      <c r="M54" s="56">
        <v>500</v>
      </c>
      <c r="N54" s="57">
        <v>750.15000000000009</v>
      </c>
      <c r="O54" s="58">
        <v>445.51000000000005</v>
      </c>
      <c r="P54" s="59">
        <v>11.225337253933693</v>
      </c>
      <c r="Q54" s="60">
        <v>586.34</v>
      </c>
      <c r="R54" s="61">
        <v>8.5291810212504693</v>
      </c>
      <c r="S54" s="48"/>
      <c r="T54" s="50"/>
      <c r="U54" s="62">
        <v>0</v>
      </c>
      <c r="V54" s="63">
        <v>28</v>
      </c>
      <c r="W54" s="50">
        <v>157</v>
      </c>
      <c r="X54" s="48">
        <v>22</v>
      </c>
      <c r="Y54" s="63">
        <v>115</v>
      </c>
      <c r="Z54" s="63">
        <v>108</v>
      </c>
      <c r="AA54" s="64">
        <v>523.5</v>
      </c>
      <c r="AB54" s="65">
        <v>56.968000000000004</v>
      </c>
      <c r="AC54" s="66"/>
      <c r="AD54" s="67"/>
      <c r="AE54" s="68"/>
      <c r="AF54" s="48">
        <v>74</v>
      </c>
      <c r="AG54" s="63">
        <v>129</v>
      </c>
      <c r="AH54" s="63">
        <v>18</v>
      </c>
      <c r="AI54" s="63">
        <v>48</v>
      </c>
      <c r="AJ54" s="63">
        <v>63</v>
      </c>
      <c r="AK54" s="63">
        <v>134</v>
      </c>
      <c r="AL54" s="63">
        <v>75</v>
      </c>
      <c r="AM54" s="63">
        <v>48</v>
      </c>
      <c r="AN54" s="63">
        <v>173</v>
      </c>
      <c r="AO54" s="63">
        <v>52</v>
      </c>
      <c r="AP54" s="63">
        <v>69</v>
      </c>
      <c r="AQ54" s="63">
        <v>380</v>
      </c>
      <c r="AR54" s="63">
        <v>8</v>
      </c>
      <c r="AS54" s="63">
        <v>2</v>
      </c>
      <c r="AT54" s="63">
        <v>8</v>
      </c>
      <c r="AU54" s="63">
        <v>63</v>
      </c>
      <c r="AV54" s="63">
        <v>271</v>
      </c>
      <c r="AW54" s="50">
        <v>24</v>
      </c>
      <c r="AX54" s="69">
        <v>3532</v>
      </c>
      <c r="AY54" s="69">
        <v>20442</v>
      </c>
      <c r="AZ54" s="54">
        <v>160</v>
      </c>
      <c r="BA54" s="54">
        <v>788</v>
      </c>
      <c r="BB54" s="54">
        <v>258</v>
      </c>
      <c r="BC54" s="54">
        <v>941</v>
      </c>
      <c r="BD54" s="54">
        <v>885</v>
      </c>
      <c r="BE54" s="70">
        <v>435</v>
      </c>
      <c r="BF54" s="63">
        <v>154</v>
      </c>
      <c r="BG54" s="71">
        <v>1474</v>
      </c>
      <c r="BH54" s="67"/>
      <c r="BI54" s="68"/>
      <c r="BJ54" s="72">
        <v>1066</v>
      </c>
      <c r="BK54" s="62"/>
      <c r="BL54" s="70">
        <v>1972</v>
      </c>
      <c r="BM54" s="70">
        <v>126</v>
      </c>
      <c r="BN54" s="70">
        <v>167</v>
      </c>
      <c r="BO54" s="70">
        <v>764</v>
      </c>
      <c r="BP54" s="73">
        <v>9</v>
      </c>
      <c r="BQ54" s="74">
        <v>527</v>
      </c>
      <c r="BR54" s="54">
        <v>165</v>
      </c>
      <c r="BS54" s="75">
        <v>61</v>
      </c>
      <c r="BT54" s="76">
        <v>66.925638179800217</v>
      </c>
      <c r="BU54" s="77">
        <v>33.074361820199776</v>
      </c>
      <c r="BV54" s="78">
        <v>603</v>
      </c>
      <c r="BW54" s="79">
        <v>298</v>
      </c>
      <c r="BX54" s="62">
        <v>296</v>
      </c>
      <c r="BY54" s="63">
        <v>56</v>
      </c>
      <c r="BZ54" s="63">
        <v>125</v>
      </c>
      <c r="CA54" s="63">
        <v>251</v>
      </c>
      <c r="CB54" s="63">
        <v>5</v>
      </c>
      <c r="CC54" s="63">
        <v>162</v>
      </c>
      <c r="CD54" s="63">
        <v>6</v>
      </c>
      <c r="CE54" s="50">
        <v>0</v>
      </c>
    </row>
    <row r="55" spans="2:83" x14ac:dyDescent="0.3">
      <c r="B55" s="46">
        <v>9</v>
      </c>
      <c r="C55" s="47">
        <v>43523</v>
      </c>
      <c r="D55" s="48">
        <v>13</v>
      </c>
      <c r="E55" s="49">
        <v>1331</v>
      </c>
      <c r="F55" s="50">
        <v>321</v>
      </c>
      <c r="G55" s="51">
        <v>4.0174174174174171</v>
      </c>
      <c r="H55" s="52">
        <v>6.4009569377990427</v>
      </c>
      <c r="I55" s="53">
        <v>1045</v>
      </c>
      <c r="J55" s="54">
        <v>1665</v>
      </c>
      <c r="K55" s="54">
        <v>6689</v>
      </c>
      <c r="L55" s="55">
        <v>5018</v>
      </c>
      <c r="M55" s="56">
        <v>502</v>
      </c>
      <c r="N55" s="57">
        <v>1003.35</v>
      </c>
      <c r="O55" s="58">
        <v>537.75</v>
      </c>
      <c r="P55" s="59">
        <v>12.438865643886565</v>
      </c>
      <c r="Q55" s="60">
        <v>688.86999999999989</v>
      </c>
      <c r="R55" s="61">
        <v>9.7101049544906886</v>
      </c>
      <c r="S55" s="48"/>
      <c r="T55" s="50"/>
      <c r="U55" s="62">
        <v>0</v>
      </c>
      <c r="V55" s="63">
        <v>93</v>
      </c>
      <c r="W55" s="50">
        <v>96</v>
      </c>
      <c r="X55" s="48">
        <v>57</v>
      </c>
      <c r="Y55" s="63">
        <v>160</v>
      </c>
      <c r="Z55" s="63">
        <v>339</v>
      </c>
      <c r="AA55" s="64">
        <v>903.2</v>
      </c>
      <c r="AB55" s="65">
        <v>97.195999999999998</v>
      </c>
      <c r="AC55" s="66"/>
      <c r="AD55" s="67"/>
      <c r="AE55" s="68"/>
      <c r="AF55" s="48">
        <v>97</v>
      </c>
      <c r="AG55" s="63">
        <v>117</v>
      </c>
      <c r="AH55" s="63">
        <v>33</v>
      </c>
      <c r="AI55" s="63">
        <v>63</v>
      </c>
      <c r="AJ55" s="63">
        <v>68</v>
      </c>
      <c r="AK55" s="63">
        <v>104</v>
      </c>
      <c r="AL55" s="63">
        <v>96</v>
      </c>
      <c r="AM55" s="63">
        <v>120</v>
      </c>
      <c r="AN55" s="63">
        <v>291</v>
      </c>
      <c r="AO55" s="63">
        <v>96</v>
      </c>
      <c r="AP55" s="63">
        <v>82</v>
      </c>
      <c r="AQ55" s="63">
        <v>125</v>
      </c>
      <c r="AR55" s="63">
        <v>5</v>
      </c>
      <c r="AS55" s="63">
        <v>0</v>
      </c>
      <c r="AT55" s="63">
        <v>12</v>
      </c>
      <c r="AU55" s="63">
        <v>108</v>
      </c>
      <c r="AV55" s="63">
        <v>190</v>
      </c>
      <c r="AW55" s="50">
        <v>22</v>
      </c>
      <c r="AX55" s="69">
        <v>3518</v>
      </c>
      <c r="AY55" s="69">
        <v>19982</v>
      </c>
      <c r="AZ55" s="54">
        <v>1453</v>
      </c>
      <c r="BA55" s="54">
        <v>3235</v>
      </c>
      <c r="BB55" s="54">
        <v>592</v>
      </c>
      <c r="BC55" s="54">
        <v>126</v>
      </c>
      <c r="BD55" s="54">
        <v>963</v>
      </c>
      <c r="BE55" s="70">
        <v>1379</v>
      </c>
      <c r="BF55" s="63">
        <v>391</v>
      </c>
      <c r="BG55" s="71">
        <v>2733</v>
      </c>
      <c r="BH55" s="67"/>
      <c r="BI55" s="68"/>
      <c r="BJ55" s="72">
        <v>902</v>
      </c>
      <c r="BK55" s="62"/>
      <c r="BL55" s="70">
        <v>1925</v>
      </c>
      <c r="BM55" s="70">
        <v>182</v>
      </c>
      <c r="BN55" s="70">
        <v>69</v>
      </c>
      <c r="BO55" s="70">
        <v>629</v>
      </c>
      <c r="BP55" s="73">
        <v>22</v>
      </c>
      <c r="BQ55" s="74">
        <v>524</v>
      </c>
      <c r="BR55" s="54">
        <v>245</v>
      </c>
      <c r="BS55" s="75">
        <v>106</v>
      </c>
      <c r="BT55" s="76">
        <v>69.223394055608821</v>
      </c>
      <c r="BU55" s="77">
        <v>30.776605944391179</v>
      </c>
      <c r="BV55" s="78">
        <v>722</v>
      </c>
      <c r="BW55" s="79">
        <v>321</v>
      </c>
      <c r="BX55" s="62">
        <v>437</v>
      </c>
      <c r="BY55" s="63">
        <v>102</v>
      </c>
      <c r="BZ55" s="63">
        <v>169</v>
      </c>
      <c r="CA55" s="63">
        <v>183</v>
      </c>
      <c r="CB55" s="63">
        <v>7</v>
      </c>
      <c r="CC55" s="63">
        <v>137</v>
      </c>
      <c r="CD55" s="63">
        <v>8</v>
      </c>
      <c r="CE55" s="50">
        <v>0</v>
      </c>
    </row>
    <row r="56" spans="2:83" x14ac:dyDescent="0.3">
      <c r="B56" s="46">
        <v>9</v>
      </c>
      <c r="C56" s="47">
        <v>43524</v>
      </c>
      <c r="D56" s="48">
        <v>16</v>
      </c>
      <c r="E56" s="49">
        <v>1658</v>
      </c>
      <c r="F56" s="50">
        <v>266</v>
      </c>
      <c r="G56" s="51">
        <v>4.2407696307852314</v>
      </c>
      <c r="H56" s="52">
        <v>6.6680294358135734</v>
      </c>
      <c r="I56" s="53">
        <v>1223</v>
      </c>
      <c r="J56" s="54">
        <v>1923</v>
      </c>
      <c r="K56" s="54">
        <v>8155</v>
      </c>
      <c r="L56" s="55">
        <v>6093.2</v>
      </c>
      <c r="M56" s="56">
        <v>494.6</v>
      </c>
      <c r="N56" s="57">
        <v>1223.25</v>
      </c>
      <c r="O56" s="58">
        <v>551.9</v>
      </c>
      <c r="P56" s="59">
        <v>14.776227577459686</v>
      </c>
      <c r="Q56" s="60">
        <v>671.39</v>
      </c>
      <c r="R56" s="61">
        <v>12.146442455204873</v>
      </c>
      <c r="S56" s="48"/>
      <c r="T56" s="50"/>
      <c r="U56" s="62">
        <v>0</v>
      </c>
      <c r="V56" s="63">
        <v>95</v>
      </c>
      <c r="W56" s="50">
        <v>40</v>
      </c>
      <c r="X56" s="48">
        <v>38</v>
      </c>
      <c r="Y56" s="63">
        <v>169</v>
      </c>
      <c r="Z56" s="63">
        <v>238</v>
      </c>
      <c r="AA56" s="64">
        <v>1027.5999999999999</v>
      </c>
      <c r="AB56" s="65">
        <v>99.403999999999996</v>
      </c>
      <c r="AC56" s="66"/>
      <c r="AD56" s="67"/>
      <c r="AE56" s="68"/>
      <c r="AF56" s="48">
        <v>136</v>
      </c>
      <c r="AG56" s="63">
        <v>176</v>
      </c>
      <c r="AH56" s="63">
        <v>36</v>
      </c>
      <c r="AI56" s="63">
        <v>63</v>
      </c>
      <c r="AJ56" s="63">
        <v>87</v>
      </c>
      <c r="AK56" s="63">
        <v>139</v>
      </c>
      <c r="AL56" s="63">
        <v>134</v>
      </c>
      <c r="AM56" s="63">
        <v>118</v>
      </c>
      <c r="AN56" s="63">
        <v>349</v>
      </c>
      <c r="AO56" s="63">
        <v>90</v>
      </c>
      <c r="AP56" s="63">
        <v>101</v>
      </c>
      <c r="AQ56" s="63">
        <v>172</v>
      </c>
      <c r="AR56" s="63">
        <v>2</v>
      </c>
      <c r="AS56" s="63">
        <v>1</v>
      </c>
      <c r="AT56" s="63">
        <v>17</v>
      </c>
      <c r="AU56" s="63">
        <v>83</v>
      </c>
      <c r="AV56" s="63">
        <v>170</v>
      </c>
      <c r="AW56" s="50">
        <v>13</v>
      </c>
      <c r="AX56" s="69">
        <v>3336</v>
      </c>
      <c r="AY56" s="69">
        <v>29119</v>
      </c>
      <c r="AZ56" s="54">
        <v>721</v>
      </c>
      <c r="BA56" s="54">
        <v>2484</v>
      </c>
      <c r="BB56" s="54">
        <v>240</v>
      </c>
      <c r="BC56" s="54">
        <v>523</v>
      </c>
      <c r="BD56" s="54">
        <v>1031</v>
      </c>
      <c r="BE56" s="70">
        <v>1623</v>
      </c>
      <c r="BF56" s="63">
        <v>211</v>
      </c>
      <c r="BG56" s="71">
        <v>2865</v>
      </c>
      <c r="BH56" s="67"/>
      <c r="BI56" s="68"/>
      <c r="BJ56" s="72">
        <v>1084</v>
      </c>
      <c r="BK56" s="62"/>
      <c r="BL56" s="70">
        <v>2615</v>
      </c>
      <c r="BM56" s="70">
        <v>247</v>
      </c>
      <c r="BN56" s="70">
        <v>47</v>
      </c>
      <c r="BO56" s="70">
        <v>775</v>
      </c>
      <c r="BP56" s="73">
        <v>15</v>
      </c>
      <c r="BQ56" s="74">
        <v>703</v>
      </c>
      <c r="BR56" s="54">
        <v>241</v>
      </c>
      <c r="BS56" s="75">
        <v>93</v>
      </c>
      <c r="BT56" s="76">
        <v>67.48366013071896</v>
      </c>
      <c r="BU56" s="77">
        <v>32.516339869281047</v>
      </c>
      <c r="BV56" s="78">
        <v>826</v>
      </c>
      <c r="BW56" s="79">
        <v>398</v>
      </c>
      <c r="BX56" s="62">
        <v>426</v>
      </c>
      <c r="BY56" s="63">
        <v>89</v>
      </c>
      <c r="BZ56" s="63">
        <v>207</v>
      </c>
      <c r="CA56" s="63">
        <v>311</v>
      </c>
      <c r="CB56" s="63">
        <v>11</v>
      </c>
      <c r="CC56" s="63">
        <v>176</v>
      </c>
      <c r="CD56" s="63">
        <v>4</v>
      </c>
      <c r="CE56" s="50">
        <v>0</v>
      </c>
    </row>
    <row r="57" spans="2:83" x14ac:dyDescent="0.3">
      <c r="B57" s="46">
        <v>9</v>
      </c>
      <c r="C57" s="47">
        <v>43525</v>
      </c>
      <c r="D57" s="48">
        <v>10</v>
      </c>
      <c r="E57" s="49">
        <v>2140</v>
      </c>
      <c r="F57" s="50">
        <v>355</v>
      </c>
      <c r="G57" s="51">
        <v>2.3265469061876249</v>
      </c>
      <c r="H57" s="52">
        <v>4.6661329063250596</v>
      </c>
      <c r="I57" s="53">
        <v>1249</v>
      </c>
      <c r="J57" s="54">
        <v>2505</v>
      </c>
      <c r="K57" s="54">
        <v>5828</v>
      </c>
      <c r="L57" s="55">
        <v>4837.5</v>
      </c>
      <c r="M57" s="56">
        <v>424</v>
      </c>
      <c r="N57" s="57">
        <v>874.2</v>
      </c>
      <c r="O57" s="58">
        <v>523.47</v>
      </c>
      <c r="P57" s="59">
        <v>11.133398284524423</v>
      </c>
      <c r="Q57" s="60">
        <v>660.52</v>
      </c>
      <c r="R57" s="61">
        <v>8.823351298976565</v>
      </c>
      <c r="S57" s="48"/>
      <c r="T57" s="50"/>
      <c r="U57" s="62">
        <v>0</v>
      </c>
      <c r="V57" s="63">
        <v>61</v>
      </c>
      <c r="W57" s="50">
        <v>172</v>
      </c>
      <c r="X57" s="48">
        <v>44</v>
      </c>
      <c r="Y57" s="63">
        <v>172</v>
      </c>
      <c r="Z57" s="63">
        <v>205</v>
      </c>
      <c r="AA57" s="64">
        <v>595</v>
      </c>
      <c r="AB57" s="65">
        <v>99.19</v>
      </c>
      <c r="AC57" s="66"/>
      <c r="AD57" s="67"/>
      <c r="AE57" s="68"/>
      <c r="AF57" s="48">
        <v>91</v>
      </c>
      <c r="AG57" s="63">
        <v>129</v>
      </c>
      <c r="AH57" s="63">
        <v>29</v>
      </c>
      <c r="AI57" s="63">
        <v>52</v>
      </c>
      <c r="AJ57" s="63">
        <v>73</v>
      </c>
      <c r="AK57" s="63">
        <v>134</v>
      </c>
      <c r="AL57" s="63">
        <v>111</v>
      </c>
      <c r="AM57" s="63">
        <v>121</v>
      </c>
      <c r="AN57" s="63">
        <v>549</v>
      </c>
      <c r="AO57" s="63">
        <v>117</v>
      </c>
      <c r="AP57" s="63">
        <v>275</v>
      </c>
      <c r="AQ57" s="63">
        <v>373</v>
      </c>
      <c r="AR57" s="63">
        <v>3</v>
      </c>
      <c r="AS57" s="63">
        <v>0</v>
      </c>
      <c r="AT57" s="63">
        <v>13</v>
      </c>
      <c r="AU57" s="63">
        <v>52</v>
      </c>
      <c r="AV57" s="63">
        <v>279</v>
      </c>
      <c r="AW57" s="50">
        <v>24</v>
      </c>
      <c r="AX57" s="69">
        <v>2749</v>
      </c>
      <c r="AY57" s="69">
        <v>17037</v>
      </c>
      <c r="AZ57" s="54">
        <v>107</v>
      </c>
      <c r="BA57" s="54">
        <v>488</v>
      </c>
      <c r="BB57" s="54">
        <v>838</v>
      </c>
      <c r="BC57" s="54">
        <v>2293</v>
      </c>
      <c r="BD57" s="54">
        <v>973</v>
      </c>
      <c r="BE57" s="70">
        <v>1101</v>
      </c>
      <c r="BF57" s="63">
        <v>563</v>
      </c>
      <c r="BG57" s="71">
        <v>2637</v>
      </c>
      <c r="BH57" s="67"/>
      <c r="BI57" s="68"/>
      <c r="BJ57" s="72">
        <v>1092</v>
      </c>
      <c r="BK57" s="62"/>
      <c r="BL57" s="70">
        <v>1716</v>
      </c>
      <c r="BM57" s="70">
        <v>239</v>
      </c>
      <c r="BN57" s="70">
        <v>112</v>
      </c>
      <c r="BO57" s="70">
        <v>738</v>
      </c>
      <c r="BP57" s="73">
        <v>3</v>
      </c>
      <c r="BQ57" s="74">
        <v>481</v>
      </c>
      <c r="BR57" s="54">
        <v>404</v>
      </c>
      <c r="BS57" s="75">
        <v>136</v>
      </c>
      <c r="BT57" s="76">
        <v>64.285714285714292</v>
      </c>
      <c r="BU57" s="77">
        <v>35.714285714285715</v>
      </c>
      <c r="BV57" s="78">
        <v>801</v>
      </c>
      <c r="BW57" s="79">
        <v>445</v>
      </c>
      <c r="BX57" s="62">
        <v>478</v>
      </c>
      <c r="BY57" s="63">
        <v>130</v>
      </c>
      <c r="BZ57" s="63">
        <v>242</v>
      </c>
      <c r="CA57" s="63">
        <v>193</v>
      </c>
      <c r="CB57" s="63">
        <v>9</v>
      </c>
      <c r="CC57" s="63">
        <v>190</v>
      </c>
      <c r="CD57" s="63">
        <v>4</v>
      </c>
      <c r="CE57" s="50">
        <v>0</v>
      </c>
    </row>
    <row r="58" spans="2:83" x14ac:dyDescent="0.3">
      <c r="B58" s="46">
        <v>10</v>
      </c>
      <c r="C58" s="47">
        <v>43528</v>
      </c>
      <c r="D58" s="48">
        <v>26</v>
      </c>
      <c r="E58" s="49">
        <v>2871</v>
      </c>
      <c r="F58" s="50">
        <v>366</v>
      </c>
      <c r="G58" s="51">
        <v>2.3075980392156863</v>
      </c>
      <c r="H58" s="52">
        <v>3.4582185491276398</v>
      </c>
      <c r="I58" s="53">
        <v>2178</v>
      </c>
      <c r="J58" s="54">
        <v>3264</v>
      </c>
      <c r="K58" s="54">
        <v>7532</v>
      </c>
      <c r="L58" s="55">
        <v>4588.1000000000004</v>
      </c>
      <c r="M58" s="56">
        <v>560.40200000000004</v>
      </c>
      <c r="N58" s="57">
        <v>1129.8</v>
      </c>
      <c r="O58" s="58">
        <v>594.48</v>
      </c>
      <c r="P58" s="59">
        <v>12.669896380029606</v>
      </c>
      <c r="Q58" s="60">
        <v>737.03</v>
      </c>
      <c r="R58" s="61">
        <v>10.2193940545161</v>
      </c>
      <c r="S58" s="48"/>
      <c r="T58" s="50"/>
      <c r="U58" s="62">
        <v>0</v>
      </c>
      <c r="V58" s="63">
        <v>36</v>
      </c>
      <c r="W58" s="50">
        <v>227</v>
      </c>
      <c r="X58" s="48">
        <v>24</v>
      </c>
      <c r="Y58" s="63">
        <v>256</v>
      </c>
      <c r="Z58" s="63">
        <v>98</v>
      </c>
      <c r="AA58" s="64">
        <v>539.29999999999995</v>
      </c>
      <c r="AB58" s="65">
        <v>200.52199999999999</v>
      </c>
      <c r="AC58" s="66"/>
      <c r="AD58" s="67"/>
      <c r="AE58" s="68"/>
      <c r="AF58" s="48">
        <v>184</v>
      </c>
      <c r="AG58" s="63">
        <v>392</v>
      </c>
      <c r="AH58" s="63">
        <v>80</v>
      </c>
      <c r="AI58" s="63">
        <v>164</v>
      </c>
      <c r="AJ58" s="63">
        <v>129</v>
      </c>
      <c r="AK58" s="63">
        <v>345</v>
      </c>
      <c r="AL58" s="63">
        <v>211</v>
      </c>
      <c r="AM58" s="63">
        <v>127</v>
      </c>
      <c r="AN58" s="63">
        <v>463</v>
      </c>
      <c r="AO58" s="63">
        <v>127</v>
      </c>
      <c r="AP58" s="63">
        <v>189</v>
      </c>
      <c r="AQ58" s="63">
        <v>350</v>
      </c>
      <c r="AR58" s="63">
        <v>20</v>
      </c>
      <c r="AS58" s="63">
        <v>0</v>
      </c>
      <c r="AT58" s="63">
        <v>43</v>
      </c>
      <c r="AU58" s="63">
        <v>50</v>
      </c>
      <c r="AV58" s="63">
        <v>287</v>
      </c>
      <c r="AW58" s="50">
        <v>29</v>
      </c>
      <c r="AX58" s="69">
        <v>5431</v>
      </c>
      <c r="AY58" s="69">
        <v>23744</v>
      </c>
      <c r="AZ58" s="54">
        <v>357</v>
      </c>
      <c r="BA58" s="54">
        <v>933</v>
      </c>
      <c r="BB58" s="54">
        <v>683</v>
      </c>
      <c r="BC58" s="54">
        <v>1406</v>
      </c>
      <c r="BD58" s="54">
        <v>1626</v>
      </c>
      <c r="BE58" s="70">
        <v>1347</v>
      </c>
      <c r="BF58" s="63">
        <v>513</v>
      </c>
      <c r="BG58" s="71">
        <v>3486</v>
      </c>
      <c r="BH58" s="67"/>
      <c r="BI58" s="68"/>
      <c r="BJ58" s="72">
        <v>1096</v>
      </c>
      <c r="BK58" s="62"/>
      <c r="BL58" s="70">
        <v>2389</v>
      </c>
      <c r="BM58" s="70">
        <v>210</v>
      </c>
      <c r="BN58" s="70">
        <v>115</v>
      </c>
      <c r="BO58" s="70">
        <v>759</v>
      </c>
      <c r="BP58" s="73">
        <v>12</v>
      </c>
      <c r="BQ58" s="74">
        <v>1431</v>
      </c>
      <c r="BR58" s="54">
        <v>389</v>
      </c>
      <c r="BS58" s="75">
        <v>107</v>
      </c>
      <c r="BT58" s="76">
        <v>75.335492827394731</v>
      </c>
      <c r="BU58" s="77">
        <v>24.664507172605276</v>
      </c>
      <c r="BV58" s="78">
        <v>1628</v>
      </c>
      <c r="BW58" s="79">
        <v>533</v>
      </c>
      <c r="BX58" s="62">
        <v>941</v>
      </c>
      <c r="BY58" s="63">
        <v>102</v>
      </c>
      <c r="BZ58" s="63">
        <v>315</v>
      </c>
      <c r="CA58" s="63">
        <v>585</v>
      </c>
      <c r="CB58" s="63">
        <v>5</v>
      </c>
      <c r="CC58" s="63">
        <v>185</v>
      </c>
      <c r="CD58" s="63">
        <v>22</v>
      </c>
      <c r="CE58" s="50">
        <v>6</v>
      </c>
    </row>
    <row r="59" spans="2:83" x14ac:dyDescent="0.3">
      <c r="B59" s="46">
        <v>10</v>
      </c>
      <c r="C59" s="47">
        <v>43529</v>
      </c>
      <c r="D59" s="48">
        <v>7</v>
      </c>
      <c r="E59" s="49">
        <v>1959</v>
      </c>
      <c r="F59" s="50">
        <v>376</v>
      </c>
      <c r="G59" s="51">
        <v>3.2406171809841533</v>
      </c>
      <c r="H59" s="52">
        <v>5.3044368600682592</v>
      </c>
      <c r="I59" s="53">
        <v>1465</v>
      </c>
      <c r="J59" s="54">
        <v>2398</v>
      </c>
      <c r="K59" s="54">
        <v>7771</v>
      </c>
      <c r="L59" s="55">
        <v>7552.4</v>
      </c>
      <c r="M59" s="56">
        <v>761.91800000000001</v>
      </c>
      <c r="N59" s="57">
        <v>1165.6500000000001</v>
      </c>
      <c r="O59" s="58">
        <v>597.15000000000009</v>
      </c>
      <c r="P59" s="59">
        <v>13.013480699991625</v>
      </c>
      <c r="Q59" s="60">
        <v>748.81999999999994</v>
      </c>
      <c r="R59" s="61">
        <v>10.377660853075506</v>
      </c>
      <c r="S59" s="48"/>
      <c r="T59" s="50"/>
      <c r="U59" s="62">
        <v>0</v>
      </c>
      <c r="V59" s="63">
        <v>76</v>
      </c>
      <c r="W59" s="50">
        <v>77</v>
      </c>
      <c r="X59" s="48">
        <v>60</v>
      </c>
      <c r="Y59" s="63">
        <v>204</v>
      </c>
      <c r="Z59" s="63">
        <v>417</v>
      </c>
      <c r="AA59" s="64">
        <v>878.9</v>
      </c>
      <c r="AB59" s="65">
        <v>185.33199999999999</v>
      </c>
      <c r="AC59" s="66"/>
      <c r="AD59" s="67"/>
      <c r="AE59" s="68"/>
      <c r="AF59" s="48">
        <v>93</v>
      </c>
      <c r="AG59" s="63">
        <v>200</v>
      </c>
      <c r="AH59" s="63">
        <v>26</v>
      </c>
      <c r="AI59" s="63">
        <v>90</v>
      </c>
      <c r="AJ59" s="63">
        <v>77</v>
      </c>
      <c r="AK59" s="63">
        <v>163</v>
      </c>
      <c r="AL59" s="63">
        <v>168</v>
      </c>
      <c r="AM59" s="63">
        <v>124</v>
      </c>
      <c r="AN59" s="63">
        <v>391</v>
      </c>
      <c r="AO59" s="63">
        <v>179</v>
      </c>
      <c r="AP59" s="63">
        <v>191</v>
      </c>
      <c r="AQ59" s="63">
        <v>217</v>
      </c>
      <c r="AR59" s="63">
        <v>0</v>
      </c>
      <c r="AS59" s="63">
        <v>1</v>
      </c>
      <c r="AT59" s="63">
        <v>8</v>
      </c>
      <c r="AU59" s="63">
        <v>69</v>
      </c>
      <c r="AV59" s="63">
        <v>285</v>
      </c>
      <c r="AW59" s="50">
        <v>19</v>
      </c>
      <c r="AX59" s="69">
        <v>5514</v>
      </c>
      <c r="AY59" s="69">
        <v>27949</v>
      </c>
      <c r="AZ59" s="54">
        <v>289</v>
      </c>
      <c r="BA59" s="54">
        <v>991</v>
      </c>
      <c r="BB59" s="54">
        <v>697</v>
      </c>
      <c r="BC59" s="54">
        <v>1678</v>
      </c>
      <c r="BD59" s="54">
        <v>1229</v>
      </c>
      <c r="BE59" s="70">
        <v>955</v>
      </c>
      <c r="BF59" s="63">
        <v>356</v>
      </c>
      <c r="BG59" s="71">
        <v>2540</v>
      </c>
      <c r="BH59" s="67"/>
      <c r="BI59" s="68"/>
      <c r="BJ59" s="72">
        <v>1165</v>
      </c>
      <c r="BK59" s="62"/>
      <c r="BL59" s="70">
        <v>2368</v>
      </c>
      <c r="BM59" s="70">
        <v>201</v>
      </c>
      <c r="BN59" s="70">
        <v>186</v>
      </c>
      <c r="BO59" s="70">
        <v>767</v>
      </c>
      <c r="BP59" s="73">
        <v>11</v>
      </c>
      <c r="BQ59" s="74">
        <v>741</v>
      </c>
      <c r="BR59" s="54">
        <v>374</v>
      </c>
      <c r="BS59" s="75">
        <v>63</v>
      </c>
      <c r="BT59" s="76">
        <v>68.99338721528288</v>
      </c>
      <c r="BU59" s="77">
        <v>31.00661278471712</v>
      </c>
      <c r="BV59" s="78">
        <v>939</v>
      </c>
      <c r="BW59" s="79">
        <v>422</v>
      </c>
      <c r="BX59" s="62">
        <v>527</v>
      </c>
      <c r="BY59" s="63">
        <v>148</v>
      </c>
      <c r="BZ59" s="63">
        <v>248</v>
      </c>
      <c r="CA59" s="63">
        <v>264</v>
      </c>
      <c r="CB59" s="63">
        <v>8</v>
      </c>
      <c r="CC59" s="63">
        <v>158</v>
      </c>
      <c r="CD59" s="63">
        <v>8</v>
      </c>
      <c r="CE59" s="50">
        <v>0</v>
      </c>
    </row>
    <row r="60" spans="2:83" x14ac:dyDescent="0.3">
      <c r="B60" s="46">
        <v>10</v>
      </c>
      <c r="C60" s="47">
        <v>43530</v>
      </c>
      <c r="D60" s="48">
        <v>5</v>
      </c>
      <c r="E60" s="49">
        <v>1607</v>
      </c>
      <c r="F60" s="50">
        <v>480</v>
      </c>
      <c r="G60" s="51">
        <v>3.7904483430799218</v>
      </c>
      <c r="H60" s="52">
        <v>5.9969159599074784</v>
      </c>
      <c r="I60" s="53">
        <v>1297</v>
      </c>
      <c r="J60" s="54">
        <v>2052</v>
      </c>
      <c r="K60" s="54">
        <v>7778</v>
      </c>
      <c r="L60" s="55">
        <v>6965.8</v>
      </c>
      <c r="M60" s="56">
        <v>733.47299999999996</v>
      </c>
      <c r="N60" s="57">
        <v>1166.7</v>
      </c>
      <c r="O60" s="58">
        <v>587.01</v>
      </c>
      <c r="P60" s="59">
        <v>13.250200166947753</v>
      </c>
      <c r="Q60" s="60">
        <v>728.76</v>
      </c>
      <c r="R60" s="61">
        <v>10.67292387068445</v>
      </c>
      <c r="S60" s="48"/>
      <c r="T60" s="50"/>
      <c r="U60" s="62">
        <v>0</v>
      </c>
      <c r="V60" s="63">
        <v>105</v>
      </c>
      <c r="W60" s="50">
        <v>103</v>
      </c>
      <c r="X60" s="48">
        <v>62</v>
      </c>
      <c r="Y60" s="63">
        <v>211</v>
      </c>
      <c r="Z60" s="63">
        <v>395</v>
      </c>
      <c r="AA60" s="64">
        <v>1454.4</v>
      </c>
      <c r="AB60" s="65">
        <v>156.11199999999999</v>
      </c>
      <c r="AC60" s="66"/>
      <c r="AD60" s="67"/>
      <c r="AE60" s="68"/>
      <c r="AF60" s="48">
        <v>86</v>
      </c>
      <c r="AG60" s="63">
        <v>143</v>
      </c>
      <c r="AH60" s="63">
        <v>38</v>
      </c>
      <c r="AI60" s="63">
        <v>74</v>
      </c>
      <c r="AJ60" s="63">
        <v>84</v>
      </c>
      <c r="AK60" s="63">
        <v>185</v>
      </c>
      <c r="AL60" s="63">
        <v>125</v>
      </c>
      <c r="AM60" s="63">
        <v>106</v>
      </c>
      <c r="AN60" s="63">
        <v>292</v>
      </c>
      <c r="AO60" s="63">
        <v>121</v>
      </c>
      <c r="AP60" s="63">
        <v>159</v>
      </c>
      <c r="AQ60" s="63">
        <v>169</v>
      </c>
      <c r="AR60" s="63">
        <v>1</v>
      </c>
      <c r="AS60" s="63">
        <v>1</v>
      </c>
      <c r="AT60" s="63">
        <v>8</v>
      </c>
      <c r="AU60" s="63">
        <v>91</v>
      </c>
      <c r="AV60" s="63">
        <v>363</v>
      </c>
      <c r="AW60" s="50">
        <v>26</v>
      </c>
      <c r="AX60" s="69">
        <v>4351</v>
      </c>
      <c r="AY60" s="69">
        <v>27152</v>
      </c>
      <c r="AZ60" s="54">
        <v>673</v>
      </c>
      <c r="BA60" s="54">
        <v>1678</v>
      </c>
      <c r="BB60" s="54">
        <v>855</v>
      </c>
      <c r="BC60" s="54">
        <v>1797</v>
      </c>
      <c r="BD60" s="54">
        <v>1107</v>
      </c>
      <c r="BE60" s="70">
        <v>1421</v>
      </c>
      <c r="BF60" s="63">
        <v>626</v>
      </c>
      <c r="BG60" s="71">
        <v>3154</v>
      </c>
      <c r="BH60" s="67"/>
      <c r="BI60" s="68"/>
      <c r="BJ60" s="72">
        <v>1409</v>
      </c>
      <c r="BK60" s="62"/>
      <c r="BL60" s="70">
        <v>2277</v>
      </c>
      <c r="BM60" s="70">
        <v>358</v>
      </c>
      <c r="BN60" s="70">
        <v>181</v>
      </c>
      <c r="BO60" s="70">
        <v>847</v>
      </c>
      <c r="BP60" s="73">
        <v>23</v>
      </c>
      <c r="BQ60" s="74">
        <v>701</v>
      </c>
      <c r="BR60" s="54">
        <v>269</v>
      </c>
      <c r="BS60" s="75">
        <v>91</v>
      </c>
      <c r="BT60" s="76">
        <v>64.892772041302621</v>
      </c>
      <c r="BU60" s="77">
        <v>35.107227958697379</v>
      </c>
      <c r="BV60" s="78">
        <v>817</v>
      </c>
      <c r="BW60" s="79">
        <v>442</v>
      </c>
      <c r="BX60" s="62">
        <v>399</v>
      </c>
      <c r="BY60" s="63">
        <v>72</v>
      </c>
      <c r="BZ60" s="63">
        <v>239</v>
      </c>
      <c r="CA60" s="63">
        <v>346</v>
      </c>
      <c r="CB60" s="63">
        <v>9</v>
      </c>
      <c r="CC60" s="63">
        <v>150</v>
      </c>
      <c r="CD60" s="63">
        <v>11</v>
      </c>
      <c r="CE60" s="50">
        <v>33</v>
      </c>
    </row>
    <row r="61" spans="2:83" x14ac:dyDescent="0.3">
      <c r="B61" s="46">
        <v>10</v>
      </c>
      <c r="C61" s="47">
        <v>43531</v>
      </c>
      <c r="D61" s="48">
        <v>0</v>
      </c>
      <c r="E61" s="49">
        <v>1773</v>
      </c>
      <c r="F61" s="50">
        <v>392</v>
      </c>
      <c r="G61" s="51">
        <v>4.066949552098067</v>
      </c>
      <c r="H61" s="52">
        <v>7.5336244541484714</v>
      </c>
      <c r="I61" s="53">
        <v>1145</v>
      </c>
      <c r="J61" s="54">
        <v>2121</v>
      </c>
      <c r="K61" s="54">
        <v>8626</v>
      </c>
      <c r="L61" s="55">
        <v>8778.2999999999993</v>
      </c>
      <c r="M61" s="56">
        <v>635.51900000000001</v>
      </c>
      <c r="N61" s="57">
        <v>1293.8999999999999</v>
      </c>
      <c r="O61" s="58">
        <v>576.69999999999993</v>
      </c>
      <c r="P61" s="59">
        <v>14.957516906537196</v>
      </c>
      <c r="Q61" s="60">
        <v>721.83999999999992</v>
      </c>
      <c r="R61" s="61">
        <v>11.950016624182645</v>
      </c>
      <c r="S61" s="48"/>
      <c r="T61" s="50"/>
      <c r="U61" s="62">
        <v>0</v>
      </c>
      <c r="V61" s="63">
        <v>56</v>
      </c>
      <c r="W61" s="50">
        <v>117</v>
      </c>
      <c r="X61" s="48">
        <v>33</v>
      </c>
      <c r="Y61" s="63">
        <v>158</v>
      </c>
      <c r="Z61" s="63">
        <v>263</v>
      </c>
      <c r="AA61" s="64">
        <v>1109.0999999999999</v>
      </c>
      <c r="AB61" s="65">
        <v>150.48099999999999</v>
      </c>
      <c r="AC61" s="66"/>
      <c r="AD61" s="67"/>
      <c r="AE61" s="68"/>
      <c r="AF61" s="48">
        <v>66</v>
      </c>
      <c r="AG61" s="63">
        <v>120</v>
      </c>
      <c r="AH61" s="63">
        <v>13</v>
      </c>
      <c r="AI61" s="63">
        <v>59</v>
      </c>
      <c r="AJ61" s="63">
        <v>62</v>
      </c>
      <c r="AK61" s="63">
        <v>127</v>
      </c>
      <c r="AL61" s="63">
        <v>126</v>
      </c>
      <c r="AM61" s="63">
        <v>101</v>
      </c>
      <c r="AN61" s="63">
        <v>450</v>
      </c>
      <c r="AO61" s="63">
        <v>153</v>
      </c>
      <c r="AP61" s="63">
        <v>212</v>
      </c>
      <c r="AQ61" s="63">
        <v>268</v>
      </c>
      <c r="AR61" s="63">
        <v>0</v>
      </c>
      <c r="AS61" s="63">
        <v>0</v>
      </c>
      <c r="AT61" s="63">
        <v>16</v>
      </c>
      <c r="AU61" s="63">
        <v>83</v>
      </c>
      <c r="AV61" s="63">
        <v>301</v>
      </c>
      <c r="AW61" s="50">
        <v>7</v>
      </c>
      <c r="AX61" s="69">
        <v>4609</v>
      </c>
      <c r="AY61" s="69">
        <v>34095</v>
      </c>
      <c r="AZ61" s="54">
        <v>2279</v>
      </c>
      <c r="BA61" s="54">
        <v>6570</v>
      </c>
      <c r="BB61" s="54">
        <v>411</v>
      </c>
      <c r="BC61" s="54">
        <v>797</v>
      </c>
      <c r="BD61" s="54">
        <v>1207</v>
      </c>
      <c r="BE61" s="70">
        <v>2494</v>
      </c>
      <c r="BF61" s="63">
        <v>495</v>
      </c>
      <c r="BG61" s="71">
        <v>4196</v>
      </c>
      <c r="BH61" s="67"/>
      <c r="BI61" s="68"/>
      <c r="BJ61" s="72">
        <v>1576</v>
      </c>
      <c r="BK61" s="62"/>
      <c r="BL61" s="70">
        <v>2347</v>
      </c>
      <c r="BM61" s="70">
        <v>330</v>
      </c>
      <c r="BN61" s="70">
        <v>199</v>
      </c>
      <c r="BO61" s="70">
        <v>1026</v>
      </c>
      <c r="BP61" s="73">
        <v>21</v>
      </c>
      <c r="BQ61" s="74">
        <v>479</v>
      </c>
      <c r="BR61" s="54">
        <v>367</v>
      </c>
      <c r="BS61" s="75">
        <v>74</v>
      </c>
      <c r="BT61" s="76">
        <v>61.607142857142854</v>
      </c>
      <c r="BU61" s="77">
        <v>38.392857142857146</v>
      </c>
      <c r="BV61" s="78">
        <v>690</v>
      </c>
      <c r="BW61" s="79">
        <v>430</v>
      </c>
      <c r="BX61" s="62">
        <v>336</v>
      </c>
      <c r="BY61" s="63">
        <v>124</v>
      </c>
      <c r="BZ61" s="63">
        <v>233</v>
      </c>
      <c r="CA61" s="63">
        <v>230</v>
      </c>
      <c r="CB61" s="63">
        <v>9</v>
      </c>
      <c r="CC61" s="63">
        <v>174</v>
      </c>
      <c r="CD61" s="63">
        <v>2</v>
      </c>
      <c r="CE61" s="50">
        <v>12</v>
      </c>
    </row>
    <row r="62" spans="2:83" x14ac:dyDescent="0.3">
      <c r="B62" s="46">
        <v>10</v>
      </c>
      <c r="C62" s="47">
        <v>43532</v>
      </c>
      <c r="D62" s="48">
        <v>5</v>
      </c>
      <c r="E62" s="49">
        <v>2020</v>
      </c>
      <c r="F62" s="50">
        <v>239</v>
      </c>
      <c r="G62" s="51">
        <v>3.2231040564373896</v>
      </c>
      <c r="H62" s="52">
        <v>4.6828955797565666</v>
      </c>
      <c r="I62" s="53">
        <v>1561</v>
      </c>
      <c r="J62" s="54">
        <v>2268</v>
      </c>
      <c r="K62" s="54">
        <v>7310</v>
      </c>
      <c r="L62" s="55">
        <v>5873.6</v>
      </c>
      <c r="M62" s="56">
        <v>463</v>
      </c>
      <c r="N62" s="57">
        <v>1096.5</v>
      </c>
      <c r="O62" s="58">
        <v>460.72</v>
      </c>
      <c r="P62" s="59">
        <v>15.866469873241881</v>
      </c>
      <c r="Q62" s="60">
        <v>597.59</v>
      </c>
      <c r="R62" s="61">
        <v>12.232467076088957</v>
      </c>
      <c r="S62" s="48"/>
      <c r="T62" s="50"/>
      <c r="U62" s="62">
        <v>0</v>
      </c>
      <c r="V62" s="63">
        <v>57</v>
      </c>
      <c r="W62" s="50">
        <v>39</v>
      </c>
      <c r="X62" s="48">
        <v>42</v>
      </c>
      <c r="Y62" s="63">
        <v>116</v>
      </c>
      <c r="Z62" s="63">
        <v>137</v>
      </c>
      <c r="AA62" s="64">
        <v>604.29999999999995</v>
      </c>
      <c r="AB62" s="65">
        <v>79.099999999999994</v>
      </c>
      <c r="AC62" s="66"/>
      <c r="AD62" s="67"/>
      <c r="AE62" s="68"/>
      <c r="AF62" s="48">
        <v>150</v>
      </c>
      <c r="AG62" s="63">
        <v>294</v>
      </c>
      <c r="AH62" s="63">
        <v>46</v>
      </c>
      <c r="AI62" s="63">
        <v>106</v>
      </c>
      <c r="AJ62" s="63">
        <v>76</v>
      </c>
      <c r="AK62" s="63">
        <v>203</v>
      </c>
      <c r="AL62" s="63">
        <v>158</v>
      </c>
      <c r="AM62" s="63">
        <v>121</v>
      </c>
      <c r="AN62" s="63">
        <v>389</v>
      </c>
      <c r="AO62" s="63">
        <v>106</v>
      </c>
      <c r="AP62" s="63">
        <v>125</v>
      </c>
      <c r="AQ62" s="63">
        <v>230</v>
      </c>
      <c r="AR62" s="63">
        <v>2</v>
      </c>
      <c r="AS62" s="63">
        <v>2</v>
      </c>
      <c r="AT62" s="63">
        <v>8</v>
      </c>
      <c r="AU62" s="63">
        <v>70</v>
      </c>
      <c r="AV62" s="63">
        <v>148</v>
      </c>
      <c r="AW62" s="50">
        <v>21</v>
      </c>
      <c r="AX62" s="69">
        <v>3009</v>
      </c>
      <c r="AY62" s="69">
        <v>18097</v>
      </c>
      <c r="AZ62" s="54">
        <v>1215</v>
      </c>
      <c r="BA62" s="54">
        <v>3495</v>
      </c>
      <c r="BB62" s="54">
        <v>485</v>
      </c>
      <c r="BC62" s="54">
        <v>1048</v>
      </c>
      <c r="BD62" s="54">
        <v>934</v>
      </c>
      <c r="BE62" s="70">
        <v>1888</v>
      </c>
      <c r="BF62" s="63">
        <v>518</v>
      </c>
      <c r="BG62" s="71">
        <v>3340</v>
      </c>
      <c r="BH62" s="67"/>
      <c r="BI62" s="68"/>
      <c r="BJ62" s="72">
        <v>1341</v>
      </c>
      <c r="BK62" s="62"/>
      <c r="BL62" s="70">
        <v>1941</v>
      </c>
      <c r="BM62" s="70">
        <v>241</v>
      </c>
      <c r="BN62" s="70">
        <v>72</v>
      </c>
      <c r="BO62" s="70">
        <v>1004</v>
      </c>
      <c r="BP62" s="73">
        <v>24</v>
      </c>
      <c r="BQ62" s="74">
        <v>929</v>
      </c>
      <c r="BR62" s="54">
        <v>388</v>
      </c>
      <c r="BS62" s="75">
        <v>61</v>
      </c>
      <c r="BT62" s="76">
        <v>76.447876447876453</v>
      </c>
      <c r="BU62" s="77">
        <v>23.55212355212355</v>
      </c>
      <c r="BV62" s="78">
        <v>1188</v>
      </c>
      <c r="BW62" s="79">
        <v>366</v>
      </c>
      <c r="BX62" s="62">
        <v>742</v>
      </c>
      <c r="BY62" s="63">
        <v>117</v>
      </c>
      <c r="BZ62" s="63">
        <v>222</v>
      </c>
      <c r="CA62" s="63">
        <v>329</v>
      </c>
      <c r="CB62" s="63">
        <v>3</v>
      </c>
      <c r="CC62" s="63">
        <v>135</v>
      </c>
      <c r="CD62" s="63">
        <v>6</v>
      </c>
      <c r="CE62" s="50">
        <v>0</v>
      </c>
    </row>
    <row r="63" spans="2:83" x14ac:dyDescent="0.3">
      <c r="B63" s="46">
        <v>11</v>
      </c>
      <c r="C63" s="47">
        <v>43535</v>
      </c>
      <c r="D63" s="48">
        <v>1</v>
      </c>
      <c r="E63" s="49">
        <v>2911</v>
      </c>
      <c r="F63" s="50">
        <v>308</v>
      </c>
      <c r="G63" s="51">
        <v>2.5661490683229813</v>
      </c>
      <c r="H63" s="52">
        <v>3.2544308782985429</v>
      </c>
      <c r="I63" s="53">
        <v>2539</v>
      </c>
      <c r="J63" s="54">
        <v>3220</v>
      </c>
      <c r="K63" s="54">
        <v>8263</v>
      </c>
      <c r="L63" s="55">
        <v>5710.9</v>
      </c>
      <c r="M63" s="56">
        <v>545.14200000000005</v>
      </c>
      <c r="N63" s="57">
        <v>1239.45</v>
      </c>
      <c r="O63" s="58">
        <v>602.31000000000006</v>
      </c>
      <c r="P63" s="59">
        <v>13.718849097640748</v>
      </c>
      <c r="Q63" s="60">
        <v>753.92000000000007</v>
      </c>
      <c r="R63" s="61">
        <v>10.96004881154499</v>
      </c>
      <c r="S63" s="48"/>
      <c r="T63" s="50"/>
      <c r="U63" s="62">
        <v>0</v>
      </c>
      <c r="V63" s="63">
        <v>44</v>
      </c>
      <c r="W63" s="50">
        <v>32</v>
      </c>
      <c r="X63" s="48">
        <v>36</v>
      </c>
      <c r="Y63" s="63">
        <v>78</v>
      </c>
      <c r="Z63" s="63">
        <v>117</v>
      </c>
      <c r="AA63" s="64">
        <v>234.1</v>
      </c>
      <c r="AB63" s="65">
        <v>48.86</v>
      </c>
      <c r="AC63" s="66"/>
      <c r="AD63" s="67"/>
      <c r="AE63" s="68"/>
      <c r="AF63" s="48">
        <v>255</v>
      </c>
      <c r="AG63" s="63">
        <v>473</v>
      </c>
      <c r="AH63" s="63">
        <v>64</v>
      </c>
      <c r="AI63" s="63">
        <v>156</v>
      </c>
      <c r="AJ63" s="63">
        <v>256</v>
      </c>
      <c r="AK63" s="63">
        <v>372</v>
      </c>
      <c r="AL63" s="63">
        <v>217</v>
      </c>
      <c r="AM63" s="63">
        <v>148</v>
      </c>
      <c r="AN63" s="63">
        <v>381</v>
      </c>
      <c r="AO63" s="63">
        <v>128</v>
      </c>
      <c r="AP63" s="63">
        <v>126</v>
      </c>
      <c r="AQ63" s="63">
        <v>281</v>
      </c>
      <c r="AR63" s="63">
        <v>12</v>
      </c>
      <c r="AS63" s="63">
        <v>1</v>
      </c>
      <c r="AT63" s="63">
        <v>5</v>
      </c>
      <c r="AU63" s="63">
        <v>128</v>
      </c>
      <c r="AV63" s="63">
        <v>154</v>
      </c>
      <c r="AW63" s="50">
        <v>26</v>
      </c>
      <c r="AX63" s="69">
        <v>4869</v>
      </c>
      <c r="AY63" s="69">
        <v>31964</v>
      </c>
      <c r="AZ63" s="54">
        <v>1003</v>
      </c>
      <c r="BA63" s="54">
        <v>2394</v>
      </c>
      <c r="BB63" s="54">
        <v>640</v>
      </c>
      <c r="BC63" s="54">
        <v>1107</v>
      </c>
      <c r="BD63" s="54">
        <v>1512</v>
      </c>
      <c r="BE63" s="70">
        <v>1978</v>
      </c>
      <c r="BF63" s="63">
        <v>709</v>
      </c>
      <c r="BG63" s="71">
        <v>4199</v>
      </c>
      <c r="BH63" s="67"/>
      <c r="BI63" s="68"/>
      <c r="BJ63" s="72">
        <v>1535</v>
      </c>
      <c r="BK63" s="62"/>
      <c r="BL63" s="70">
        <v>2544</v>
      </c>
      <c r="BM63" s="70">
        <v>301</v>
      </c>
      <c r="BN63" s="70">
        <v>143</v>
      </c>
      <c r="BO63" s="70">
        <v>1066</v>
      </c>
      <c r="BP63" s="73">
        <v>25</v>
      </c>
      <c r="BQ63" s="74">
        <v>1694</v>
      </c>
      <c r="BR63" s="54">
        <v>309</v>
      </c>
      <c r="BS63" s="75">
        <v>153</v>
      </c>
      <c r="BT63" s="76">
        <v>76.819620253164558</v>
      </c>
      <c r="BU63" s="77">
        <v>23.180379746835442</v>
      </c>
      <c r="BV63" s="78">
        <v>1942</v>
      </c>
      <c r="BW63" s="79">
        <v>586</v>
      </c>
      <c r="BX63" s="62">
        <v>1224</v>
      </c>
      <c r="BY63" s="63">
        <v>129</v>
      </c>
      <c r="BZ63" s="63">
        <v>214</v>
      </c>
      <c r="CA63" s="63">
        <v>589</v>
      </c>
      <c r="CB63" s="63">
        <v>8</v>
      </c>
      <c r="CC63" s="63">
        <v>275</v>
      </c>
      <c r="CD63" s="63">
        <v>20</v>
      </c>
      <c r="CE63" s="50">
        <v>69</v>
      </c>
    </row>
    <row r="64" spans="2:83" x14ac:dyDescent="0.3">
      <c r="B64" s="46">
        <v>11</v>
      </c>
      <c r="C64" s="47">
        <v>43536</v>
      </c>
      <c r="D64" s="48">
        <v>5</v>
      </c>
      <c r="E64" s="49">
        <v>1928</v>
      </c>
      <c r="F64" s="50">
        <v>363</v>
      </c>
      <c r="G64" s="51">
        <v>3.3554006968641117</v>
      </c>
      <c r="H64" s="52">
        <v>5.5624548736462094</v>
      </c>
      <c r="I64" s="53">
        <v>1385</v>
      </c>
      <c r="J64" s="54">
        <v>2296</v>
      </c>
      <c r="K64" s="54">
        <v>7704</v>
      </c>
      <c r="L64" s="55">
        <v>7765.8</v>
      </c>
      <c r="M64" s="56">
        <v>591.91099999999994</v>
      </c>
      <c r="N64" s="57">
        <v>1155.5999999999999</v>
      </c>
      <c r="O64" s="58">
        <v>539.38</v>
      </c>
      <c r="P64" s="59">
        <v>14.283065742148393</v>
      </c>
      <c r="Q64" s="60">
        <v>713.38</v>
      </c>
      <c r="R64" s="61">
        <v>10.799293504163279</v>
      </c>
      <c r="S64" s="48"/>
      <c r="T64" s="50"/>
      <c r="U64" s="62">
        <v>0</v>
      </c>
      <c r="V64" s="63">
        <v>94</v>
      </c>
      <c r="W64" s="50">
        <v>62</v>
      </c>
      <c r="X64" s="48">
        <v>47</v>
      </c>
      <c r="Y64" s="63">
        <v>147</v>
      </c>
      <c r="Z64" s="63">
        <v>423</v>
      </c>
      <c r="AA64" s="64">
        <v>450.7</v>
      </c>
      <c r="AB64" s="65">
        <v>71.715000000000003</v>
      </c>
      <c r="AC64" s="66"/>
      <c r="AD64" s="67"/>
      <c r="AE64" s="68"/>
      <c r="AF64" s="48">
        <v>107</v>
      </c>
      <c r="AG64" s="63">
        <v>169</v>
      </c>
      <c r="AH64" s="63">
        <v>37</v>
      </c>
      <c r="AI64" s="63">
        <v>94</v>
      </c>
      <c r="AJ64" s="63">
        <v>118</v>
      </c>
      <c r="AK64" s="63">
        <v>168</v>
      </c>
      <c r="AL64" s="63">
        <v>123</v>
      </c>
      <c r="AM64" s="63">
        <v>119</v>
      </c>
      <c r="AN64" s="63">
        <v>580</v>
      </c>
      <c r="AO64" s="63">
        <v>151</v>
      </c>
      <c r="AP64" s="63">
        <v>101</v>
      </c>
      <c r="AQ64" s="63">
        <v>146</v>
      </c>
      <c r="AR64" s="63">
        <v>9</v>
      </c>
      <c r="AS64" s="63">
        <v>1</v>
      </c>
      <c r="AT64" s="63">
        <v>4</v>
      </c>
      <c r="AU64" s="63">
        <v>114</v>
      </c>
      <c r="AV64" s="63">
        <v>225</v>
      </c>
      <c r="AW64" s="50">
        <v>24</v>
      </c>
      <c r="AX64" s="69">
        <v>4039</v>
      </c>
      <c r="AY64" s="69">
        <v>42696</v>
      </c>
      <c r="AZ64" s="54">
        <v>1551</v>
      </c>
      <c r="BA64" s="54">
        <v>5127</v>
      </c>
      <c r="BB64" s="54">
        <v>486</v>
      </c>
      <c r="BC64" s="54">
        <v>981</v>
      </c>
      <c r="BD64" s="54">
        <v>1346</v>
      </c>
      <c r="BE64" s="70">
        <v>1876</v>
      </c>
      <c r="BF64" s="63">
        <v>469</v>
      </c>
      <c r="BG64" s="71">
        <v>3691</v>
      </c>
      <c r="BH64" s="67"/>
      <c r="BI64" s="68"/>
      <c r="BJ64" s="72">
        <v>1611</v>
      </c>
      <c r="BK64" s="62"/>
      <c r="BL64" s="70">
        <v>2120</v>
      </c>
      <c r="BM64" s="70">
        <v>250</v>
      </c>
      <c r="BN64" s="70">
        <v>163</v>
      </c>
      <c r="BO64" s="70">
        <v>1174</v>
      </c>
      <c r="BP64" s="73">
        <v>24</v>
      </c>
      <c r="BQ64" s="74">
        <v>765</v>
      </c>
      <c r="BR64" s="54">
        <v>269</v>
      </c>
      <c r="BS64" s="75">
        <v>177</v>
      </c>
      <c r="BT64" s="76">
        <v>72.388604821037248</v>
      </c>
      <c r="BU64" s="77">
        <v>27.611395178962745</v>
      </c>
      <c r="BV64" s="78">
        <v>991</v>
      </c>
      <c r="BW64" s="79">
        <v>378</v>
      </c>
      <c r="BX64" s="62">
        <v>576</v>
      </c>
      <c r="BY64" s="63">
        <v>107</v>
      </c>
      <c r="BZ64" s="63">
        <v>195</v>
      </c>
      <c r="CA64" s="63">
        <v>308</v>
      </c>
      <c r="CB64" s="63">
        <v>5</v>
      </c>
      <c r="CC64" s="63">
        <v>166</v>
      </c>
      <c r="CD64" s="63">
        <v>12</v>
      </c>
      <c r="CE64" s="50">
        <v>0</v>
      </c>
    </row>
    <row r="65" spans="2:83" x14ac:dyDescent="0.3">
      <c r="B65" s="46">
        <v>11</v>
      </c>
      <c r="C65" s="47">
        <v>43537</v>
      </c>
      <c r="D65" s="48">
        <v>13</v>
      </c>
      <c r="E65" s="49">
        <v>1782</v>
      </c>
      <c r="F65" s="50">
        <v>486</v>
      </c>
      <c r="G65" s="51">
        <v>2.0013152126260412</v>
      </c>
      <c r="H65" s="52">
        <v>3.2912761355443405</v>
      </c>
      <c r="I65" s="53">
        <v>1387</v>
      </c>
      <c r="J65" s="54">
        <v>2281</v>
      </c>
      <c r="K65" s="54">
        <v>4565</v>
      </c>
      <c r="L65" s="55">
        <v>9043.1</v>
      </c>
      <c r="M65" s="56">
        <v>697.846</v>
      </c>
      <c r="N65" s="57">
        <v>684.75000000000011</v>
      </c>
      <c r="O65" s="58">
        <v>536.6099999999999</v>
      </c>
      <c r="P65" s="59">
        <v>8.5071094463390562</v>
      </c>
      <c r="Q65" s="60">
        <v>696.44</v>
      </c>
      <c r="R65" s="61">
        <v>6.554764229510079</v>
      </c>
      <c r="S65" s="48"/>
      <c r="T65" s="50"/>
      <c r="U65" s="62">
        <v>0</v>
      </c>
      <c r="V65" s="63">
        <v>63</v>
      </c>
      <c r="W65" s="50">
        <v>96</v>
      </c>
      <c r="X65" s="48">
        <v>23</v>
      </c>
      <c r="Y65" s="63">
        <v>159</v>
      </c>
      <c r="Z65" s="63">
        <v>134</v>
      </c>
      <c r="AA65" s="64">
        <v>723.7</v>
      </c>
      <c r="AB65" s="65">
        <v>92.784999999999997</v>
      </c>
      <c r="AC65" s="66"/>
      <c r="AD65" s="67"/>
      <c r="AE65" s="68"/>
      <c r="AF65" s="48">
        <v>105</v>
      </c>
      <c r="AG65" s="63">
        <v>188</v>
      </c>
      <c r="AH65" s="63">
        <v>24</v>
      </c>
      <c r="AI65" s="63">
        <v>73</v>
      </c>
      <c r="AJ65" s="63">
        <v>87</v>
      </c>
      <c r="AK65" s="63">
        <v>161</v>
      </c>
      <c r="AL65" s="63">
        <v>124</v>
      </c>
      <c r="AM65" s="63">
        <v>115</v>
      </c>
      <c r="AN65" s="63">
        <v>451</v>
      </c>
      <c r="AO65" s="63">
        <v>113</v>
      </c>
      <c r="AP65" s="63">
        <v>1030</v>
      </c>
      <c r="AQ65" s="63">
        <v>218</v>
      </c>
      <c r="AR65" s="63">
        <v>1</v>
      </c>
      <c r="AS65" s="63">
        <v>0</v>
      </c>
      <c r="AT65" s="63">
        <v>17</v>
      </c>
      <c r="AU65" s="63">
        <v>182</v>
      </c>
      <c r="AV65" s="63">
        <v>281</v>
      </c>
      <c r="AW65" s="50">
        <v>17</v>
      </c>
      <c r="AX65" s="69">
        <v>2538</v>
      </c>
      <c r="AY65" s="69">
        <v>23872</v>
      </c>
      <c r="AZ65" s="54">
        <v>1039</v>
      </c>
      <c r="BA65" s="54">
        <v>5524</v>
      </c>
      <c r="BB65" s="54">
        <v>272</v>
      </c>
      <c r="BC65" s="54">
        <v>567</v>
      </c>
      <c r="BD65" s="54">
        <v>878</v>
      </c>
      <c r="BE65" s="70">
        <v>1598</v>
      </c>
      <c r="BF65" s="63">
        <v>454</v>
      </c>
      <c r="BG65" s="71">
        <v>2930</v>
      </c>
      <c r="BH65" s="67"/>
      <c r="BI65" s="68"/>
      <c r="BJ65" s="72">
        <v>1832</v>
      </c>
      <c r="BK65" s="62"/>
      <c r="BL65" s="70">
        <v>1558</v>
      </c>
      <c r="BM65" s="70">
        <v>256</v>
      </c>
      <c r="BN65" s="70">
        <v>215</v>
      </c>
      <c r="BO65" s="70">
        <v>1336</v>
      </c>
      <c r="BP65" s="73">
        <v>25</v>
      </c>
      <c r="BQ65" s="74">
        <v>677</v>
      </c>
      <c r="BR65" s="54">
        <v>192</v>
      </c>
      <c r="BS65" s="75">
        <v>189</v>
      </c>
      <c r="BT65" s="76">
        <v>71.191335740072205</v>
      </c>
      <c r="BU65" s="77">
        <v>28.808664259927799</v>
      </c>
      <c r="BV65" s="78">
        <v>986</v>
      </c>
      <c r="BW65" s="79">
        <v>399</v>
      </c>
      <c r="BX65" s="62">
        <v>601</v>
      </c>
      <c r="BY65" s="63">
        <v>59</v>
      </c>
      <c r="BZ65" s="63">
        <v>113</v>
      </c>
      <c r="CA65" s="63">
        <v>326</v>
      </c>
      <c r="CB65" s="63">
        <v>23</v>
      </c>
      <c r="CC65" s="63">
        <v>206</v>
      </c>
      <c r="CD65" s="63">
        <v>42</v>
      </c>
      <c r="CE65" s="50">
        <v>15</v>
      </c>
    </row>
    <row r="66" spans="2:83" x14ac:dyDescent="0.3">
      <c r="B66" s="46">
        <v>11</v>
      </c>
      <c r="C66" s="47">
        <v>43538</v>
      </c>
      <c r="D66" s="48">
        <v>5</v>
      </c>
      <c r="E66" s="49">
        <v>2009</v>
      </c>
      <c r="F66" s="50">
        <v>334</v>
      </c>
      <c r="G66" s="51">
        <v>3.4246166950596253</v>
      </c>
      <c r="H66" s="52">
        <v>5.4257759784075574</v>
      </c>
      <c r="I66" s="53">
        <v>1482</v>
      </c>
      <c r="J66" s="54">
        <v>2348</v>
      </c>
      <c r="K66" s="54">
        <v>8041</v>
      </c>
      <c r="L66" s="55">
        <v>11381.7</v>
      </c>
      <c r="M66" s="56">
        <v>666.80499999999995</v>
      </c>
      <c r="N66" s="57">
        <v>1206.1500000000001</v>
      </c>
      <c r="O66" s="58">
        <v>564.68999999999994</v>
      </c>
      <c r="P66" s="59">
        <v>14.239671324089326</v>
      </c>
      <c r="Q66" s="60">
        <v>735.34999999999991</v>
      </c>
      <c r="R66" s="61">
        <v>10.93492894540015</v>
      </c>
      <c r="S66" s="48"/>
      <c r="T66" s="50"/>
      <c r="U66" s="62">
        <v>0</v>
      </c>
      <c r="V66" s="63">
        <v>110</v>
      </c>
      <c r="W66" s="50">
        <v>76</v>
      </c>
      <c r="X66" s="48">
        <v>59</v>
      </c>
      <c r="Y66" s="63">
        <v>186</v>
      </c>
      <c r="Z66" s="63">
        <v>719</v>
      </c>
      <c r="AA66" s="64">
        <v>5514.3</v>
      </c>
      <c r="AB66" s="65">
        <v>106.11499999999999</v>
      </c>
      <c r="AC66" s="66"/>
      <c r="AD66" s="67"/>
      <c r="AE66" s="68"/>
      <c r="AF66" s="48">
        <v>122</v>
      </c>
      <c r="AG66" s="63">
        <v>201</v>
      </c>
      <c r="AH66" s="63">
        <v>33</v>
      </c>
      <c r="AI66" s="63">
        <v>81</v>
      </c>
      <c r="AJ66" s="63">
        <v>111</v>
      </c>
      <c r="AK66" s="63">
        <v>165</v>
      </c>
      <c r="AL66" s="63">
        <v>160</v>
      </c>
      <c r="AM66" s="63">
        <v>156</v>
      </c>
      <c r="AN66" s="63">
        <v>548</v>
      </c>
      <c r="AO66" s="63">
        <v>166</v>
      </c>
      <c r="AP66" s="63">
        <v>143</v>
      </c>
      <c r="AQ66" s="63">
        <v>102</v>
      </c>
      <c r="AR66" s="63">
        <v>4</v>
      </c>
      <c r="AS66" s="63">
        <v>0</v>
      </c>
      <c r="AT66" s="63">
        <v>14</v>
      </c>
      <c r="AU66" s="63">
        <v>105</v>
      </c>
      <c r="AV66" s="63">
        <v>215</v>
      </c>
      <c r="AW66" s="50">
        <v>15</v>
      </c>
      <c r="AX66" s="69">
        <v>6021</v>
      </c>
      <c r="AY66" s="69">
        <v>33442</v>
      </c>
      <c r="AZ66" s="54">
        <v>1596</v>
      </c>
      <c r="BA66" s="54">
        <v>6380</v>
      </c>
      <c r="BB66" s="54">
        <v>609</v>
      </c>
      <c r="BC66" s="54">
        <v>1661</v>
      </c>
      <c r="BD66" s="54">
        <v>1485</v>
      </c>
      <c r="BE66" s="70">
        <v>1810</v>
      </c>
      <c r="BF66" s="63">
        <v>641</v>
      </c>
      <c r="BG66" s="71">
        <v>3936</v>
      </c>
      <c r="BH66" s="67"/>
      <c r="BI66" s="68"/>
      <c r="BJ66" s="72">
        <v>2010</v>
      </c>
      <c r="BK66" s="62"/>
      <c r="BL66" s="70">
        <v>2073</v>
      </c>
      <c r="BM66" s="70">
        <v>345</v>
      </c>
      <c r="BN66" s="70">
        <v>151</v>
      </c>
      <c r="BO66" s="70">
        <v>1495</v>
      </c>
      <c r="BP66" s="73">
        <v>19</v>
      </c>
      <c r="BQ66" s="74">
        <v>749</v>
      </c>
      <c r="BR66" s="54">
        <v>506</v>
      </c>
      <c r="BS66" s="75">
        <v>97</v>
      </c>
      <c r="BT66" s="76">
        <v>73.819163292847506</v>
      </c>
      <c r="BU66" s="77">
        <v>26.180836707152498</v>
      </c>
      <c r="BV66" s="78">
        <v>1094</v>
      </c>
      <c r="BW66" s="79">
        <v>388</v>
      </c>
      <c r="BX66" s="62">
        <v>515</v>
      </c>
      <c r="BY66" s="63">
        <v>227</v>
      </c>
      <c r="BZ66" s="63">
        <v>202</v>
      </c>
      <c r="CA66" s="63">
        <v>352</v>
      </c>
      <c r="CB66" s="63">
        <v>27</v>
      </c>
      <c r="CC66" s="63">
        <v>117</v>
      </c>
      <c r="CD66" s="63">
        <v>17</v>
      </c>
      <c r="CE66" s="50">
        <v>25</v>
      </c>
    </row>
    <row r="67" spans="2:83" x14ac:dyDescent="0.3">
      <c r="B67" s="46">
        <v>11</v>
      </c>
      <c r="C67" s="47">
        <v>43539</v>
      </c>
      <c r="D67" s="48">
        <v>0</v>
      </c>
      <c r="E67" s="49">
        <v>2095</v>
      </c>
      <c r="F67" s="50">
        <v>287</v>
      </c>
      <c r="G67" s="51">
        <v>3.6809403862300587</v>
      </c>
      <c r="H67" s="52">
        <v>5.4257425742574261</v>
      </c>
      <c r="I67" s="53">
        <v>1616</v>
      </c>
      <c r="J67" s="54">
        <v>2382</v>
      </c>
      <c r="K67" s="54">
        <v>8768</v>
      </c>
      <c r="L67" s="55">
        <v>9697.2999999999993</v>
      </c>
      <c r="M67" s="56">
        <v>544.41399999999999</v>
      </c>
      <c r="N67" s="57">
        <v>1315.2</v>
      </c>
      <c r="O67" s="58">
        <v>529.66999999999996</v>
      </c>
      <c r="P67" s="59">
        <v>16.553703249192896</v>
      </c>
      <c r="Q67" s="60">
        <v>673.94999999999993</v>
      </c>
      <c r="R67" s="61">
        <v>13.009867200830923</v>
      </c>
      <c r="S67" s="48"/>
      <c r="T67" s="50"/>
      <c r="U67" s="62">
        <v>0</v>
      </c>
      <c r="V67" s="63">
        <v>76</v>
      </c>
      <c r="W67" s="50">
        <v>37</v>
      </c>
      <c r="X67" s="48">
        <v>47</v>
      </c>
      <c r="Y67" s="63">
        <v>113</v>
      </c>
      <c r="Z67" s="63">
        <v>302</v>
      </c>
      <c r="AA67" s="64">
        <v>1237.3</v>
      </c>
      <c r="AB67" s="65">
        <v>100.657</v>
      </c>
      <c r="AC67" s="66"/>
      <c r="AD67" s="67"/>
      <c r="AE67" s="68"/>
      <c r="AF67" s="48">
        <v>167</v>
      </c>
      <c r="AG67" s="63">
        <v>237</v>
      </c>
      <c r="AH67" s="63">
        <v>51</v>
      </c>
      <c r="AI67" s="63">
        <v>103</v>
      </c>
      <c r="AJ67" s="63">
        <v>120</v>
      </c>
      <c r="AK67" s="63">
        <v>207</v>
      </c>
      <c r="AL67" s="63">
        <v>173</v>
      </c>
      <c r="AM67" s="63">
        <v>139</v>
      </c>
      <c r="AN67" s="63">
        <v>515</v>
      </c>
      <c r="AO67" s="63">
        <v>128</v>
      </c>
      <c r="AP67" s="63">
        <v>137</v>
      </c>
      <c r="AQ67" s="63">
        <v>89</v>
      </c>
      <c r="AR67" s="63">
        <v>3</v>
      </c>
      <c r="AS67" s="63">
        <v>0</v>
      </c>
      <c r="AT67" s="63">
        <v>12</v>
      </c>
      <c r="AU67" s="63">
        <v>65</v>
      </c>
      <c r="AV67" s="63">
        <v>207</v>
      </c>
      <c r="AW67" s="50">
        <v>12</v>
      </c>
      <c r="AX67" s="69">
        <v>4861</v>
      </c>
      <c r="AY67" s="69">
        <v>44357</v>
      </c>
      <c r="AZ67" s="54">
        <v>1438</v>
      </c>
      <c r="BA67" s="54">
        <v>5354</v>
      </c>
      <c r="BB67" s="54">
        <v>541</v>
      </c>
      <c r="BC67" s="54">
        <v>1405</v>
      </c>
      <c r="BD67" s="54">
        <v>1574</v>
      </c>
      <c r="BE67" s="70">
        <v>1872</v>
      </c>
      <c r="BF67" s="63">
        <v>468</v>
      </c>
      <c r="BG67" s="71">
        <v>3914</v>
      </c>
      <c r="BH67" s="67"/>
      <c r="BI67" s="68"/>
      <c r="BJ67" s="72">
        <v>1117</v>
      </c>
      <c r="BK67" s="62"/>
      <c r="BL67" s="70">
        <v>2224</v>
      </c>
      <c r="BM67" s="70">
        <v>167</v>
      </c>
      <c r="BN67" s="70">
        <v>114</v>
      </c>
      <c r="BO67" s="70">
        <v>817</v>
      </c>
      <c r="BP67" s="73">
        <v>19</v>
      </c>
      <c r="BQ67" s="74">
        <v>928</v>
      </c>
      <c r="BR67" s="54">
        <v>359</v>
      </c>
      <c r="BS67" s="75">
        <v>205</v>
      </c>
      <c r="BT67" s="76">
        <v>82.34189104571071</v>
      </c>
      <c r="BU67" s="77">
        <v>17.658108954289293</v>
      </c>
      <c r="BV67" s="78">
        <v>1315</v>
      </c>
      <c r="BW67" s="79">
        <v>282</v>
      </c>
      <c r="BX67" s="62">
        <v>819</v>
      </c>
      <c r="BY67" s="63">
        <v>155</v>
      </c>
      <c r="BZ67" s="63">
        <v>205</v>
      </c>
      <c r="CA67" s="63">
        <v>341</v>
      </c>
      <c r="CB67" s="63">
        <v>2</v>
      </c>
      <c r="CC67" s="63">
        <v>62</v>
      </c>
      <c r="CD67" s="63">
        <v>13</v>
      </c>
      <c r="CE67" s="50">
        <v>0</v>
      </c>
    </row>
    <row r="68" spans="2:83" x14ac:dyDescent="0.3">
      <c r="B68" s="46">
        <v>12</v>
      </c>
      <c r="C68" s="47">
        <v>43542</v>
      </c>
      <c r="D68" s="48">
        <v>6</v>
      </c>
      <c r="E68" s="49">
        <v>3370</v>
      </c>
      <c r="F68" s="50">
        <v>250</v>
      </c>
      <c r="G68" s="51">
        <v>2.2761363636363638</v>
      </c>
      <c r="H68" s="52">
        <v>2.7382091592617908</v>
      </c>
      <c r="I68" s="53">
        <v>2926</v>
      </c>
      <c r="J68" s="54">
        <v>3520</v>
      </c>
      <c r="K68" s="54">
        <v>8012</v>
      </c>
      <c r="L68" s="55">
        <v>5289.5</v>
      </c>
      <c r="M68" s="56">
        <v>434.077</v>
      </c>
      <c r="N68" s="57">
        <v>1201.8000000000002</v>
      </c>
      <c r="O68" s="58">
        <v>605.82999999999993</v>
      </c>
      <c r="P68" s="59">
        <v>13.224832048594491</v>
      </c>
      <c r="Q68" s="60">
        <v>768.02</v>
      </c>
      <c r="R68" s="61">
        <v>10.432019999479181</v>
      </c>
      <c r="S68" s="48"/>
      <c r="T68" s="50"/>
      <c r="U68" s="62">
        <v>0</v>
      </c>
      <c r="V68" s="63">
        <v>109</v>
      </c>
      <c r="W68" s="50">
        <v>62</v>
      </c>
      <c r="X68" s="48">
        <v>59</v>
      </c>
      <c r="Y68" s="63">
        <v>118</v>
      </c>
      <c r="Z68" s="63">
        <v>247</v>
      </c>
      <c r="AA68" s="64">
        <v>558</v>
      </c>
      <c r="AB68" s="65">
        <v>44.822000000000003</v>
      </c>
      <c r="AC68" s="66"/>
      <c r="AD68" s="67"/>
      <c r="AE68" s="68"/>
      <c r="AF68" s="48">
        <v>290</v>
      </c>
      <c r="AG68" s="63">
        <v>580</v>
      </c>
      <c r="AH68" s="63">
        <v>89</v>
      </c>
      <c r="AI68" s="63">
        <v>199</v>
      </c>
      <c r="AJ68" s="63">
        <v>242</v>
      </c>
      <c r="AK68" s="63">
        <v>459</v>
      </c>
      <c r="AL68" s="63">
        <v>300</v>
      </c>
      <c r="AM68" s="63">
        <v>223</v>
      </c>
      <c r="AN68" s="63">
        <v>523</v>
      </c>
      <c r="AO68" s="63">
        <v>92</v>
      </c>
      <c r="AP68" s="63">
        <v>120</v>
      </c>
      <c r="AQ68" s="63">
        <v>157</v>
      </c>
      <c r="AR68" s="63">
        <v>18</v>
      </c>
      <c r="AS68" s="63">
        <v>9</v>
      </c>
      <c r="AT68" s="63">
        <v>49</v>
      </c>
      <c r="AU68" s="63">
        <v>53</v>
      </c>
      <c r="AV68" s="63">
        <v>185</v>
      </c>
      <c r="AW68" s="50">
        <v>12</v>
      </c>
      <c r="AX68" s="69">
        <v>4559</v>
      </c>
      <c r="AY68" s="69">
        <v>33496</v>
      </c>
      <c r="AZ68" s="54">
        <v>1716</v>
      </c>
      <c r="BA68" s="54">
        <v>4779</v>
      </c>
      <c r="BB68" s="54">
        <v>809</v>
      </c>
      <c r="BC68" s="54">
        <v>2233</v>
      </c>
      <c r="BD68" s="54">
        <v>1807</v>
      </c>
      <c r="BE68" s="70">
        <v>2336</v>
      </c>
      <c r="BF68" s="63">
        <v>1052</v>
      </c>
      <c r="BG68" s="71">
        <v>5195</v>
      </c>
      <c r="BH68" s="67"/>
      <c r="BI68" s="68"/>
      <c r="BJ68" s="72">
        <v>1679</v>
      </c>
      <c r="BK68" s="62"/>
      <c r="BL68" s="70">
        <v>2771</v>
      </c>
      <c r="BM68" s="70">
        <v>218</v>
      </c>
      <c r="BN68" s="70">
        <v>187</v>
      </c>
      <c r="BO68" s="70">
        <v>1239</v>
      </c>
      <c r="BP68" s="73">
        <v>35</v>
      </c>
      <c r="BQ68" s="74">
        <v>2069</v>
      </c>
      <c r="BR68" s="54">
        <v>357</v>
      </c>
      <c r="BS68" s="75">
        <v>101</v>
      </c>
      <c r="BT68" s="76">
        <v>83.613878392305054</v>
      </c>
      <c r="BU68" s="77">
        <v>16.38612160769495</v>
      </c>
      <c r="BV68" s="78">
        <v>2434</v>
      </c>
      <c r="BW68" s="79">
        <v>477</v>
      </c>
      <c r="BX68" s="62">
        <v>1534</v>
      </c>
      <c r="BY68" s="63">
        <v>214</v>
      </c>
      <c r="BZ68" s="63">
        <v>142</v>
      </c>
      <c r="CA68" s="63">
        <v>686</v>
      </c>
      <c r="CB68" s="63">
        <v>14</v>
      </c>
      <c r="CC68" s="63">
        <v>268</v>
      </c>
      <c r="CD68" s="63">
        <v>16</v>
      </c>
      <c r="CE68" s="50">
        <v>37</v>
      </c>
    </row>
    <row r="69" spans="2:83" x14ac:dyDescent="0.3">
      <c r="B69" s="46">
        <v>12</v>
      </c>
      <c r="C69" s="47">
        <v>43543</v>
      </c>
      <c r="D69" s="48">
        <v>9</v>
      </c>
      <c r="E69" s="49">
        <v>1960</v>
      </c>
      <c r="F69" s="50">
        <v>476</v>
      </c>
      <c r="G69" s="51">
        <v>3.3035495716034271</v>
      </c>
      <c r="H69" s="52">
        <v>5.9580573951434879</v>
      </c>
      <c r="I69" s="53">
        <v>1359</v>
      </c>
      <c r="J69" s="54">
        <v>2451</v>
      </c>
      <c r="K69" s="54">
        <v>8097</v>
      </c>
      <c r="L69" s="55">
        <v>7962.3</v>
      </c>
      <c r="M69" s="56">
        <v>747.94200000000001</v>
      </c>
      <c r="N69" s="57">
        <v>1214.55</v>
      </c>
      <c r="O69" s="58">
        <v>588.75</v>
      </c>
      <c r="P69" s="59">
        <v>13.752866242038216</v>
      </c>
      <c r="Q69" s="60">
        <v>763.37999999999988</v>
      </c>
      <c r="R69" s="61">
        <v>10.606775131651341</v>
      </c>
      <c r="S69" s="48"/>
      <c r="T69" s="50"/>
      <c r="U69" s="62">
        <v>0</v>
      </c>
      <c r="V69" s="63">
        <v>145</v>
      </c>
      <c r="W69" s="50">
        <v>81</v>
      </c>
      <c r="X69" s="48">
        <v>41</v>
      </c>
      <c r="Y69" s="63">
        <v>268</v>
      </c>
      <c r="Z69" s="63">
        <v>369</v>
      </c>
      <c r="AA69" s="64">
        <v>1677.4</v>
      </c>
      <c r="AB69" s="65">
        <v>147.99199999999999</v>
      </c>
      <c r="AC69" s="66"/>
      <c r="AD69" s="67"/>
      <c r="AE69" s="68"/>
      <c r="AF69" s="48">
        <v>114</v>
      </c>
      <c r="AG69" s="63">
        <v>210</v>
      </c>
      <c r="AH69" s="63">
        <v>49</v>
      </c>
      <c r="AI69" s="63">
        <v>66</v>
      </c>
      <c r="AJ69" s="63">
        <v>77</v>
      </c>
      <c r="AK69" s="63">
        <v>150</v>
      </c>
      <c r="AL69" s="63">
        <v>112</v>
      </c>
      <c r="AM69" s="63">
        <v>112</v>
      </c>
      <c r="AN69" s="63">
        <v>408</v>
      </c>
      <c r="AO69" s="63">
        <v>291</v>
      </c>
      <c r="AP69" s="63">
        <v>158</v>
      </c>
      <c r="AQ69" s="63">
        <v>176</v>
      </c>
      <c r="AR69" s="63">
        <v>7</v>
      </c>
      <c r="AS69" s="63">
        <v>3</v>
      </c>
      <c r="AT69" s="63">
        <v>15</v>
      </c>
      <c r="AU69" s="63">
        <v>105</v>
      </c>
      <c r="AV69" s="63">
        <v>311</v>
      </c>
      <c r="AW69" s="50">
        <v>58</v>
      </c>
      <c r="AX69" s="69">
        <v>3308</v>
      </c>
      <c r="AY69" s="69">
        <v>27652</v>
      </c>
      <c r="AZ69" s="54">
        <v>1460</v>
      </c>
      <c r="BA69" s="54">
        <v>4182</v>
      </c>
      <c r="BB69" s="54">
        <v>390</v>
      </c>
      <c r="BC69" s="54">
        <v>875</v>
      </c>
      <c r="BD69" s="54">
        <v>1184</v>
      </c>
      <c r="BE69" s="70">
        <v>2087</v>
      </c>
      <c r="BF69" s="63">
        <v>432</v>
      </c>
      <c r="BG69" s="71">
        <v>3703</v>
      </c>
      <c r="BH69" s="67"/>
      <c r="BI69" s="68"/>
      <c r="BJ69" s="72">
        <v>1508</v>
      </c>
      <c r="BK69" s="62"/>
      <c r="BL69" s="70">
        <v>2631</v>
      </c>
      <c r="BM69" s="70">
        <v>274</v>
      </c>
      <c r="BN69" s="70">
        <v>205</v>
      </c>
      <c r="BO69" s="70">
        <v>1015</v>
      </c>
      <c r="BP69" s="73">
        <v>14</v>
      </c>
      <c r="BQ69" s="74">
        <v>709</v>
      </c>
      <c r="BR69" s="54">
        <v>302</v>
      </c>
      <c r="BS69" s="75">
        <v>85</v>
      </c>
      <c r="BT69" s="76">
        <v>64.670658682634738</v>
      </c>
      <c r="BU69" s="77">
        <v>35.32934131736527</v>
      </c>
      <c r="BV69" s="78">
        <v>864</v>
      </c>
      <c r="BW69" s="79">
        <v>472</v>
      </c>
      <c r="BX69" s="62">
        <v>509</v>
      </c>
      <c r="BY69" s="63">
        <v>103</v>
      </c>
      <c r="BZ69" s="63">
        <v>209</v>
      </c>
      <c r="CA69" s="63">
        <v>252</v>
      </c>
      <c r="CB69" s="63">
        <v>13</v>
      </c>
      <c r="CC69" s="63">
        <v>245</v>
      </c>
      <c r="CD69" s="63">
        <v>5</v>
      </c>
      <c r="CE69" s="50">
        <v>0</v>
      </c>
    </row>
    <row r="70" spans="2:83" x14ac:dyDescent="0.3">
      <c r="B70" s="46">
        <v>12</v>
      </c>
      <c r="C70" s="47">
        <v>43544</v>
      </c>
      <c r="D70" s="48">
        <v>7</v>
      </c>
      <c r="E70" s="49">
        <v>1780</v>
      </c>
      <c r="F70" s="50">
        <v>367</v>
      </c>
      <c r="G70" s="51">
        <v>4.0788246268656714</v>
      </c>
      <c r="H70" s="52">
        <v>6.3369565217391308</v>
      </c>
      <c r="I70" s="53">
        <v>1380</v>
      </c>
      <c r="J70" s="54">
        <v>2144</v>
      </c>
      <c r="K70" s="54">
        <v>8745</v>
      </c>
      <c r="L70" s="55">
        <v>7985.7</v>
      </c>
      <c r="M70" s="56">
        <v>588.51800000000003</v>
      </c>
      <c r="N70" s="57">
        <v>1311.7499999999998</v>
      </c>
      <c r="O70" s="58">
        <v>566.92999999999995</v>
      </c>
      <c r="P70" s="59">
        <v>15.425184767078829</v>
      </c>
      <c r="Q70" s="60">
        <v>743.34999999999991</v>
      </c>
      <c r="R70" s="61">
        <v>11.764310217259704</v>
      </c>
      <c r="S70" s="48"/>
      <c r="T70" s="50"/>
      <c r="U70" s="62">
        <v>0</v>
      </c>
      <c r="V70" s="63">
        <v>88</v>
      </c>
      <c r="W70" s="50">
        <v>53</v>
      </c>
      <c r="X70" s="48">
        <v>61</v>
      </c>
      <c r="Y70" s="63">
        <v>144</v>
      </c>
      <c r="Z70" s="63">
        <v>328</v>
      </c>
      <c r="AA70" s="64">
        <v>671.5</v>
      </c>
      <c r="AB70" s="65">
        <v>69.424000000000007</v>
      </c>
      <c r="AC70" s="66"/>
      <c r="AD70" s="67"/>
      <c r="AE70" s="68"/>
      <c r="AF70" s="48">
        <v>154</v>
      </c>
      <c r="AG70" s="63">
        <v>199</v>
      </c>
      <c r="AH70" s="63">
        <v>45</v>
      </c>
      <c r="AI70" s="63">
        <v>70</v>
      </c>
      <c r="AJ70" s="63">
        <v>81</v>
      </c>
      <c r="AK70" s="63">
        <v>149</v>
      </c>
      <c r="AL70" s="63">
        <v>129</v>
      </c>
      <c r="AM70" s="63">
        <v>112</v>
      </c>
      <c r="AN70" s="63">
        <v>406</v>
      </c>
      <c r="AO70" s="63">
        <v>109</v>
      </c>
      <c r="AP70" s="63">
        <v>139</v>
      </c>
      <c r="AQ70" s="63">
        <v>135</v>
      </c>
      <c r="AR70" s="63">
        <v>13</v>
      </c>
      <c r="AS70" s="63">
        <v>7</v>
      </c>
      <c r="AT70" s="63">
        <v>10</v>
      </c>
      <c r="AU70" s="63">
        <v>98</v>
      </c>
      <c r="AV70" s="63">
        <v>235</v>
      </c>
      <c r="AW70" s="50">
        <v>34</v>
      </c>
      <c r="AX70" s="69">
        <v>4620</v>
      </c>
      <c r="AY70" s="69">
        <v>32740</v>
      </c>
      <c r="AZ70" s="54">
        <v>1497</v>
      </c>
      <c r="BA70" s="54">
        <v>4259</v>
      </c>
      <c r="BB70" s="54">
        <v>482</v>
      </c>
      <c r="BC70" s="54">
        <v>1054</v>
      </c>
      <c r="BD70" s="54">
        <v>1321</v>
      </c>
      <c r="BE70" s="70">
        <v>2397</v>
      </c>
      <c r="BF70" s="63">
        <v>531</v>
      </c>
      <c r="BG70" s="71">
        <v>4249</v>
      </c>
      <c r="BH70" s="67"/>
      <c r="BI70" s="68"/>
      <c r="BJ70" s="72">
        <v>1406</v>
      </c>
      <c r="BK70" s="62"/>
      <c r="BL70" s="70">
        <v>2462</v>
      </c>
      <c r="BM70" s="70">
        <v>132</v>
      </c>
      <c r="BN70" s="70">
        <v>127</v>
      </c>
      <c r="BO70" s="70">
        <v>1123</v>
      </c>
      <c r="BP70" s="73">
        <v>24</v>
      </c>
      <c r="BQ70" s="74">
        <v>776</v>
      </c>
      <c r="BR70" s="54">
        <v>334</v>
      </c>
      <c r="BS70" s="75">
        <v>131</v>
      </c>
      <c r="BT70" s="76">
        <v>75.872308834446926</v>
      </c>
      <c r="BU70" s="77">
        <v>24.127691165553081</v>
      </c>
      <c r="BV70" s="78">
        <v>1022</v>
      </c>
      <c r="BW70" s="79">
        <v>325</v>
      </c>
      <c r="BX70" s="62">
        <v>651</v>
      </c>
      <c r="BY70" s="63">
        <v>123</v>
      </c>
      <c r="BZ70" s="63">
        <v>223</v>
      </c>
      <c r="CA70" s="63">
        <v>248</v>
      </c>
      <c r="CB70" s="63">
        <v>9</v>
      </c>
      <c r="CC70" s="63">
        <v>85</v>
      </c>
      <c r="CD70" s="63">
        <v>8</v>
      </c>
      <c r="CE70" s="50">
        <v>0</v>
      </c>
    </row>
    <row r="71" spans="2:83" x14ac:dyDescent="0.3">
      <c r="B71" s="46">
        <v>12</v>
      </c>
      <c r="C71" s="47">
        <v>43545</v>
      </c>
      <c r="D71" s="48">
        <v>4</v>
      </c>
      <c r="E71" s="49">
        <v>1648</v>
      </c>
      <c r="F71" s="50">
        <v>362</v>
      </c>
      <c r="G71" s="51">
        <v>4.2759615384615381</v>
      </c>
      <c r="H71" s="52">
        <v>7.0141955835962149</v>
      </c>
      <c r="I71" s="53">
        <v>1268</v>
      </c>
      <c r="J71" s="54">
        <v>2080</v>
      </c>
      <c r="K71" s="54">
        <v>8894</v>
      </c>
      <c r="L71" s="55">
        <v>8518.2999999999993</v>
      </c>
      <c r="M71" s="56">
        <v>699.63599999999997</v>
      </c>
      <c r="N71" s="57">
        <v>1334.1</v>
      </c>
      <c r="O71" s="58">
        <v>579.27</v>
      </c>
      <c r="P71" s="59">
        <v>15.353807378251938</v>
      </c>
      <c r="Q71" s="60">
        <v>732.69999999999993</v>
      </c>
      <c r="R71" s="61">
        <v>12.138665210863929</v>
      </c>
      <c r="S71" s="48"/>
      <c r="T71" s="50"/>
      <c r="U71" s="62">
        <v>0</v>
      </c>
      <c r="V71" s="63">
        <v>74</v>
      </c>
      <c r="W71" s="50">
        <v>80</v>
      </c>
      <c r="X71" s="48">
        <v>41</v>
      </c>
      <c r="Y71" s="63">
        <v>153</v>
      </c>
      <c r="Z71" s="63">
        <v>641</v>
      </c>
      <c r="AA71" s="64">
        <v>1464.7</v>
      </c>
      <c r="AB71" s="65">
        <v>117.652</v>
      </c>
      <c r="AC71" s="66"/>
      <c r="AD71" s="67"/>
      <c r="AE71" s="68"/>
      <c r="AF71" s="48">
        <v>102</v>
      </c>
      <c r="AG71" s="63">
        <v>208</v>
      </c>
      <c r="AH71" s="63">
        <v>43</v>
      </c>
      <c r="AI71" s="63">
        <v>91</v>
      </c>
      <c r="AJ71" s="63">
        <v>86</v>
      </c>
      <c r="AK71" s="63">
        <v>138</v>
      </c>
      <c r="AL71" s="63">
        <v>112</v>
      </c>
      <c r="AM71" s="63">
        <v>79</v>
      </c>
      <c r="AN71" s="63">
        <v>381</v>
      </c>
      <c r="AO71" s="63">
        <v>100</v>
      </c>
      <c r="AP71" s="63">
        <v>160</v>
      </c>
      <c r="AQ71" s="63">
        <v>110</v>
      </c>
      <c r="AR71" s="63">
        <v>15</v>
      </c>
      <c r="AS71" s="63">
        <v>4</v>
      </c>
      <c r="AT71" s="63">
        <v>11</v>
      </c>
      <c r="AU71" s="63">
        <v>116</v>
      </c>
      <c r="AV71" s="63">
        <v>219</v>
      </c>
      <c r="AW71" s="50">
        <v>27</v>
      </c>
      <c r="AX71" s="69">
        <v>5223</v>
      </c>
      <c r="AY71" s="69">
        <v>34360</v>
      </c>
      <c r="AZ71" s="54">
        <v>1327</v>
      </c>
      <c r="BA71" s="54">
        <v>4873</v>
      </c>
      <c r="BB71" s="54">
        <v>493</v>
      </c>
      <c r="BC71" s="54">
        <v>1310</v>
      </c>
      <c r="BD71" s="54">
        <v>1353</v>
      </c>
      <c r="BE71" s="70">
        <v>1790</v>
      </c>
      <c r="BF71" s="63">
        <v>521</v>
      </c>
      <c r="BG71" s="71">
        <v>3664</v>
      </c>
      <c r="BH71" s="67"/>
      <c r="BI71" s="68"/>
      <c r="BJ71" s="72">
        <v>1608</v>
      </c>
      <c r="BK71" s="62"/>
      <c r="BL71" s="70">
        <v>2381</v>
      </c>
      <c r="BM71" s="70">
        <v>86</v>
      </c>
      <c r="BN71" s="70">
        <v>170</v>
      </c>
      <c r="BO71" s="70">
        <v>1327</v>
      </c>
      <c r="BP71" s="73">
        <v>25</v>
      </c>
      <c r="BQ71" s="74">
        <v>710</v>
      </c>
      <c r="BR71" s="54">
        <v>267</v>
      </c>
      <c r="BS71" s="75">
        <v>119</v>
      </c>
      <c r="BT71" s="76">
        <v>71.805111821086257</v>
      </c>
      <c r="BU71" s="77">
        <v>28.19488817891374</v>
      </c>
      <c r="BV71" s="78">
        <v>899</v>
      </c>
      <c r="BW71" s="79">
        <v>353</v>
      </c>
      <c r="BX71" s="62">
        <v>516</v>
      </c>
      <c r="BY71" s="63">
        <v>123</v>
      </c>
      <c r="BZ71" s="63">
        <v>197</v>
      </c>
      <c r="CA71" s="63">
        <v>260</v>
      </c>
      <c r="CB71" s="63">
        <v>6</v>
      </c>
      <c r="CC71" s="63">
        <v>136</v>
      </c>
      <c r="CD71" s="63">
        <v>4</v>
      </c>
      <c r="CE71" s="50">
        <v>10</v>
      </c>
    </row>
    <row r="72" spans="2:83" x14ac:dyDescent="0.3">
      <c r="B72" s="46">
        <v>12</v>
      </c>
      <c r="C72" s="47">
        <v>43546</v>
      </c>
      <c r="D72" s="48">
        <v>0</v>
      </c>
      <c r="E72" s="49">
        <v>2082</v>
      </c>
      <c r="F72" s="50">
        <v>335</v>
      </c>
      <c r="G72" s="51">
        <v>3.8499785683669097</v>
      </c>
      <c r="H72" s="52">
        <v>5.3623880597014928</v>
      </c>
      <c r="I72" s="53">
        <v>1675</v>
      </c>
      <c r="J72" s="54">
        <v>2333</v>
      </c>
      <c r="K72" s="54">
        <v>8982</v>
      </c>
      <c r="L72" s="55">
        <v>6610.9</v>
      </c>
      <c r="M72" s="56">
        <v>464.053</v>
      </c>
      <c r="N72" s="57">
        <v>1347.3</v>
      </c>
      <c r="O72" s="58">
        <v>548.20999999999992</v>
      </c>
      <c r="P72" s="59">
        <v>16.384232319731492</v>
      </c>
      <c r="Q72" s="60">
        <v>680</v>
      </c>
      <c r="R72" s="61">
        <v>13.208823529411765</v>
      </c>
      <c r="S72" s="48"/>
      <c r="T72" s="50"/>
      <c r="U72" s="62">
        <v>0</v>
      </c>
      <c r="V72" s="63">
        <v>42</v>
      </c>
      <c r="W72" s="50">
        <v>32</v>
      </c>
      <c r="X72" s="48">
        <v>29</v>
      </c>
      <c r="Y72" s="63">
        <v>54</v>
      </c>
      <c r="Z72" s="63">
        <v>164</v>
      </c>
      <c r="AA72" s="64">
        <v>357.1</v>
      </c>
      <c r="AB72" s="65">
        <v>13.75</v>
      </c>
      <c r="AC72" s="66"/>
      <c r="AD72" s="67"/>
      <c r="AE72" s="68"/>
      <c r="AF72" s="48">
        <v>135</v>
      </c>
      <c r="AG72" s="63">
        <v>236</v>
      </c>
      <c r="AH72" s="63">
        <v>38</v>
      </c>
      <c r="AI72" s="63">
        <v>95</v>
      </c>
      <c r="AJ72" s="63">
        <v>94</v>
      </c>
      <c r="AK72" s="63">
        <v>227</v>
      </c>
      <c r="AL72" s="63">
        <v>210</v>
      </c>
      <c r="AM72" s="63">
        <v>157</v>
      </c>
      <c r="AN72" s="63">
        <v>504</v>
      </c>
      <c r="AO72" s="63">
        <v>119</v>
      </c>
      <c r="AP72" s="63">
        <v>142</v>
      </c>
      <c r="AQ72" s="63">
        <v>108</v>
      </c>
      <c r="AR72" s="63">
        <v>4</v>
      </c>
      <c r="AS72" s="63">
        <v>0</v>
      </c>
      <c r="AT72" s="63">
        <v>7</v>
      </c>
      <c r="AU72" s="63">
        <v>142</v>
      </c>
      <c r="AV72" s="63">
        <v>176</v>
      </c>
      <c r="AW72" s="50">
        <v>16</v>
      </c>
      <c r="AX72" s="69">
        <v>5246</v>
      </c>
      <c r="AY72" s="69">
        <v>33245</v>
      </c>
      <c r="AZ72" s="54">
        <v>1428</v>
      </c>
      <c r="BA72" s="54">
        <v>4157</v>
      </c>
      <c r="BB72" s="54">
        <v>750</v>
      </c>
      <c r="BC72" s="54">
        <v>1631</v>
      </c>
      <c r="BD72" s="54">
        <v>1452</v>
      </c>
      <c r="BE72" s="70">
        <v>2065</v>
      </c>
      <c r="BF72" s="63">
        <v>573</v>
      </c>
      <c r="BG72" s="71">
        <v>4090</v>
      </c>
      <c r="BH72" s="67"/>
      <c r="BI72" s="68"/>
      <c r="BJ72" s="72">
        <v>1586</v>
      </c>
      <c r="BK72" s="62"/>
      <c r="BL72" s="70">
        <v>2486</v>
      </c>
      <c r="BM72" s="70">
        <v>166</v>
      </c>
      <c r="BN72" s="70">
        <v>191</v>
      </c>
      <c r="BO72" s="70">
        <v>1208</v>
      </c>
      <c r="BP72" s="73">
        <v>21</v>
      </c>
      <c r="BQ72" s="74">
        <v>964</v>
      </c>
      <c r="BR72" s="54">
        <v>454</v>
      </c>
      <c r="BS72" s="75">
        <v>133</v>
      </c>
      <c r="BT72" s="76">
        <v>92.075471698113205</v>
      </c>
      <c r="BU72" s="77">
        <v>7.9245283018867925</v>
      </c>
      <c r="BV72" s="78">
        <v>732</v>
      </c>
      <c r="BW72" s="79">
        <v>63</v>
      </c>
      <c r="BX72" s="62">
        <v>536</v>
      </c>
      <c r="BY72" s="63">
        <v>59</v>
      </c>
      <c r="BZ72" s="63">
        <v>57</v>
      </c>
      <c r="CA72" s="63">
        <v>137</v>
      </c>
      <c r="CB72" s="63">
        <v>1</v>
      </c>
      <c r="CC72" s="63">
        <v>5</v>
      </c>
      <c r="CD72" s="63">
        <v>0</v>
      </c>
      <c r="CE72" s="50">
        <v>0</v>
      </c>
    </row>
    <row r="73" spans="2:83" x14ac:dyDescent="0.3">
      <c r="B73" s="46">
        <v>13</v>
      </c>
      <c r="C73" s="47">
        <v>43549</v>
      </c>
      <c r="D73" s="48">
        <v>2</v>
      </c>
      <c r="E73" s="49">
        <v>3289</v>
      </c>
      <c r="F73" s="50">
        <v>401</v>
      </c>
      <c r="G73" s="51">
        <v>2.8368464275937586</v>
      </c>
      <c r="H73" s="52">
        <v>3.6566690190543403</v>
      </c>
      <c r="I73" s="53">
        <v>2834</v>
      </c>
      <c r="J73" s="54">
        <v>3653</v>
      </c>
      <c r="K73" s="54">
        <v>10363</v>
      </c>
      <c r="L73" s="55">
        <v>11541.2</v>
      </c>
      <c r="M73" s="56">
        <v>677.08399999999995</v>
      </c>
      <c r="N73" s="57">
        <v>1554.4499999999998</v>
      </c>
      <c r="O73" s="58">
        <v>595.26</v>
      </c>
      <c r="P73" s="59">
        <v>17.409199341464234</v>
      </c>
      <c r="Q73" s="60">
        <v>777.14</v>
      </c>
      <c r="R73" s="61">
        <v>13.334791672028206</v>
      </c>
      <c r="S73" s="48"/>
      <c r="T73" s="50"/>
      <c r="U73" s="62">
        <v>0</v>
      </c>
      <c r="V73" s="63">
        <v>77</v>
      </c>
      <c r="W73" s="50">
        <v>82</v>
      </c>
      <c r="X73" s="48">
        <v>53</v>
      </c>
      <c r="Y73" s="63">
        <v>183</v>
      </c>
      <c r="Z73" s="63">
        <v>431</v>
      </c>
      <c r="AA73" s="64">
        <v>1387.1</v>
      </c>
      <c r="AB73" s="65">
        <v>144.41</v>
      </c>
      <c r="AC73" s="66"/>
      <c r="AD73" s="67"/>
      <c r="AE73" s="68"/>
      <c r="AF73" s="48">
        <v>259</v>
      </c>
      <c r="AG73" s="63">
        <v>564</v>
      </c>
      <c r="AH73" s="63">
        <v>81</v>
      </c>
      <c r="AI73" s="63">
        <v>181</v>
      </c>
      <c r="AJ73" s="63">
        <v>184</v>
      </c>
      <c r="AK73" s="63">
        <v>391</v>
      </c>
      <c r="AL73" s="63">
        <v>291</v>
      </c>
      <c r="AM73" s="63">
        <v>204</v>
      </c>
      <c r="AN73" s="63">
        <v>612</v>
      </c>
      <c r="AO73" s="63">
        <v>128</v>
      </c>
      <c r="AP73" s="63">
        <v>221</v>
      </c>
      <c r="AQ73" s="63">
        <v>116</v>
      </c>
      <c r="AR73" s="63">
        <v>22</v>
      </c>
      <c r="AS73" s="63">
        <v>0</v>
      </c>
      <c r="AT73" s="63">
        <v>6</v>
      </c>
      <c r="AU73" s="63">
        <v>96</v>
      </c>
      <c r="AV73" s="63">
        <v>291</v>
      </c>
      <c r="AW73" s="50">
        <v>10</v>
      </c>
      <c r="AX73" s="69">
        <v>5497</v>
      </c>
      <c r="AY73" s="69">
        <v>29890</v>
      </c>
      <c r="AZ73" s="54">
        <v>1400</v>
      </c>
      <c r="BA73" s="54">
        <v>2649</v>
      </c>
      <c r="BB73" s="54">
        <v>904</v>
      </c>
      <c r="BC73" s="54">
        <v>1763</v>
      </c>
      <c r="BD73" s="54">
        <v>1727</v>
      </c>
      <c r="BE73" s="70">
        <v>2373</v>
      </c>
      <c r="BF73" s="63">
        <v>982</v>
      </c>
      <c r="BG73" s="71">
        <v>5082</v>
      </c>
      <c r="BH73" s="67"/>
      <c r="BI73" s="68"/>
      <c r="BJ73" s="72">
        <v>1299</v>
      </c>
      <c r="BK73" s="62"/>
      <c r="BL73" s="70">
        <v>2281</v>
      </c>
      <c r="BM73" s="70">
        <v>108</v>
      </c>
      <c r="BN73" s="70">
        <v>175</v>
      </c>
      <c r="BO73" s="70">
        <v>991</v>
      </c>
      <c r="BP73" s="73">
        <v>25</v>
      </c>
      <c r="BQ73" s="74">
        <v>1802</v>
      </c>
      <c r="BR73" s="54">
        <v>586</v>
      </c>
      <c r="BS73" s="75">
        <v>124</v>
      </c>
      <c r="BT73" s="76">
        <v>81.899321670831853</v>
      </c>
      <c r="BU73" s="77">
        <v>18.100678329168154</v>
      </c>
      <c r="BV73" s="78">
        <v>2294</v>
      </c>
      <c r="BW73" s="79">
        <v>507</v>
      </c>
      <c r="BX73" s="62">
        <v>1412</v>
      </c>
      <c r="BY73" s="63">
        <v>270</v>
      </c>
      <c r="BZ73" s="63">
        <v>272</v>
      </c>
      <c r="CA73" s="63">
        <v>612</v>
      </c>
      <c r="CB73" s="63">
        <v>14</v>
      </c>
      <c r="CC73" s="63">
        <v>174</v>
      </c>
      <c r="CD73" s="63">
        <v>8</v>
      </c>
      <c r="CE73" s="50">
        <v>39</v>
      </c>
    </row>
    <row r="74" spans="2:83" x14ac:dyDescent="0.3">
      <c r="B74" s="46">
        <v>13</v>
      </c>
      <c r="C74" s="47">
        <v>43550</v>
      </c>
      <c r="D74" s="48">
        <v>5</v>
      </c>
      <c r="E74" s="49">
        <v>2414</v>
      </c>
      <c r="F74" s="50">
        <v>323</v>
      </c>
      <c r="G74" s="51">
        <v>3.7284529390551748</v>
      </c>
      <c r="H74" s="52">
        <v>5.2322874493927127</v>
      </c>
      <c r="I74" s="53">
        <v>1976</v>
      </c>
      <c r="J74" s="54">
        <v>2773</v>
      </c>
      <c r="K74" s="54">
        <v>10339</v>
      </c>
      <c r="L74" s="55">
        <v>9326.6</v>
      </c>
      <c r="M74" s="56">
        <v>661.90300000000002</v>
      </c>
      <c r="N74" s="57">
        <v>1550.8500000000001</v>
      </c>
      <c r="O74" s="58">
        <v>619.1</v>
      </c>
      <c r="P74" s="59">
        <v>16.700048457438218</v>
      </c>
      <c r="Q74" s="60">
        <v>803.41</v>
      </c>
      <c r="R74" s="61">
        <v>12.86889632939595</v>
      </c>
      <c r="S74" s="48"/>
      <c r="T74" s="50"/>
      <c r="U74" s="62">
        <v>0</v>
      </c>
      <c r="V74" s="63">
        <v>119</v>
      </c>
      <c r="W74" s="50">
        <v>53</v>
      </c>
      <c r="X74" s="48">
        <v>6</v>
      </c>
      <c r="Y74" s="63">
        <v>137</v>
      </c>
      <c r="Z74" s="63">
        <v>216</v>
      </c>
      <c r="AA74" s="64">
        <v>994.8</v>
      </c>
      <c r="AB74" s="65">
        <v>63.179000000000002</v>
      </c>
      <c r="AC74" s="66"/>
      <c r="AD74" s="67"/>
      <c r="AE74" s="68"/>
      <c r="AF74" s="48">
        <v>177</v>
      </c>
      <c r="AG74" s="63">
        <v>269</v>
      </c>
      <c r="AH74" s="63">
        <v>59</v>
      </c>
      <c r="AI74" s="63">
        <v>111</v>
      </c>
      <c r="AJ74" s="63">
        <v>95</v>
      </c>
      <c r="AK74" s="63">
        <v>341</v>
      </c>
      <c r="AL74" s="63">
        <v>218</v>
      </c>
      <c r="AM74" s="63">
        <v>1556</v>
      </c>
      <c r="AN74" s="63">
        <v>531</v>
      </c>
      <c r="AO74" s="63">
        <v>149</v>
      </c>
      <c r="AP74" s="63">
        <v>173</v>
      </c>
      <c r="AQ74" s="63">
        <v>106</v>
      </c>
      <c r="AR74" s="63">
        <v>2</v>
      </c>
      <c r="AS74" s="63">
        <v>0</v>
      </c>
      <c r="AT74" s="63">
        <v>8</v>
      </c>
      <c r="AU74" s="63">
        <v>95</v>
      </c>
      <c r="AV74" s="63">
        <v>215</v>
      </c>
      <c r="AW74" s="50">
        <v>11</v>
      </c>
      <c r="AX74" s="69">
        <v>4837</v>
      </c>
      <c r="AY74" s="69">
        <v>36555</v>
      </c>
      <c r="AZ74" s="54">
        <v>2309</v>
      </c>
      <c r="BA74" s="54">
        <v>6479</v>
      </c>
      <c r="BB74" s="54">
        <v>526</v>
      </c>
      <c r="BC74" s="54">
        <v>1119</v>
      </c>
      <c r="BD74" s="54">
        <v>1640</v>
      </c>
      <c r="BE74" s="70">
        <v>2806</v>
      </c>
      <c r="BF74" s="63">
        <v>545</v>
      </c>
      <c r="BG74" s="71">
        <v>4991</v>
      </c>
      <c r="BH74" s="67"/>
      <c r="BI74" s="68"/>
      <c r="BJ74" s="72">
        <v>1837</v>
      </c>
      <c r="BK74" s="62"/>
      <c r="BL74" s="70">
        <v>2843</v>
      </c>
      <c r="BM74" s="70">
        <v>246</v>
      </c>
      <c r="BN74" s="70">
        <v>127</v>
      </c>
      <c r="BO74" s="70">
        <v>1434</v>
      </c>
      <c r="BP74" s="73">
        <v>30</v>
      </c>
      <c r="BQ74" s="74">
        <v>1091</v>
      </c>
      <c r="BR74" s="54">
        <v>495</v>
      </c>
      <c r="BS74" s="75">
        <v>161</v>
      </c>
      <c r="BT74" s="76">
        <v>75.714285714285708</v>
      </c>
      <c r="BU74" s="77">
        <v>24.285714285714285</v>
      </c>
      <c r="BV74" s="78">
        <v>1484</v>
      </c>
      <c r="BW74" s="79">
        <v>476</v>
      </c>
      <c r="BX74" s="62">
        <v>883</v>
      </c>
      <c r="BY74" s="63">
        <v>277</v>
      </c>
      <c r="BZ74" s="63">
        <v>265</v>
      </c>
      <c r="CA74" s="63">
        <v>324</v>
      </c>
      <c r="CB74" s="63">
        <v>6</v>
      </c>
      <c r="CC74" s="63">
        <v>185</v>
      </c>
      <c r="CD74" s="63">
        <v>20</v>
      </c>
      <c r="CE74" s="50">
        <v>0</v>
      </c>
    </row>
    <row r="75" spans="2:83" x14ac:dyDescent="0.3">
      <c r="B75" s="46">
        <v>13</v>
      </c>
      <c r="C75" s="47">
        <v>43551</v>
      </c>
      <c r="D75" s="48">
        <v>3</v>
      </c>
      <c r="E75" s="49">
        <v>2058</v>
      </c>
      <c r="F75" s="50">
        <v>299</v>
      </c>
      <c r="G75" s="51">
        <v>3.7335047129391601</v>
      </c>
      <c r="H75" s="52">
        <v>5.1745843230403796</v>
      </c>
      <c r="I75" s="53">
        <v>1684</v>
      </c>
      <c r="J75" s="54">
        <v>2334</v>
      </c>
      <c r="K75" s="54">
        <v>8714</v>
      </c>
      <c r="L75" s="55">
        <v>8751.6</v>
      </c>
      <c r="M75" s="56">
        <v>544.24199999999996</v>
      </c>
      <c r="N75" s="57">
        <v>1307.1000000000001</v>
      </c>
      <c r="O75" s="58">
        <v>614.75</v>
      </c>
      <c r="P75" s="59">
        <v>14.174867832452216</v>
      </c>
      <c r="Q75" s="60">
        <v>784.37</v>
      </c>
      <c r="R75" s="61">
        <v>11.109552889580172</v>
      </c>
      <c r="S75" s="48"/>
      <c r="T75" s="50"/>
      <c r="U75" s="62">
        <v>0</v>
      </c>
      <c r="V75" s="63">
        <v>42</v>
      </c>
      <c r="W75" s="50">
        <v>101</v>
      </c>
      <c r="X75" s="48">
        <v>34</v>
      </c>
      <c r="Y75" s="63">
        <v>130</v>
      </c>
      <c r="Z75" s="63">
        <v>106</v>
      </c>
      <c r="AA75" s="64">
        <v>1522</v>
      </c>
      <c r="AB75" s="65">
        <v>124.871</v>
      </c>
      <c r="AC75" s="66"/>
      <c r="AD75" s="67"/>
      <c r="AE75" s="68"/>
      <c r="AF75" s="48">
        <v>100</v>
      </c>
      <c r="AG75" s="63">
        <v>203</v>
      </c>
      <c r="AH75" s="63">
        <v>47</v>
      </c>
      <c r="AI75" s="63">
        <v>77</v>
      </c>
      <c r="AJ75" s="63">
        <v>78</v>
      </c>
      <c r="AK75" s="63">
        <v>259</v>
      </c>
      <c r="AL75" s="63">
        <v>180</v>
      </c>
      <c r="AM75" s="63">
        <v>156</v>
      </c>
      <c r="AN75" s="63">
        <v>561</v>
      </c>
      <c r="AO75" s="63">
        <v>115</v>
      </c>
      <c r="AP75" s="63">
        <v>140</v>
      </c>
      <c r="AQ75" s="63">
        <v>110</v>
      </c>
      <c r="AR75" s="63">
        <v>4</v>
      </c>
      <c r="AS75" s="63">
        <v>2</v>
      </c>
      <c r="AT75" s="63">
        <v>2</v>
      </c>
      <c r="AU75" s="63">
        <v>99</v>
      </c>
      <c r="AV75" s="63">
        <v>187</v>
      </c>
      <c r="AW75" s="50">
        <v>13</v>
      </c>
      <c r="AX75" s="69">
        <v>5386</v>
      </c>
      <c r="AY75" s="69">
        <v>31389</v>
      </c>
      <c r="AZ75" s="54">
        <v>2524</v>
      </c>
      <c r="BA75" s="54">
        <v>9954</v>
      </c>
      <c r="BB75" s="54">
        <v>892</v>
      </c>
      <c r="BC75" s="54">
        <v>2061</v>
      </c>
      <c r="BD75" s="54">
        <v>1531</v>
      </c>
      <c r="BE75" s="70">
        <v>2865</v>
      </c>
      <c r="BF75" s="63">
        <v>821</v>
      </c>
      <c r="BG75" s="71">
        <v>5217</v>
      </c>
      <c r="BH75" s="67"/>
      <c r="BI75" s="68"/>
      <c r="BJ75" s="72">
        <v>743</v>
      </c>
      <c r="BK75" s="62"/>
      <c r="BL75" s="70">
        <v>1916</v>
      </c>
      <c r="BM75" s="70">
        <v>176</v>
      </c>
      <c r="BN75" s="70">
        <v>95</v>
      </c>
      <c r="BO75" s="70">
        <v>456</v>
      </c>
      <c r="BP75" s="73">
        <v>16</v>
      </c>
      <c r="BQ75" s="74">
        <v>792</v>
      </c>
      <c r="BR75" s="54">
        <v>543</v>
      </c>
      <c r="BS75" s="75">
        <v>136</v>
      </c>
      <c r="BT75" s="76">
        <v>75.13384889946461</v>
      </c>
      <c r="BU75" s="77">
        <v>24.866151100535397</v>
      </c>
      <c r="BV75" s="78">
        <v>1263</v>
      </c>
      <c r="BW75" s="79">
        <v>418</v>
      </c>
      <c r="BX75" s="62">
        <v>596</v>
      </c>
      <c r="BY75" s="63">
        <v>320</v>
      </c>
      <c r="BZ75" s="63">
        <v>211</v>
      </c>
      <c r="CA75" s="63">
        <v>347</v>
      </c>
      <c r="CB75" s="63">
        <v>7</v>
      </c>
      <c r="CC75" s="63">
        <v>173</v>
      </c>
      <c r="CD75" s="63">
        <v>8</v>
      </c>
      <c r="CE75" s="50">
        <v>19</v>
      </c>
    </row>
    <row r="76" spans="2:83" x14ac:dyDescent="0.3">
      <c r="B76" s="46">
        <v>13</v>
      </c>
      <c r="C76" s="47">
        <v>43552</v>
      </c>
      <c r="D76" s="48">
        <v>3</v>
      </c>
      <c r="E76" s="49">
        <v>1701</v>
      </c>
      <c r="F76" s="50">
        <v>263</v>
      </c>
      <c r="G76" s="51">
        <v>5.2065326633165832</v>
      </c>
      <c r="H76" s="52">
        <v>7.6071953010279003</v>
      </c>
      <c r="I76" s="53">
        <v>1362</v>
      </c>
      <c r="J76" s="54">
        <v>1990</v>
      </c>
      <c r="K76" s="54">
        <v>10361</v>
      </c>
      <c r="L76" s="55">
        <v>8000.2</v>
      </c>
      <c r="M76" s="56">
        <v>460.92399999999998</v>
      </c>
      <c r="N76" s="57">
        <v>1554.15</v>
      </c>
      <c r="O76" s="58">
        <v>586.16000000000008</v>
      </c>
      <c r="P76" s="59">
        <v>17.676061143715025</v>
      </c>
      <c r="Q76" s="60">
        <v>741.41000000000008</v>
      </c>
      <c r="R76" s="61">
        <v>13.974723837013258</v>
      </c>
      <c r="S76" s="48"/>
      <c r="T76" s="50"/>
      <c r="U76" s="62">
        <v>0</v>
      </c>
      <c r="V76" s="63">
        <v>54</v>
      </c>
      <c r="W76" s="50">
        <v>75</v>
      </c>
      <c r="X76" s="48">
        <v>48</v>
      </c>
      <c r="Y76" s="63">
        <v>149</v>
      </c>
      <c r="Z76" s="63">
        <v>469</v>
      </c>
      <c r="AA76" s="64">
        <v>2084.1999999999998</v>
      </c>
      <c r="AB76" s="65">
        <v>118.717</v>
      </c>
      <c r="AC76" s="66"/>
      <c r="AD76" s="67"/>
      <c r="AE76" s="68"/>
      <c r="AF76" s="48">
        <v>136</v>
      </c>
      <c r="AG76" s="63">
        <v>246</v>
      </c>
      <c r="AH76" s="63">
        <v>41</v>
      </c>
      <c r="AI76" s="63">
        <v>68</v>
      </c>
      <c r="AJ76" s="63">
        <v>64</v>
      </c>
      <c r="AK76" s="63">
        <v>223</v>
      </c>
      <c r="AL76" s="63">
        <v>151</v>
      </c>
      <c r="AM76" s="63">
        <v>89</v>
      </c>
      <c r="AN76" s="63">
        <v>333</v>
      </c>
      <c r="AO76" s="63">
        <v>75</v>
      </c>
      <c r="AP76" s="63">
        <v>173</v>
      </c>
      <c r="AQ76" s="63">
        <v>72</v>
      </c>
      <c r="AR76" s="63">
        <v>5</v>
      </c>
      <c r="AS76" s="63">
        <v>0</v>
      </c>
      <c r="AT76" s="63">
        <v>19</v>
      </c>
      <c r="AU76" s="63">
        <v>75</v>
      </c>
      <c r="AV76" s="63">
        <v>178</v>
      </c>
      <c r="AW76" s="50">
        <v>10</v>
      </c>
      <c r="AX76" s="69">
        <v>4633</v>
      </c>
      <c r="AY76" s="69">
        <v>28810</v>
      </c>
      <c r="AZ76" s="54">
        <v>1799</v>
      </c>
      <c r="BA76" s="54">
        <v>4920</v>
      </c>
      <c r="BB76" s="54">
        <v>401</v>
      </c>
      <c r="BC76" s="54">
        <v>933</v>
      </c>
      <c r="BD76" s="54">
        <v>1307</v>
      </c>
      <c r="BE76" s="70">
        <v>2921</v>
      </c>
      <c r="BF76" s="63">
        <v>367</v>
      </c>
      <c r="BG76" s="71">
        <v>4595</v>
      </c>
      <c r="BH76" s="67"/>
      <c r="BI76" s="68"/>
      <c r="BJ76" s="72">
        <v>990</v>
      </c>
      <c r="BK76" s="62"/>
      <c r="BL76" s="70">
        <v>1718</v>
      </c>
      <c r="BM76" s="70">
        <v>297</v>
      </c>
      <c r="BN76" s="70">
        <v>101</v>
      </c>
      <c r="BO76" s="70">
        <v>585</v>
      </c>
      <c r="BP76" s="73">
        <v>7</v>
      </c>
      <c r="BQ76" s="74">
        <v>860</v>
      </c>
      <c r="BR76" s="54">
        <v>292</v>
      </c>
      <c r="BS76" s="75">
        <v>66</v>
      </c>
      <c r="BT76" s="76">
        <v>78.661710037174714</v>
      </c>
      <c r="BU76" s="77">
        <v>21.338289962825279</v>
      </c>
      <c r="BV76" s="78">
        <v>1058</v>
      </c>
      <c r="BW76" s="79">
        <v>287</v>
      </c>
      <c r="BX76" s="62">
        <v>597</v>
      </c>
      <c r="BY76" s="63">
        <v>148</v>
      </c>
      <c r="BZ76" s="63">
        <v>164</v>
      </c>
      <c r="CA76" s="63">
        <v>313</v>
      </c>
      <c r="CB76" s="63">
        <v>9</v>
      </c>
      <c r="CC76" s="63">
        <v>111</v>
      </c>
      <c r="CD76" s="63">
        <v>3</v>
      </c>
      <c r="CE76" s="50">
        <v>0</v>
      </c>
    </row>
    <row r="77" spans="2:83" x14ac:dyDescent="0.3">
      <c r="B77" s="46">
        <v>13</v>
      </c>
      <c r="C77" s="47">
        <v>43553</v>
      </c>
      <c r="D77" s="48">
        <v>17</v>
      </c>
      <c r="E77" s="49">
        <v>2074</v>
      </c>
      <c r="F77" s="50">
        <v>329</v>
      </c>
      <c r="G77" s="51">
        <v>3.2359227291409782</v>
      </c>
      <c r="H77" s="52">
        <v>5.3412483039348713</v>
      </c>
      <c r="I77" s="53">
        <v>1474</v>
      </c>
      <c r="J77" s="54">
        <v>2433</v>
      </c>
      <c r="K77" s="54">
        <v>7873</v>
      </c>
      <c r="L77" s="55">
        <v>13593.7</v>
      </c>
      <c r="M77" s="56">
        <v>632.62400000000002</v>
      </c>
      <c r="N77" s="57">
        <v>1180.95</v>
      </c>
      <c r="O77" s="58">
        <v>537.46</v>
      </c>
      <c r="P77" s="59">
        <v>14.648531983775536</v>
      </c>
      <c r="Q77" s="60">
        <v>702</v>
      </c>
      <c r="R77" s="61">
        <v>11.215099715099715</v>
      </c>
      <c r="S77" s="48"/>
      <c r="T77" s="50"/>
      <c r="U77" s="62">
        <v>0</v>
      </c>
      <c r="V77" s="63">
        <v>104</v>
      </c>
      <c r="W77" s="50">
        <v>45</v>
      </c>
      <c r="X77" s="48">
        <v>32</v>
      </c>
      <c r="Y77" s="63">
        <v>152</v>
      </c>
      <c r="Z77" s="63">
        <v>250</v>
      </c>
      <c r="AA77" s="64">
        <v>827.4</v>
      </c>
      <c r="AB77" s="65">
        <v>75.823999999999998</v>
      </c>
      <c r="AC77" s="66"/>
      <c r="AD77" s="67"/>
      <c r="AE77" s="68"/>
      <c r="AF77" s="48">
        <v>107</v>
      </c>
      <c r="AG77" s="63">
        <v>203</v>
      </c>
      <c r="AH77" s="63">
        <v>45</v>
      </c>
      <c r="AI77" s="63">
        <v>89</v>
      </c>
      <c r="AJ77" s="63">
        <v>82</v>
      </c>
      <c r="AK77" s="63">
        <v>228</v>
      </c>
      <c r="AL77" s="63">
        <v>168</v>
      </c>
      <c r="AM77" s="63">
        <v>117</v>
      </c>
      <c r="AN77" s="63">
        <v>527</v>
      </c>
      <c r="AO77" s="63">
        <v>114</v>
      </c>
      <c r="AP77" s="63">
        <v>171</v>
      </c>
      <c r="AQ77" s="63">
        <v>176</v>
      </c>
      <c r="AR77" s="63">
        <v>2</v>
      </c>
      <c r="AS77" s="63">
        <v>1</v>
      </c>
      <c r="AT77" s="63">
        <v>9</v>
      </c>
      <c r="AU77" s="63">
        <v>96</v>
      </c>
      <c r="AV77" s="63">
        <v>218</v>
      </c>
      <c r="AW77" s="50">
        <v>15</v>
      </c>
      <c r="AX77" s="69">
        <v>4582</v>
      </c>
      <c r="AY77" s="69">
        <v>33431</v>
      </c>
      <c r="AZ77" s="54">
        <v>1212</v>
      </c>
      <c r="BA77" s="54">
        <v>3412</v>
      </c>
      <c r="BB77" s="54">
        <v>981</v>
      </c>
      <c r="BC77" s="54">
        <v>1902</v>
      </c>
      <c r="BD77" s="54">
        <v>1528</v>
      </c>
      <c r="BE77" s="70">
        <v>2071</v>
      </c>
      <c r="BF77" s="63">
        <v>532</v>
      </c>
      <c r="BG77" s="71">
        <v>4131</v>
      </c>
      <c r="BH77" s="67"/>
      <c r="BI77" s="68"/>
      <c r="BJ77" s="72">
        <v>1535</v>
      </c>
      <c r="BK77" s="62"/>
      <c r="BL77" s="70">
        <v>2070</v>
      </c>
      <c r="BM77" s="70">
        <v>268</v>
      </c>
      <c r="BN77" s="70">
        <v>210</v>
      </c>
      <c r="BO77" s="70">
        <v>1046</v>
      </c>
      <c r="BP77" s="73">
        <v>11</v>
      </c>
      <c r="BQ77" s="74">
        <v>803</v>
      </c>
      <c r="BR77" s="54">
        <v>378</v>
      </c>
      <c r="BS77" s="75">
        <v>128</v>
      </c>
      <c r="BT77" s="76">
        <v>72.627235213204955</v>
      </c>
      <c r="BU77" s="77">
        <v>27.372764786795049</v>
      </c>
      <c r="BV77" s="78">
        <v>1056</v>
      </c>
      <c r="BW77" s="79">
        <v>398</v>
      </c>
      <c r="BX77" s="62">
        <v>573</v>
      </c>
      <c r="BY77" s="63">
        <v>158</v>
      </c>
      <c r="BZ77" s="63">
        <v>257</v>
      </c>
      <c r="CA77" s="63">
        <v>325</v>
      </c>
      <c r="CB77" s="63">
        <v>9</v>
      </c>
      <c r="CC77" s="63">
        <v>126</v>
      </c>
      <c r="CD77" s="63">
        <v>6</v>
      </c>
      <c r="CE77" s="50">
        <v>0</v>
      </c>
    </row>
    <row r="78" spans="2:83" x14ac:dyDescent="0.3">
      <c r="B78" s="46">
        <v>14</v>
      </c>
      <c r="C78" s="47">
        <v>43556</v>
      </c>
      <c r="D78" s="48">
        <v>22</v>
      </c>
      <c r="E78" s="49">
        <v>2910</v>
      </c>
      <c r="F78" s="50">
        <v>209</v>
      </c>
      <c r="G78" s="51">
        <v>2.1787220240025951</v>
      </c>
      <c r="H78" s="52">
        <v>2.7710396039603959</v>
      </c>
      <c r="I78" s="53">
        <v>2424</v>
      </c>
      <c r="J78" s="54">
        <v>3083</v>
      </c>
      <c r="K78" s="54">
        <v>6717</v>
      </c>
      <c r="L78" s="55">
        <v>3924.4</v>
      </c>
      <c r="M78" s="56">
        <v>369.375</v>
      </c>
      <c r="N78" s="57">
        <v>1007.55</v>
      </c>
      <c r="O78" s="58">
        <v>603.03</v>
      </c>
      <c r="P78" s="59">
        <v>11.138749315954431</v>
      </c>
      <c r="Q78" s="60">
        <v>767.92</v>
      </c>
      <c r="R78" s="61">
        <v>8.7470048963433698</v>
      </c>
      <c r="S78" s="48"/>
      <c r="T78" s="50"/>
      <c r="U78" s="62">
        <v>0</v>
      </c>
      <c r="V78" s="63">
        <v>76</v>
      </c>
      <c r="W78" s="50">
        <v>50</v>
      </c>
      <c r="X78" s="48">
        <v>26</v>
      </c>
      <c r="Y78" s="63">
        <v>88</v>
      </c>
      <c r="Z78" s="63">
        <v>174</v>
      </c>
      <c r="AA78" s="64">
        <v>338.3</v>
      </c>
      <c r="AB78" s="65">
        <v>17.338000000000001</v>
      </c>
      <c r="AC78" s="66"/>
      <c r="AD78" s="67"/>
      <c r="AE78" s="68"/>
      <c r="AF78" s="48">
        <v>186</v>
      </c>
      <c r="AG78" s="63">
        <v>470</v>
      </c>
      <c r="AH78" s="63">
        <v>71</v>
      </c>
      <c r="AI78" s="63">
        <v>159</v>
      </c>
      <c r="AJ78" s="63">
        <v>122</v>
      </c>
      <c r="AK78" s="63">
        <v>389</v>
      </c>
      <c r="AL78" s="63">
        <v>279</v>
      </c>
      <c r="AM78" s="63">
        <v>177</v>
      </c>
      <c r="AN78" s="63">
        <v>467</v>
      </c>
      <c r="AO78" s="63">
        <v>114</v>
      </c>
      <c r="AP78" s="63">
        <v>191</v>
      </c>
      <c r="AQ78" s="63">
        <v>201</v>
      </c>
      <c r="AR78" s="63">
        <v>16</v>
      </c>
      <c r="AS78" s="63">
        <v>2</v>
      </c>
      <c r="AT78" s="63">
        <v>36</v>
      </c>
      <c r="AU78" s="63">
        <v>25</v>
      </c>
      <c r="AV78" s="63">
        <v>140</v>
      </c>
      <c r="AW78" s="50">
        <v>42</v>
      </c>
      <c r="AX78" s="69">
        <v>3207</v>
      </c>
      <c r="AY78" s="69">
        <v>18088</v>
      </c>
      <c r="AZ78" s="54">
        <v>870</v>
      </c>
      <c r="BA78" s="54">
        <v>1363</v>
      </c>
      <c r="BB78" s="54">
        <v>500</v>
      </c>
      <c r="BC78" s="54">
        <v>977</v>
      </c>
      <c r="BD78" s="54">
        <v>1241</v>
      </c>
      <c r="BE78" s="70">
        <v>1659</v>
      </c>
      <c r="BF78" s="63">
        <v>706</v>
      </c>
      <c r="BG78" s="71">
        <v>3606</v>
      </c>
      <c r="BH78" s="67"/>
      <c r="BI78" s="68"/>
      <c r="BJ78" s="72">
        <v>1725</v>
      </c>
      <c r="BK78" s="62"/>
      <c r="BL78" s="70">
        <v>2789</v>
      </c>
      <c r="BM78" s="70">
        <v>283</v>
      </c>
      <c r="BN78" s="70">
        <v>121</v>
      </c>
      <c r="BO78" s="70">
        <v>1310</v>
      </c>
      <c r="BP78" s="73">
        <v>11</v>
      </c>
      <c r="BQ78" s="74">
        <v>1588</v>
      </c>
      <c r="BR78" s="54">
        <v>483</v>
      </c>
      <c r="BS78" s="75">
        <v>81</v>
      </c>
      <c r="BT78" s="76">
        <v>79.502074688796682</v>
      </c>
      <c r="BU78" s="77">
        <v>20.497925311203318</v>
      </c>
      <c r="BV78" s="78">
        <v>1916</v>
      </c>
      <c r="BW78" s="79">
        <v>494</v>
      </c>
      <c r="BX78" s="62">
        <v>1048</v>
      </c>
      <c r="BY78" s="63">
        <v>269</v>
      </c>
      <c r="BZ78" s="63">
        <v>230</v>
      </c>
      <c r="CA78" s="63">
        <v>599</v>
      </c>
      <c r="CB78" s="63">
        <v>9</v>
      </c>
      <c r="CC78" s="63">
        <v>252</v>
      </c>
      <c r="CD78" s="63">
        <v>3</v>
      </c>
      <c r="CE78" s="50">
        <v>0</v>
      </c>
    </row>
    <row r="79" spans="2:83" x14ac:dyDescent="0.3">
      <c r="B79" s="46">
        <v>14</v>
      </c>
      <c r="C79" s="47">
        <v>43557</v>
      </c>
      <c r="D79" s="48">
        <v>10</v>
      </c>
      <c r="E79" s="49">
        <v>1839</v>
      </c>
      <c r="F79" s="50">
        <v>332</v>
      </c>
      <c r="G79" s="51">
        <v>3.7133610725843735</v>
      </c>
      <c r="H79" s="52">
        <v>5.152020525978191</v>
      </c>
      <c r="I79" s="53">
        <v>1559</v>
      </c>
      <c r="J79" s="54">
        <v>2163</v>
      </c>
      <c r="K79" s="54">
        <v>8032</v>
      </c>
      <c r="L79" s="55">
        <v>5427.9</v>
      </c>
      <c r="M79" s="56">
        <v>542.43100000000004</v>
      </c>
      <c r="N79" s="57">
        <v>1204.8</v>
      </c>
      <c r="O79" s="58">
        <v>555.46</v>
      </c>
      <c r="P79" s="59">
        <v>14.460087134987218</v>
      </c>
      <c r="Q79" s="60">
        <v>727.25</v>
      </c>
      <c r="R79" s="61">
        <v>11.044345135785493</v>
      </c>
      <c r="S79" s="48"/>
      <c r="T79" s="50"/>
      <c r="U79" s="62">
        <v>0</v>
      </c>
      <c r="V79" s="63">
        <v>72</v>
      </c>
      <c r="W79" s="50">
        <v>59</v>
      </c>
      <c r="X79" s="48">
        <v>39</v>
      </c>
      <c r="Y79" s="63">
        <v>165</v>
      </c>
      <c r="Z79" s="63">
        <v>252</v>
      </c>
      <c r="AA79" s="64">
        <v>771.3</v>
      </c>
      <c r="AB79" s="65">
        <v>132.06399999999999</v>
      </c>
      <c r="AC79" s="66"/>
      <c r="AD79" s="67"/>
      <c r="AE79" s="68"/>
      <c r="AF79" s="48">
        <v>129</v>
      </c>
      <c r="AG79" s="63">
        <v>254</v>
      </c>
      <c r="AH79" s="63">
        <v>23</v>
      </c>
      <c r="AI79" s="63">
        <v>102</v>
      </c>
      <c r="AJ79" s="63">
        <v>82</v>
      </c>
      <c r="AK79" s="63">
        <v>188</v>
      </c>
      <c r="AL79" s="63">
        <v>163</v>
      </c>
      <c r="AM79" s="63">
        <v>133</v>
      </c>
      <c r="AN79" s="63">
        <v>391</v>
      </c>
      <c r="AO79" s="63">
        <v>97</v>
      </c>
      <c r="AP79" s="63">
        <v>118</v>
      </c>
      <c r="AQ79" s="63">
        <v>101</v>
      </c>
      <c r="AR79" s="63">
        <v>10</v>
      </c>
      <c r="AS79" s="63">
        <v>1</v>
      </c>
      <c r="AT79" s="63">
        <v>33</v>
      </c>
      <c r="AU79" s="63">
        <v>78</v>
      </c>
      <c r="AV79" s="63">
        <v>228</v>
      </c>
      <c r="AW79" s="50">
        <v>22</v>
      </c>
      <c r="AX79" s="69">
        <v>3654</v>
      </c>
      <c r="AY79" s="69">
        <v>27836</v>
      </c>
      <c r="AZ79" s="54">
        <v>2169</v>
      </c>
      <c r="BA79" s="54">
        <v>8099</v>
      </c>
      <c r="BB79" s="54">
        <v>502</v>
      </c>
      <c r="BC79" s="54">
        <v>845</v>
      </c>
      <c r="BD79" s="54">
        <v>1164</v>
      </c>
      <c r="BE79" s="70">
        <v>2781</v>
      </c>
      <c r="BF79" s="63">
        <v>661</v>
      </c>
      <c r="BG79" s="71">
        <v>4606</v>
      </c>
      <c r="BH79" s="67"/>
      <c r="BI79" s="68"/>
      <c r="BJ79" s="72">
        <v>1525</v>
      </c>
      <c r="BK79" s="62"/>
      <c r="BL79" s="70">
        <v>2398</v>
      </c>
      <c r="BM79" s="70">
        <v>351</v>
      </c>
      <c r="BN79" s="70">
        <v>114</v>
      </c>
      <c r="BO79" s="70">
        <v>1043</v>
      </c>
      <c r="BP79" s="73">
        <v>17</v>
      </c>
      <c r="BQ79" s="74">
        <v>891</v>
      </c>
      <c r="BR79" s="54">
        <v>346</v>
      </c>
      <c r="BS79" s="75">
        <v>132</v>
      </c>
      <c r="BT79" s="76">
        <v>76.694641704325377</v>
      </c>
      <c r="BU79" s="77">
        <v>23.30535829567463</v>
      </c>
      <c r="BV79" s="78">
        <v>1188</v>
      </c>
      <c r="BW79" s="79">
        <v>361</v>
      </c>
      <c r="BX79" s="62">
        <v>720</v>
      </c>
      <c r="BY79" s="63">
        <v>205</v>
      </c>
      <c r="BZ79" s="63">
        <v>198</v>
      </c>
      <c r="CA79" s="63">
        <v>263</v>
      </c>
      <c r="CB79" s="63">
        <v>8</v>
      </c>
      <c r="CC79" s="63">
        <v>149</v>
      </c>
      <c r="CD79" s="63">
        <v>6</v>
      </c>
      <c r="CE79" s="50">
        <v>0</v>
      </c>
    </row>
    <row r="80" spans="2:83" x14ac:dyDescent="0.3">
      <c r="B80" s="46">
        <v>14</v>
      </c>
      <c r="C80" s="47">
        <v>43558</v>
      </c>
      <c r="D80" s="48">
        <v>5</v>
      </c>
      <c r="E80" s="49">
        <v>1655</v>
      </c>
      <c r="F80" s="50">
        <v>275</v>
      </c>
      <c r="G80" s="51">
        <v>3.5421624418003104</v>
      </c>
      <c r="H80" s="52">
        <v>5.29953560371517</v>
      </c>
      <c r="I80" s="53">
        <v>1292</v>
      </c>
      <c r="J80" s="54">
        <v>1933</v>
      </c>
      <c r="K80" s="54">
        <v>6847</v>
      </c>
      <c r="L80" s="55">
        <v>7007.2</v>
      </c>
      <c r="M80" s="56">
        <v>482.91300000000001</v>
      </c>
      <c r="N80" s="57">
        <v>1027.05</v>
      </c>
      <c r="O80" s="58">
        <v>507.48</v>
      </c>
      <c r="P80" s="59">
        <v>13.492157326397098</v>
      </c>
      <c r="Q80" s="60">
        <v>672.96</v>
      </c>
      <c r="R80" s="61">
        <v>10.174453162149311</v>
      </c>
      <c r="S80" s="48"/>
      <c r="T80" s="50"/>
      <c r="U80" s="62">
        <v>0</v>
      </c>
      <c r="V80" s="63">
        <v>110</v>
      </c>
      <c r="W80" s="50">
        <v>72</v>
      </c>
      <c r="X80" s="48">
        <v>60</v>
      </c>
      <c r="Y80" s="63">
        <v>171</v>
      </c>
      <c r="Z80" s="63">
        <v>232</v>
      </c>
      <c r="AA80" s="64">
        <v>500.7</v>
      </c>
      <c r="AB80" s="65">
        <v>97.706000000000003</v>
      </c>
      <c r="AC80" s="66"/>
      <c r="AD80" s="67"/>
      <c r="AE80" s="68"/>
      <c r="AF80" s="48">
        <v>102</v>
      </c>
      <c r="AG80" s="63">
        <v>177</v>
      </c>
      <c r="AH80" s="63">
        <v>31</v>
      </c>
      <c r="AI80" s="63">
        <v>61</v>
      </c>
      <c r="AJ80" s="63">
        <v>47</v>
      </c>
      <c r="AK80" s="63">
        <v>216</v>
      </c>
      <c r="AL80" s="63">
        <v>166</v>
      </c>
      <c r="AM80" s="63">
        <v>117</v>
      </c>
      <c r="AN80" s="63">
        <v>352</v>
      </c>
      <c r="AO80" s="63">
        <v>103</v>
      </c>
      <c r="AP80" s="63">
        <v>139</v>
      </c>
      <c r="AQ80" s="63">
        <v>103</v>
      </c>
      <c r="AR80" s="63">
        <v>0</v>
      </c>
      <c r="AS80" s="63">
        <v>0</v>
      </c>
      <c r="AT80" s="63">
        <v>17</v>
      </c>
      <c r="AU80" s="63">
        <v>72</v>
      </c>
      <c r="AV80" s="63">
        <v>193</v>
      </c>
      <c r="AW80" s="50">
        <v>9</v>
      </c>
      <c r="AX80" s="69">
        <v>3720</v>
      </c>
      <c r="AY80" s="69">
        <v>20532</v>
      </c>
      <c r="AZ80" s="54">
        <v>1497</v>
      </c>
      <c r="BA80" s="54">
        <v>4549</v>
      </c>
      <c r="BB80" s="54">
        <v>444</v>
      </c>
      <c r="BC80" s="54">
        <v>1082</v>
      </c>
      <c r="BD80" s="54">
        <v>1141</v>
      </c>
      <c r="BE80" s="70">
        <v>1754</v>
      </c>
      <c r="BF80" s="63">
        <v>504</v>
      </c>
      <c r="BG80" s="71">
        <v>3399</v>
      </c>
      <c r="BH80" s="67"/>
      <c r="BI80" s="68"/>
      <c r="BJ80" s="72">
        <v>1307</v>
      </c>
      <c r="BK80" s="62"/>
      <c r="BL80" s="70">
        <v>2384</v>
      </c>
      <c r="BM80" s="70">
        <v>94</v>
      </c>
      <c r="BN80" s="70">
        <v>116</v>
      </c>
      <c r="BO80" s="70">
        <v>1080</v>
      </c>
      <c r="BP80" s="73">
        <v>17</v>
      </c>
      <c r="BQ80" s="74">
        <v>650</v>
      </c>
      <c r="BR80" s="54">
        <v>390</v>
      </c>
      <c r="BS80" s="75">
        <v>73</v>
      </c>
      <c r="BT80" s="76">
        <v>71.328671328671334</v>
      </c>
      <c r="BU80" s="77">
        <v>28.67132867132867</v>
      </c>
      <c r="BV80" s="78">
        <v>918</v>
      </c>
      <c r="BW80" s="79">
        <v>369</v>
      </c>
      <c r="BX80" s="62">
        <v>456</v>
      </c>
      <c r="BY80" s="63">
        <v>191</v>
      </c>
      <c r="BZ80" s="63">
        <v>203</v>
      </c>
      <c r="CA80" s="63">
        <v>271</v>
      </c>
      <c r="CB80" s="63">
        <v>14</v>
      </c>
      <c r="CC80" s="63">
        <v>141</v>
      </c>
      <c r="CD80" s="63">
        <v>11</v>
      </c>
      <c r="CE80" s="50">
        <v>0</v>
      </c>
    </row>
    <row r="81" spans="2:83" x14ac:dyDescent="0.3">
      <c r="B81" s="46">
        <v>14</v>
      </c>
      <c r="C81" s="47">
        <v>43559</v>
      </c>
      <c r="D81" s="48">
        <v>3</v>
      </c>
      <c r="E81" s="49">
        <v>1824</v>
      </c>
      <c r="F81" s="50">
        <v>268</v>
      </c>
      <c r="G81" s="51">
        <v>3.9960552268244576</v>
      </c>
      <c r="H81" s="52">
        <v>5.4062708472314878</v>
      </c>
      <c r="I81" s="53">
        <v>1499</v>
      </c>
      <c r="J81" s="54">
        <v>2028</v>
      </c>
      <c r="K81" s="54">
        <v>8104</v>
      </c>
      <c r="L81" s="55">
        <v>5964.7</v>
      </c>
      <c r="M81" s="56">
        <v>401.721</v>
      </c>
      <c r="N81" s="57">
        <v>1215.5999999999999</v>
      </c>
      <c r="O81" s="58">
        <v>520.15</v>
      </c>
      <c r="P81" s="59">
        <v>15.580121118908007</v>
      </c>
      <c r="Q81" s="60">
        <v>677.88</v>
      </c>
      <c r="R81" s="61">
        <v>11.954918274620876</v>
      </c>
      <c r="S81" s="48"/>
      <c r="T81" s="50"/>
      <c r="U81" s="62">
        <v>0</v>
      </c>
      <c r="V81" s="63">
        <v>33</v>
      </c>
      <c r="W81" s="50">
        <v>52</v>
      </c>
      <c r="X81" s="48">
        <v>28</v>
      </c>
      <c r="Y81" s="63">
        <v>46</v>
      </c>
      <c r="Z81" s="63">
        <v>164</v>
      </c>
      <c r="AA81" s="64">
        <v>215.9</v>
      </c>
      <c r="AB81" s="65">
        <v>18.332999999999998</v>
      </c>
      <c r="AC81" s="66"/>
      <c r="AD81" s="67"/>
      <c r="AE81" s="68"/>
      <c r="AF81" s="48">
        <v>109</v>
      </c>
      <c r="AG81" s="63">
        <v>239</v>
      </c>
      <c r="AH81" s="63">
        <v>54</v>
      </c>
      <c r="AI81" s="63">
        <v>97</v>
      </c>
      <c r="AJ81" s="63">
        <v>78</v>
      </c>
      <c r="AK81" s="63">
        <v>232</v>
      </c>
      <c r="AL81" s="63">
        <v>165</v>
      </c>
      <c r="AM81" s="63">
        <v>113</v>
      </c>
      <c r="AN81" s="63">
        <v>350</v>
      </c>
      <c r="AO81" s="63">
        <v>89</v>
      </c>
      <c r="AP81" s="63">
        <v>120</v>
      </c>
      <c r="AQ81" s="63">
        <v>125</v>
      </c>
      <c r="AR81" s="63">
        <v>0</v>
      </c>
      <c r="AS81" s="63">
        <v>1</v>
      </c>
      <c r="AT81" s="63">
        <v>20</v>
      </c>
      <c r="AU81" s="63">
        <v>70</v>
      </c>
      <c r="AV81" s="63">
        <v>186</v>
      </c>
      <c r="AW81" s="50">
        <v>11</v>
      </c>
      <c r="AX81" s="69">
        <v>3747</v>
      </c>
      <c r="AY81" s="69">
        <v>27242</v>
      </c>
      <c r="AZ81" s="54">
        <v>1822</v>
      </c>
      <c r="BA81" s="54">
        <v>5760</v>
      </c>
      <c r="BB81" s="54">
        <v>391</v>
      </c>
      <c r="BC81" s="54">
        <v>861</v>
      </c>
      <c r="BD81" s="54">
        <v>1100</v>
      </c>
      <c r="BE81" s="70">
        <v>2443</v>
      </c>
      <c r="BF81" s="63">
        <v>498</v>
      </c>
      <c r="BG81" s="71">
        <v>4041</v>
      </c>
      <c r="BH81" s="67"/>
      <c r="BI81" s="68"/>
      <c r="BJ81" s="72">
        <v>1752</v>
      </c>
      <c r="BK81" s="62"/>
      <c r="BL81" s="70">
        <v>2119</v>
      </c>
      <c r="BM81" s="70">
        <v>317</v>
      </c>
      <c r="BN81" s="70">
        <v>161</v>
      </c>
      <c r="BO81" s="70">
        <v>1242</v>
      </c>
      <c r="BP81" s="73">
        <v>32</v>
      </c>
      <c r="BQ81" s="74">
        <v>886</v>
      </c>
      <c r="BR81" s="54">
        <v>295</v>
      </c>
      <c r="BS81" s="75">
        <v>126</v>
      </c>
      <c r="BT81" s="76">
        <v>77.121520706042091</v>
      </c>
      <c r="BU81" s="77">
        <v>22.878479293957909</v>
      </c>
      <c r="BV81" s="78">
        <v>1136</v>
      </c>
      <c r="BW81" s="79">
        <v>337</v>
      </c>
      <c r="BX81" s="62">
        <v>661</v>
      </c>
      <c r="BY81" s="63">
        <v>163</v>
      </c>
      <c r="BZ81" s="63">
        <v>158</v>
      </c>
      <c r="CA81" s="63">
        <v>312</v>
      </c>
      <c r="CB81" s="63">
        <v>30</v>
      </c>
      <c r="CC81" s="63">
        <v>146</v>
      </c>
      <c r="CD81" s="63">
        <v>3</v>
      </c>
      <c r="CE81" s="50">
        <v>0</v>
      </c>
    </row>
    <row r="82" spans="2:83" x14ac:dyDescent="0.3">
      <c r="B82" s="46">
        <v>14</v>
      </c>
      <c r="C82" s="47">
        <v>43560</v>
      </c>
      <c r="D82" s="48">
        <v>9</v>
      </c>
      <c r="E82" s="49">
        <v>1964</v>
      </c>
      <c r="F82" s="50">
        <v>215</v>
      </c>
      <c r="G82" s="51">
        <v>3.5104398045313192</v>
      </c>
      <c r="H82" s="52">
        <v>5.0363288718929251</v>
      </c>
      <c r="I82" s="53">
        <v>1569</v>
      </c>
      <c r="J82" s="54">
        <v>2251</v>
      </c>
      <c r="K82" s="54">
        <v>7902</v>
      </c>
      <c r="L82" s="55">
        <v>5816.2</v>
      </c>
      <c r="M82" s="56">
        <v>495.31200000000001</v>
      </c>
      <c r="N82" s="57">
        <v>1185.3</v>
      </c>
      <c r="O82" s="58">
        <v>509.71999999999997</v>
      </c>
      <c r="P82" s="59">
        <v>15.502628894294908</v>
      </c>
      <c r="Q82" s="60">
        <v>656.41000000000008</v>
      </c>
      <c r="R82" s="61">
        <v>12.03820782742493</v>
      </c>
      <c r="S82" s="48"/>
      <c r="T82" s="50"/>
      <c r="U82" s="62">
        <v>0</v>
      </c>
      <c r="V82" s="63">
        <v>128</v>
      </c>
      <c r="W82" s="50">
        <v>87</v>
      </c>
      <c r="X82" s="48">
        <v>59</v>
      </c>
      <c r="Y82" s="63">
        <v>260</v>
      </c>
      <c r="Z82" s="63">
        <v>875</v>
      </c>
      <c r="AA82" s="64">
        <v>2109.1</v>
      </c>
      <c r="AB82" s="65">
        <v>190.77799999999999</v>
      </c>
      <c r="AC82" s="66"/>
      <c r="AD82" s="67"/>
      <c r="AE82" s="68"/>
      <c r="AF82" s="48">
        <v>121</v>
      </c>
      <c r="AG82" s="63">
        <v>248</v>
      </c>
      <c r="AH82" s="63">
        <v>50</v>
      </c>
      <c r="AI82" s="63">
        <v>85</v>
      </c>
      <c r="AJ82" s="63">
        <v>93</v>
      </c>
      <c r="AK82" s="63">
        <v>229</v>
      </c>
      <c r="AL82" s="63">
        <v>200</v>
      </c>
      <c r="AM82" s="63">
        <v>146</v>
      </c>
      <c r="AN82" s="63">
        <v>422</v>
      </c>
      <c r="AO82" s="63">
        <v>98</v>
      </c>
      <c r="AP82" s="63">
        <v>104</v>
      </c>
      <c r="AQ82" s="63">
        <v>99</v>
      </c>
      <c r="AR82" s="63">
        <v>5</v>
      </c>
      <c r="AS82" s="63">
        <v>2</v>
      </c>
      <c r="AT82" s="63">
        <v>22</v>
      </c>
      <c r="AU82" s="63">
        <v>40</v>
      </c>
      <c r="AV82" s="63">
        <v>170</v>
      </c>
      <c r="AW82" s="50">
        <v>5</v>
      </c>
      <c r="AX82" s="69">
        <v>4214</v>
      </c>
      <c r="AY82" s="69">
        <v>27077</v>
      </c>
      <c r="AZ82" s="54">
        <v>1418</v>
      </c>
      <c r="BA82" s="54">
        <v>2479</v>
      </c>
      <c r="BB82" s="54">
        <v>621</v>
      </c>
      <c r="BC82" s="54">
        <v>1207</v>
      </c>
      <c r="BD82" s="54">
        <v>1878</v>
      </c>
      <c r="BE82" s="70">
        <v>1450</v>
      </c>
      <c r="BF82" s="63">
        <v>387</v>
      </c>
      <c r="BG82" s="71">
        <v>3715</v>
      </c>
      <c r="BH82" s="67"/>
      <c r="BI82" s="68"/>
      <c r="BJ82" s="72">
        <v>632</v>
      </c>
      <c r="BK82" s="62"/>
      <c r="BL82" s="70">
        <v>1781</v>
      </c>
      <c r="BM82" s="70">
        <v>80</v>
      </c>
      <c r="BN82" s="70">
        <v>76</v>
      </c>
      <c r="BO82" s="70">
        <v>460</v>
      </c>
      <c r="BP82" s="73">
        <v>16</v>
      </c>
      <c r="BQ82" s="74">
        <v>911</v>
      </c>
      <c r="BR82" s="54">
        <v>408</v>
      </c>
      <c r="BS82" s="75">
        <v>107</v>
      </c>
      <c r="BT82" s="76">
        <v>77.565328234544296</v>
      </c>
      <c r="BU82" s="77">
        <v>22.434671765455704</v>
      </c>
      <c r="BV82" s="78">
        <v>1217</v>
      </c>
      <c r="BW82" s="79">
        <v>352</v>
      </c>
      <c r="BX82" s="62">
        <v>600</v>
      </c>
      <c r="BY82" s="63">
        <v>220</v>
      </c>
      <c r="BZ82" s="63">
        <v>192</v>
      </c>
      <c r="CA82" s="63">
        <v>397</v>
      </c>
      <c r="CB82" s="63">
        <v>8</v>
      </c>
      <c r="CC82" s="63">
        <v>138</v>
      </c>
      <c r="CD82" s="63">
        <v>11</v>
      </c>
      <c r="CE82" s="50">
        <v>3</v>
      </c>
    </row>
    <row r="83" spans="2:83" x14ac:dyDescent="0.3">
      <c r="B83" s="46">
        <v>15</v>
      </c>
      <c r="C83" s="47">
        <v>43563</v>
      </c>
      <c r="D83" s="48">
        <v>2</v>
      </c>
      <c r="E83" s="49">
        <v>2913</v>
      </c>
      <c r="F83" s="50">
        <v>136</v>
      </c>
      <c r="G83" s="51">
        <v>2.6201245493280894</v>
      </c>
      <c r="H83" s="52">
        <v>2.9951292618958409</v>
      </c>
      <c r="I83" s="53">
        <v>2669</v>
      </c>
      <c r="J83" s="54">
        <v>3051</v>
      </c>
      <c r="K83" s="54">
        <v>7994</v>
      </c>
      <c r="L83" s="55">
        <v>4262.5</v>
      </c>
      <c r="M83" s="56">
        <v>306.03500000000003</v>
      </c>
      <c r="N83" s="57">
        <v>1199.0999999999999</v>
      </c>
      <c r="O83" s="58">
        <v>574.55999999999995</v>
      </c>
      <c r="P83" s="59">
        <v>13.913255360623783</v>
      </c>
      <c r="Q83" s="60">
        <v>726.29</v>
      </c>
      <c r="R83" s="61">
        <v>11.00662269892192</v>
      </c>
      <c r="S83" s="48"/>
      <c r="T83" s="50"/>
      <c r="U83" s="62">
        <v>0</v>
      </c>
      <c r="V83" s="63">
        <v>53</v>
      </c>
      <c r="W83" s="50">
        <v>35</v>
      </c>
      <c r="X83" s="48">
        <v>50</v>
      </c>
      <c r="Y83" s="63">
        <v>71</v>
      </c>
      <c r="Z83" s="63">
        <v>148</v>
      </c>
      <c r="AA83" s="64">
        <v>530.9</v>
      </c>
      <c r="AB83" s="65">
        <v>25.305</v>
      </c>
      <c r="AC83" s="66"/>
      <c r="AD83" s="67"/>
      <c r="AE83" s="68"/>
      <c r="AF83" s="48">
        <v>255</v>
      </c>
      <c r="AG83" s="63">
        <v>510</v>
      </c>
      <c r="AH83" s="63">
        <v>114</v>
      </c>
      <c r="AI83" s="63">
        <v>182</v>
      </c>
      <c r="AJ83" s="63">
        <v>131</v>
      </c>
      <c r="AK83" s="63">
        <v>494</v>
      </c>
      <c r="AL83" s="63">
        <v>289</v>
      </c>
      <c r="AM83" s="63">
        <v>168</v>
      </c>
      <c r="AN83" s="63">
        <v>409</v>
      </c>
      <c r="AO83" s="63">
        <v>119</v>
      </c>
      <c r="AP83" s="63">
        <v>73</v>
      </c>
      <c r="AQ83" s="63">
        <v>129</v>
      </c>
      <c r="AR83" s="63">
        <v>15</v>
      </c>
      <c r="AS83" s="63">
        <v>4</v>
      </c>
      <c r="AT83" s="63">
        <v>13</v>
      </c>
      <c r="AU83" s="63">
        <v>41</v>
      </c>
      <c r="AV83" s="63">
        <v>83</v>
      </c>
      <c r="AW83" s="50">
        <v>12</v>
      </c>
      <c r="AX83" s="69">
        <v>5691</v>
      </c>
      <c r="AY83" s="69">
        <v>30881</v>
      </c>
      <c r="AZ83" s="54">
        <v>1543</v>
      </c>
      <c r="BA83" s="54">
        <v>3244</v>
      </c>
      <c r="BB83" s="54">
        <v>687</v>
      </c>
      <c r="BC83" s="54">
        <v>950</v>
      </c>
      <c r="BD83" s="54">
        <v>2368</v>
      </c>
      <c r="BE83" s="70">
        <v>1726</v>
      </c>
      <c r="BF83" s="63">
        <v>771</v>
      </c>
      <c r="BG83" s="71">
        <v>4865</v>
      </c>
      <c r="BH83" s="67"/>
      <c r="BI83" s="68"/>
      <c r="BJ83" s="72">
        <v>903</v>
      </c>
      <c r="BK83" s="62"/>
      <c r="BL83" s="70">
        <v>2049</v>
      </c>
      <c r="BM83" s="70">
        <v>252</v>
      </c>
      <c r="BN83" s="70">
        <v>55</v>
      </c>
      <c r="BO83" s="70">
        <v>584</v>
      </c>
      <c r="BP83" s="73">
        <v>12</v>
      </c>
      <c r="BQ83" s="74">
        <v>1919</v>
      </c>
      <c r="BR83" s="54">
        <v>423</v>
      </c>
      <c r="BS83" s="75">
        <v>60</v>
      </c>
      <c r="BT83" s="76">
        <v>84.396099024756182</v>
      </c>
      <c r="BU83" s="77">
        <v>15.60390097524381</v>
      </c>
      <c r="BV83" s="78">
        <v>2250</v>
      </c>
      <c r="BW83" s="79">
        <v>416</v>
      </c>
      <c r="BX83" s="62">
        <v>1459</v>
      </c>
      <c r="BY83" s="63">
        <v>215</v>
      </c>
      <c r="BZ83" s="63">
        <v>196</v>
      </c>
      <c r="CA83" s="63">
        <v>576</v>
      </c>
      <c r="CB83" s="63">
        <v>2</v>
      </c>
      <c r="CC83" s="63">
        <v>200</v>
      </c>
      <c r="CD83" s="63">
        <v>5</v>
      </c>
      <c r="CE83" s="50">
        <v>13</v>
      </c>
    </row>
    <row r="84" spans="2:83" x14ac:dyDescent="0.3">
      <c r="B84" s="46">
        <v>15</v>
      </c>
      <c r="C84" s="47">
        <v>43564</v>
      </c>
      <c r="D84" s="48">
        <v>14</v>
      </c>
      <c r="E84" s="49">
        <v>1683</v>
      </c>
      <c r="F84" s="50">
        <v>385</v>
      </c>
      <c r="G84" s="51">
        <v>4.0768491834774254</v>
      </c>
      <c r="H84" s="52">
        <v>5.869986168741355</v>
      </c>
      <c r="I84" s="53">
        <v>1446</v>
      </c>
      <c r="J84" s="54">
        <v>2082</v>
      </c>
      <c r="K84" s="54">
        <v>8488</v>
      </c>
      <c r="L84" s="55">
        <v>5766.5</v>
      </c>
      <c r="M84" s="56">
        <v>558.22400000000005</v>
      </c>
      <c r="N84" s="57">
        <v>1273.1999999999998</v>
      </c>
      <c r="O84" s="58">
        <v>525.11</v>
      </c>
      <c r="P84" s="59">
        <v>16.164232256098721</v>
      </c>
      <c r="Q84" s="60">
        <v>677.61</v>
      </c>
      <c r="R84" s="61">
        <v>12.526379480822301</v>
      </c>
      <c r="S84" s="48"/>
      <c r="T84" s="50"/>
      <c r="U84" s="62">
        <v>0</v>
      </c>
      <c r="V84" s="63">
        <v>105</v>
      </c>
      <c r="W84" s="50">
        <v>137</v>
      </c>
      <c r="X84" s="48">
        <v>60</v>
      </c>
      <c r="Y84" s="63">
        <v>241</v>
      </c>
      <c r="Z84" s="63">
        <v>348</v>
      </c>
      <c r="AA84" s="64">
        <v>987.7</v>
      </c>
      <c r="AB84" s="65">
        <v>175</v>
      </c>
      <c r="AC84" s="66"/>
      <c r="AD84" s="67"/>
      <c r="AE84" s="68"/>
      <c r="AF84" s="48">
        <v>105</v>
      </c>
      <c r="AG84" s="63">
        <v>217</v>
      </c>
      <c r="AH84" s="63">
        <v>60</v>
      </c>
      <c r="AI84" s="63">
        <v>82</v>
      </c>
      <c r="AJ84" s="63">
        <v>69</v>
      </c>
      <c r="AK84" s="63">
        <v>227</v>
      </c>
      <c r="AL84" s="63">
        <v>164</v>
      </c>
      <c r="AM84" s="63">
        <v>95</v>
      </c>
      <c r="AN84" s="63">
        <v>328</v>
      </c>
      <c r="AO84" s="63">
        <v>123</v>
      </c>
      <c r="AP84" s="63">
        <v>132</v>
      </c>
      <c r="AQ84" s="63">
        <v>64</v>
      </c>
      <c r="AR84" s="63">
        <v>2</v>
      </c>
      <c r="AS84" s="63">
        <v>1</v>
      </c>
      <c r="AT84" s="63">
        <v>12</v>
      </c>
      <c r="AU84" s="63">
        <v>65</v>
      </c>
      <c r="AV84" s="63">
        <v>313</v>
      </c>
      <c r="AW84" s="50">
        <v>6</v>
      </c>
      <c r="AX84" s="69">
        <v>2184</v>
      </c>
      <c r="AY84" s="69">
        <v>13307</v>
      </c>
      <c r="AZ84" s="54">
        <v>1714</v>
      </c>
      <c r="BA84" s="54">
        <v>7939</v>
      </c>
      <c r="BB84" s="54">
        <v>52</v>
      </c>
      <c r="BC84" s="54">
        <v>105</v>
      </c>
      <c r="BD84" s="54">
        <v>825</v>
      </c>
      <c r="BE84" s="70">
        <v>1994</v>
      </c>
      <c r="BF84" s="63">
        <v>225</v>
      </c>
      <c r="BG84" s="71">
        <v>3044</v>
      </c>
      <c r="BH84" s="67"/>
      <c r="BI84" s="68"/>
      <c r="BJ84" s="72">
        <v>1540</v>
      </c>
      <c r="BK84" s="62"/>
      <c r="BL84" s="70">
        <v>1686</v>
      </c>
      <c r="BM84" s="70">
        <v>326</v>
      </c>
      <c r="BN84" s="70">
        <v>163</v>
      </c>
      <c r="BO84" s="70">
        <v>1031</v>
      </c>
      <c r="BP84" s="73">
        <v>20</v>
      </c>
      <c r="BQ84" s="74">
        <v>818</v>
      </c>
      <c r="BR84" s="54">
        <v>288</v>
      </c>
      <c r="BS84" s="75">
        <v>100</v>
      </c>
      <c r="BT84" s="76">
        <v>73.816155988857943</v>
      </c>
      <c r="BU84" s="77">
        <v>26.18384401114206</v>
      </c>
      <c r="BV84" s="78">
        <v>1060</v>
      </c>
      <c r="BW84" s="79">
        <v>376</v>
      </c>
      <c r="BX84" s="62">
        <v>516</v>
      </c>
      <c r="BY84" s="63">
        <v>165</v>
      </c>
      <c r="BZ84" s="63">
        <v>177</v>
      </c>
      <c r="CA84" s="63">
        <v>379</v>
      </c>
      <c r="CB84" s="63">
        <v>8</v>
      </c>
      <c r="CC84" s="63">
        <v>182</v>
      </c>
      <c r="CD84" s="63">
        <v>9</v>
      </c>
      <c r="CE84" s="50">
        <v>0</v>
      </c>
    </row>
    <row r="85" spans="2:83" x14ac:dyDescent="0.3">
      <c r="B85" s="46">
        <v>15</v>
      </c>
      <c r="C85" s="47">
        <v>43565</v>
      </c>
      <c r="D85" s="48">
        <v>0</v>
      </c>
      <c r="E85" s="49">
        <v>1545</v>
      </c>
      <c r="F85" s="50">
        <v>357</v>
      </c>
      <c r="G85" s="51">
        <v>3.2686645636172451</v>
      </c>
      <c r="H85" s="52">
        <v>4.5814296241709656</v>
      </c>
      <c r="I85" s="53">
        <v>1357</v>
      </c>
      <c r="J85" s="54">
        <v>1902</v>
      </c>
      <c r="K85" s="54">
        <v>6217</v>
      </c>
      <c r="L85" s="55">
        <v>4437.3</v>
      </c>
      <c r="M85" s="56">
        <v>522.89800000000002</v>
      </c>
      <c r="N85" s="57">
        <v>932.55</v>
      </c>
      <c r="O85" s="58">
        <v>563.88</v>
      </c>
      <c r="P85" s="59">
        <v>11.025395474214372</v>
      </c>
      <c r="Q85" s="60">
        <v>700.1</v>
      </c>
      <c r="R85" s="61">
        <v>8.8801599771461213</v>
      </c>
      <c r="S85" s="48"/>
      <c r="T85" s="50"/>
      <c r="U85" s="62">
        <v>0</v>
      </c>
      <c r="V85" s="63">
        <v>19</v>
      </c>
      <c r="W85" s="50">
        <v>150</v>
      </c>
      <c r="X85" s="48">
        <v>19</v>
      </c>
      <c r="Y85" s="63">
        <v>156</v>
      </c>
      <c r="Z85" s="63">
        <v>115</v>
      </c>
      <c r="AA85" s="64">
        <v>952.6</v>
      </c>
      <c r="AB85" s="65">
        <v>191.346</v>
      </c>
      <c r="AC85" s="66"/>
      <c r="AD85" s="67"/>
      <c r="AE85" s="68"/>
      <c r="AF85" s="48">
        <v>114</v>
      </c>
      <c r="AG85" s="63">
        <v>274</v>
      </c>
      <c r="AH85" s="63">
        <v>56</v>
      </c>
      <c r="AI85" s="63">
        <v>83</v>
      </c>
      <c r="AJ85" s="63">
        <v>51</v>
      </c>
      <c r="AK85" s="63">
        <v>155</v>
      </c>
      <c r="AL85" s="63">
        <v>123</v>
      </c>
      <c r="AM85" s="63">
        <v>90</v>
      </c>
      <c r="AN85" s="63">
        <v>288</v>
      </c>
      <c r="AO85" s="63">
        <v>130</v>
      </c>
      <c r="AP85" s="63">
        <v>87</v>
      </c>
      <c r="AQ85" s="63">
        <v>82</v>
      </c>
      <c r="AR85" s="63">
        <v>0</v>
      </c>
      <c r="AS85" s="63">
        <v>0</v>
      </c>
      <c r="AT85" s="63">
        <v>11</v>
      </c>
      <c r="AU85" s="63">
        <v>108</v>
      </c>
      <c r="AV85" s="63">
        <v>222</v>
      </c>
      <c r="AW85" s="50">
        <v>26</v>
      </c>
      <c r="AX85" s="69">
        <v>4651</v>
      </c>
      <c r="AY85" s="69">
        <v>29362</v>
      </c>
      <c r="AZ85" s="54">
        <v>2237</v>
      </c>
      <c r="BA85" s="54">
        <v>9200</v>
      </c>
      <c r="BB85" s="54">
        <v>380</v>
      </c>
      <c r="BC85" s="54">
        <v>812</v>
      </c>
      <c r="BD85" s="54">
        <v>1451</v>
      </c>
      <c r="BE85" s="70">
        <v>2413</v>
      </c>
      <c r="BF85" s="63">
        <v>388</v>
      </c>
      <c r="BG85" s="71">
        <v>4252</v>
      </c>
      <c r="BH85" s="67"/>
      <c r="BI85" s="68"/>
      <c r="BJ85" s="72">
        <v>1077</v>
      </c>
      <c r="BK85" s="62"/>
      <c r="BL85" s="70">
        <v>1495</v>
      </c>
      <c r="BM85" s="70">
        <v>155</v>
      </c>
      <c r="BN85" s="70">
        <v>233</v>
      </c>
      <c r="BO85" s="70">
        <v>651</v>
      </c>
      <c r="BP85" s="73">
        <v>38</v>
      </c>
      <c r="BQ85" s="74">
        <v>825</v>
      </c>
      <c r="BR85" s="54">
        <v>313</v>
      </c>
      <c r="BS85" s="75">
        <v>83</v>
      </c>
      <c r="BT85" s="76">
        <v>75.165806927044954</v>
      </c>
      <c r="BU85" s="77">
        <v>24.834193072955049</v>
      </c>
      <c r="BV85" s="78">
        <v>1020</v>
      </c>
      <c r="BW85" s="79">
        <v>337</v>
      </c>
      <c r="BX85" s="62">
        <v>599</v>
      </c>
      <c r="BY85" s="63">
        <v>157</v>
      </c>
      <c r="BZ85" s="63">
        <v>143</v>
      </c>
      <c r="CA85" s="63">
        <v>264</v>
      </c>
      <c r="CB85" s="63">
        <v>9</v>
      </c>
      <c r="CC85" s="63">
        <v>154</v>
      </c>
      <c r="CD85" s="63">
        <v>21</v>
      </c>
      <c r="CE85" s="50">
        <v>10</v>
      </c>
    </row>
    <row r="86" spans="2:83" x14ac:dyDescent="0.3">
      <c r="B86" s="46">
        <v>15</v>
      </c>
      <c r="C86" s="47">
        <v>43566</v>
      </c>
      <c r="D86" s="48">
        <v>2</v>
      </c>
      <c r="E86" s="49">
        <v>1365</v>
      </c>
      <c r="F86" s="50">
        <v>330</v>
      </c>
      <c r="G86" s="51">
        <v>3.4784914555097228</v>
      </c>
      <c r="H86" s="52">
        <v>4.8544407894736841</v>
      </c>
      <c r="I86" s="53">
        <v>1216</v>
      </c>
      <c r="J86" s="54">
        <v>1697</v>
      </c>
      <c r="K86" s="54">
        <v>5903</v>
      </c>
      <c r="L86" s="55">
        <v>6016.4</v>
      </c>
      <c r="M86" s="56">
        <v>550.70299999999997</v>
      </c>
      <c r="N86" s="57">
        <v>885.44999999999993</v>
      </c>
      <c r="O86" s="58">
        <v>532.61</v>
      </c>
      <c r="P86" s="59">
        <v>11.08315653104523</v>
      </c>
      <c r="Q86" s="60">
        <v>683.15</v>
      </c>
      <c r="R86" s="61">
        <v>8.640854863499964</v>
      </c>
      <c r="S86" s="48"/>
      <c r="T86" s="50"/>
      <c r="U86" s="62">
        <v>0</v>
      </c>
      <c r="V86" s="63">
        <v>47</v>
      </c>
      <c r="W86" s="50">
        <v>63</v>
      </c>
      <c r="X86" s="48">
        <v>34</v>
      </c>
      <c r="Y86" s="63">
        <v>135</v>
      </c>
      <c r="Z86" s="63">
        <v>163</v>
      </c>
      <c r="AA86" s="64">
        <v>2198</v>
      </c>
      <c r="AB86" s="65">
        <v>100.964</v>
      </c>
      <c r="AC86" s="66"/>
      <c r="AD86" s="67"/>
      <c r="AE86" s="68"/>
      <c r="AF86" s="48">
        <v>95</v>
      </c>
      <c r="AG86" s="63">
        <v>231</v>
      </c>
      <c r="AH86" s="63">
        <v>44</v>
      </c>
      <c r="AI86" s="63">
        <v>73</v>
      </c>
      <c r="AJ86" s="63">
        <v>62</v>
      </c>
      <c r="AK86" s="63">
        <v>156</v>
      </c>
      <c r="AL86" s="63">
        <v>118</v>
      </c>
      <c r="AM86" s="63">
        <v>100</v>
      </c>
      <c r="AN86" s="63">
        <v>205</v>
      </c>
      <c r="AO86" s="63">
        <v>81</v>
      </c>
      <c r="AP86" s="63">
        <v>207</v>
      </c>
      <c r="AQ86" s="63">
        <v>95</v>
      </c>
      <c r="AR86" s="63">
        <v>0</v>
      </c>
      <c r="AS86" s="63">
        <v>0</v>
      </c>
      <c r="AT86" s="63">
        <v>12</v>
      </c>
      <c r="AU86" s="63">
        <v>149</v>
      </c>
      <c r="AV86" s="63">
        <v>171</v>
      </c>
      <c r="AW86" s="50">
        <v>9</v>
      </c>
      <c r="AX86" s="69">
        <v>2738</v>
      </c>
      <c r="AY86" s="69">
        <v>15905</v>
      </c>
      <c r="AZ86" s="54">
        <v>2044</v>
      </c>
      <c r="BA86" s="54">
        <v>8749</v>
      </c>
      <c r="BB86" s="54">
        <v>25</v>
      </c>
      <c r="BC86" s="54">
        <v>36</v>
      </c>
      <c r="BD86" s="54">
        <v>880</v>
      </c>
      <c r="BE86" s="70">
        <v>1531</v>
      </c>
      <c r="BF86" s="63">
        <v>217</v>
      </c>
      <c r="BG86" s="71">
        <v>2628</v>
      </c>
      <c r="BH86" s="67"/>
      <c r="BI86" s="68"/>
      <c r="BJ86" s="72">
        <v>1071</v>
      </c>
      <c r="BK86" s="62"/>
      <c r="BL86" s="70">
        <v>1229</v>
      </c>
      <c r="BM86" s="70">
        <v>365</v>
      </c>
      <c r="BN86" s="70">
        <v>142</v>
      </c>
      <c r="BO86" s="70">
        <v>552</v>
      </c>
      <c r="BP86" s="73">
        <v>12</v>
      </c>
      <c r="BQ86" s="74">
        <v>710</v>
      </c>
      <c r="BR86" s="54">
        <v>174</v>
      </c>
      <c r="BS86" s="75">
        <v>72</v>
      </c>
      <c r="BT86" s="76">
        <v>70.97039473684211</v>
      </c>
      <c r="BU86" s="77">
        <v>29.029605263157894</v>
      </c>
      <c r="BV86" s="78">
        <v>863</v>
      </c>
      <c r="BW86" s="79">
        <v>353</v>
      </c>
      <c r="BX86" s="62">
        <v>464</v>
      </c>
      <c r="BY86" s="63">
        <v>94</v>
      </c>
      <c r="BZ86" s="63">
        <v>115</v>
      </c>
      <c r="CA86" s="63">
        <v>305</v>
      </c>
      <c r="CB86" s="63">
        <v>8</v>
      </c>
      <c r="CC86" s="63">
        <v>209</v>
      </c>
      <c r="CD86" s="63">
        <v>14</v>
      </c>
      <c r="CE86" s="50">
        <v>7</v>
      </c>
    </row>
    <row r="87" spans="2:83" x14ac:dyDescent="0.3">
      <c r="B87" s="46">
        <v>15</v>
      </c>
      <c r="C87" s="47">
        <v>43567</v>
      </c>
      <c r="D87" s="48">
        <v>0</v>
      </c>
      <c r="E87" s="49">
        <v>1357</v>
      </c>
      <c r="F87" s="50">
        <v>302</v>
      </c>
      <c r="G87" s="51">
        <v>3.8444846292947559</v>
      </c>
      <c r="H87" s="52">
        <v>5.3959390862944163</v>
      </c>
      <c r="I87" s="53">
        <v>1182</v>
      </c>
      <c r="J87" s="54">
        <v>1659</v>
      </c>
      <c r="K87" s="54">
        <v>6378</v>
      </c>
      <c r="L87" s="55">
        <v>4214.8999999999996</v>
      </c>
      <c r="M87" s="56">
        <v>389.452</v>
      </c>
      <c r="N87" s="57">
        <v>956.7</v>
      </c>
      <c r="O87" s="58">
        <v>413.25</v>
      </c>
      <c r="P87" s="59">
        <v>15.433756805807622</v>
      </c>
      <c r="Q87" s="60">
        <v>562.87999999999988</v>
      </c>
      <c r="R87" s="61">
        <v>11.331011938601481</v>
      </c>
      <c r="S87" s="48"/>
      <c r="T87" s="50"/>
      <c r="U87" s="62">
        <v>0</v>
      </c>
      <c r="V87" s="63">
        <v>27</v>
      </c>
      <c r="W87" s="50">
        <v>103</v>
      </c>
      <c r="X87" s="48">
        <v>35</v>
      </c>
      <c r="Y87" s="63">
        <v>69</v>
      </c>
      <c r="Z87" s="63">
        <v>480</v>
      </c>
      <c r="AA87" s="64">
        <v>928.1</v>
      </c>
      <c r="AB87" s="65">
        <v>47.241</v>
      </c>
      <c r="AC87" s="66"/>
      <c r="AD87" s="67"/>
      <c r="AE87" s="68"/>
      <c r="AF87" s="48">
        <v>97</v>
      </c>
      <c r="AG87" s="63">
        <v>257</v>
      </c>
      <c r="AH87" s="63">
        <v>42</v>
      </c>
      <c r="AI87" s="63">
        <v>81</v>
      </c>
      <c r="AJ87" s="63">
        <v>54</v>
      </c>
      <c r="AK87" s="63">
        <v>134</v>
      </c>
      <c r="AL87" s="63">
        <v>111</v>
      </c>
      <c r="AM87" s="63">
        <v>99</v>
      </c>
      <c r="AN87" s="63">
        <v>271</v>
      </c>
      <c r="AO87" s="63">
        <v>52</v>
      </c>
      <c r="AP87" s="63">
        <v>84</v>
      </c>
      <c r="AQ87" s="63">
        <v>61</v>
      </c>
      <c r="AR87" s="63">
        <v>3</v>
      </c>
      <c r="AS87" s="63">
        <v>0</v>
      </c>
      <c r="AT87" s="63">
        <v>9</v>
      </c>
      <c r="AU87" s="63">
        <v>99</v>
      </c>
      <c r="AV87" s="63">
        <v>197</v>
      </c>
      <c r="AW87" s="50">
        <v>5</v>
      </c>
      <c r="AX87" s="69">
        <v>3467</v>
      </c>
      <c r="AY87" s="69">
        <v>18373</v>
      </c>
      <c r="AZ87" s="54">
        <v>905</v>
      </c>
      <c r="BA87" s="54">
        <v>1980</v>
      </c>
      <c r="BB87" s="54">
        <v>337</v>
      </c>
      <c r="BC87" s="54">
        <v>584</v>
      </c>
      <c r="BD87" s="54">
        <v>939</v>
      </c>
      <c r="BE87" s="70">
        <v>1515</v>
      </c>
      <c r="BF87" s="63">
        <v>266</v>
      </c>
      <c r="BG87" s="71">
        <v>2720</v>
      </c>
      <c r="BH87" s="67"/>
      <c r="BI87" s="68"/>
      <c r="BJ87" s="72">
        <v>1230</v>
      </c>
      <c r="BK87" s="62"/>
      <c r="BL87" s="70">
        <v>1596</v>
      </c>
      <c r="BM87" s="70">
        <v>150</v>
      </c>
      <c r="BN87" s="70">
        <v>164</v>
      </c>
      <c r="BO87" s="70">
        <v>907</v>
      </c>
      <c r="BP87" s="73">
        <v>9</v>
      </c>
      <c r="BQ87" s="74">
        <v>758</v>
      </c>
      <c r="BR87" s="54">
        <v>225</v>
      </c>
      <c r="BS87" s="75">
        <v>38</v>
      </c>
      <c r="BT87" s="76">
        <v>77.452667814113596</v>
      </c>
      <c r="BU87" s="77">
        <v>22.547332185886404</v>
      </c>
      <c r="BV87" s="78">
        <v>900</v>
      </c>
      <c r="BW87" s="79">
        <v>262</v>
      </c>
      <c r="BX87" s="62">
        <v>516</v>
      </c>
      <c r="BY87" s="63">
        <v>120</v>
      </c>
      <c r="BZ87" s="63">
        <v>144</v>
      </c>
      <c r="CA87" s="63">
        <v>264</v>
      </c>
      <c r="CB87" s="63">
        <v>3</v>
      </c>
      <c r="CC87" s="63">
        <v>112</v>
      </c>
      <c r="CD87" s="63">
        <v>3</v>
      </c>
      <c r="CE87" s="50">
        <v>0</v>
      </c>
    </row>
    <row r="88" spans="2:83" x14ac:dyDescent="0.3">
      <c r="B88" s="46">
        <v>16</v>
      </c>
      <c r="C88" s="47">
        <v>43570</v>
      </c>
      <c r="D88" s="48">
        <v>2</v>
      </c>
      <c r="E88" s="49">
        <v>2856</v>
      </c>
      <c r="F88" s="50">
        <v>224</v>
      </c>
      <c r="G88" s="51">
        <v>2.3786502271252434</v>
      </c>
      <c r="H88" s="52">
        <v>2.7821631878557875</v>
      </c>
      <c r="I88" s="53">
        <v>2635</v>
      </c>
      <c r="J88" s="54">
        <v>3082</v>
      </c>
      <c r="K88" s="54">
        <v>7331</v>
      </c>
      <c r="L88" s="55">
        <v>6543.7</v>
      </c>
      <c r="M88" s="56">
        <v>591.976</v>
      </c>
      <c r="N88" s="57">
        <v>1099.6500000000001</v>
      </c>
      <c r="O88" s="58">
        <v>493.09000000000003</v>
      </c>
      <c r="P88" s="59">
        <v>14.867468413474212</v>
      </c>
      <c r="Q88" s="60">
        <v>655.20000000000005</v>
      </c>
      <c r="R88" s="61">
        <v>11.188949938949937</v>
      </c>
      <c r="S88" s="48"/>
      <c r="T88" s="50"/>
      <c r="U88" s="62">
        <v>0</v>
      </c>
      <c r="V88" s="63">
        <v>33</v>
      </c>
      <c r="W88" s="50">
        <v>59</v>
      </c>
      <c r="X88" s="48">
        <v>26</v>
      </c>
      <c r="Y88" s="63">
        <v>92</v>
      </c>
      <c r="Z88" s="63">
        <v>206</v>
      </c>
      <c r="AA88" s="64">
        <v>1891.2</v>
      </c>
      <c r="AB88" s="65">
        <v>154.49700000000001</v>
      </c>
      <c r="AC88" s="66"/>
      <c r="AD88" s="67"/>
      <c r="AE88" s="68"/>
      <c r="AF88" s="48">
        <v>209</v>
      </c>
      <c r="AG88" s="63">
        <v>574</v>
      </c>
      <c r="AH88" s="63">
        <v>108</v>
      </c>
      <c r="AI88" s="63">
        <v>242</v>
      </c>
      <c r="AJ88" s="63">
        <v>105</v>
      </c>
      <c r="AK88" s="63">
        <v>468</v>
      </c>
      <c r="AL88" s="63">
        <v>274</v>
      </c>
      <c r="AM88" s="63">
        <v>157</v>
      </c>
      <c r="AN88" s="63">
        <v>345</v>
      </c>
      <c r="AO88" s="63">
        <v>95</v>
      </c>
      <c r="AP88" s="63">
        <v>106</v>
      </c>
      <c r="AQ88" s="63">
        <v>119</v>
      </c>
      <c r="AR88" s="63">
        <v>12</v>
      </c>
      <c r="AS88" s="63">
        <v>4</v>
      </c>
      <c r="AT88" s="63">
        <v>33</v>
      </c>
      <c r="AU88" s="63">
        <v>65</v>
      </c>
      <c r="AV88" s="63">
        <v>143</v>
      </c>
      <c r="AW88" s="50">
        <v>15</v>
      </c>
      <c r="AX88" s="69">
        <v>3800</v>
      </c>
      <c r="AY88" s="69">
        <v>23090</v>
      </c>
      <c r="AZ88" s="54">
        <v>394</v>
      </c>
      <c r="BA88" s="54">
        <v>1409</v>
      </c>
      <c r="BB88" s="54">
        <v>963</v>
      </c>
      <c r="BC88" s="54">
        <v>2426</v>
      </c>
      <c r="BD88" s="54">
        <v>1740</v>
      </c>
      <c r="BE88" s="70">
        <v>1073</v>
      </c>
      <c r="BF88" s="63">
        <v>681</v>
      </c>
      <c r="BG88" s="71">
        <v>3494</v>
      </c>
      <c r="BH88" s="67"/>
      <c r="BI88" s="68"/>
      <c r="BJ88" s="72">
        <v>1676</v>
      </c>
      <c r="BK88" s="62"/>
      <c r="BL88" s="70">
        <v>2276</v>
      </c>
      <c r="BM88" s="70">
        <v>275</v>
      </c>
      <c r="BN88" s="70">
        <v>109</v>
      </c>
      <c r="BO88" s="70">
        <v>1282</v>
      </c>
      <c r="BP88" s="73">
        <v>10</v>
      </c>
      <c r="BQ88" s="48">
        <v>1894</v>
      </c>
      <c r="BR88" s="63">
        <v>345</v>
      </c>
      <c r="BS88" s="50">
        <v>94</v>
      </c>
      <c r="BT88" s="76">
        <v>82.625334864140839</v>
      </c>
      <c r="BU88" s="77">
        <v>17.374665135859164</v>
      </c>
      <c r="BV88" s="78">
        <v>2159</v>
      </c>
      <c r="BW88" s="79">
        <v>454</v>
      </c>
      <c r="BX88" s="62">
        <v>1312</v>
      </c>
      <c r="BY88" s="63">
        <v>181</v>
      </c>
      <c r="BZ88" s="63">
        <v>157</v>
      </c>
      <c r="CA88" s="63">
        <v>666</v>
      </c>
      <c r="CB88" s="63">
        <v>4</v>
      </c>
      <c r="CC88" s="63">
        <v>237</v>
      </c>
      <c r="CD88" s="63">
        <v>6</v>
      </c>
      <c r="CE88" s="50">
        <v>50</v>
      </c>
    </row>
    <row r="89" spans="2:83" x14ac:dyDescent="0.3">
      <c r="B89" s="46">
        <v>16</v>
      </c>
      <c r="C89" s="47">
        <v>43571</v>
      </c>
      <c r="D89" s="48">
        <v>5</v>
      </c>
      <c r="E89" s="49">
        <v>1291</v>
      </c>
      <c r="F89" s="50">
        <v>307</v>
      </c>
      <c r="G89" s="51">
        <v>4.2118258609486681</v>
      </c>
      <c r="H89" s="52">
        <v>5.5735167669819434</v>
      </c>
      <c r="I89" s="53">
        <v>1163</v>
      </c>
      <c r="J89" s="54">
        <v>1539</v>
      </c>
      <c r="K89" s="54">
        <v>6482</v>
      </c>
      <c r="L89" s="55">
        <v>5029.1000000000004</v>
      </c>
      <c r="M89" s="56">
        <v>410.16699999999997</v>
      </c>
      <c r="N89" s="57">
        <v>972.30000000000007</v>
      </c>
      <c r="O89" s="58">
        <v>463</v>
      </c>
      <c r="P89" s="59">
        <v>14</v>
      </c>
      <c r="Q89" s="60">
        <v>612.66</v>
      </c>
      <c r="R89" s="61">
        <v>10.580093363366306</v>
      </c>
      <c r="S89" s="48"/>
      <c r="T89" s="50"/>
      <c r="U89" s="62">
        <v>0</v>
      </c>
      <c r="V89" s="63">
        <v>25</v>
      </c>
      <c r="W89" s="50">
        <v>74</v>
      </c>
      <c r="X89" s="48">
        <v>22</v>
      </c>
      <c r="Y89" s="63">
        <v>99</v>
      </c>
      <c r="Z89" s="63">
        <v>133</v>
      </c>
      <c r="AA89" s="64">
        <v>243</v>
      </c>
      <c r="AB89" s="65">
        <v>42.63</v>
      </c>
      <c r="AC89" s="66"/>
      <c r="AD89" s="67"/>
      <c r="AE89" s="68"/>
      <c r="AF89" s="48">
        <v>110</v>
      </c>
      <c r="AG89" s="63">
        <v>218</v>
      </c>
      <c r="AH89" s="63">
        <v>52</v>
      </c>
      <c r="AI89" s="63">
        <v>83</v>
      </c>
      <c r="AJ89" s="63">
        <v>46</v>
      </c>
      <c r="AK89" s="63">
        <v>171</v>
      </c>
      <c r="AL89" s="63">
        <v>85</v>
      </c>
      <c r="AM89" s="63">
        <v>44</v>
      </c>
      <c r="AN89" s="63">
        <v>198</v>
      </c>
      <c r="AO89" s="63">
        <v>99</v>
      </c>
      <c r="AP89" s="63">
        <v>67</v>
      </c>
      <c r="AQ89" s="63">
        <v>89</v>
      </c>
      <c r="AR89" s="63">
        <v>18</v>
      </c>
      <c r="AS89" s="63">
        <v>1</v>
      </c>
      <c r="AT89" s="63">
        <v>10</v>
      </c>
      <c r="AU89" s="63">
        <v>54</v>
      </c>
      <c r="AV89" s="63">
        <v>233</v>
      </c>
      <c r="AW89" s="50">
        <v>20</v>
      </c>
      <c r="AX89" s="69">
        <v>5004</v>
      </c>
      <c r="AY89" s="69">
        <v>32762</v>
      </c>
      <c r="AZ89" s="54">
        <v>148</v>
      </c>
      <c r="BA89" s="54">
        <v>576</v>
      </c>
      <c r="BB89" s="54">
        <v>96</v>
      </c>
      <c r="BC89" s="54">
        <v>312</v>
      </c>
      <c r="BD89" s="54">
        <v>1204</v>
      </c>
      <c r="BE89" s="70">
        <v>840</v>
      </c>
      <c r="BF89" s="63">
        <v>48</v>
      </c>
      <c r="BG89" s="71">
        <v>2092</v>
      </c>
      <c r="BH89" s="67"/>
      <c r="BI89" s="68"/>
      <c r="BJ89" s="72">
        <v>1191</v>
      </c>
      <c r="BK89" s="62"/>
      <c r="BL89" s="70">
        <v>2104</v>
      </c>
      <c r="BM89" s="70">
        <v>94</v>
      </c>
      <c r="BN89" s="70">
        <v>170</v>
      </c>
      <c r="BO89" s="70">
        <v>912</v>
      </c>
      <c r="BP89" s="73">
        <v>15</v>
      </c>
      <c r="BQ89" s="48">
        <v>711</v>
      </c>
      <c r="BR89" s="63">
        <v>161</v>
      </c>
      <c r="BS89" s="50">
        <v>104</v>
      </c>
      <c r="BT89" s="76">
        <v>75.043630017452003</v>
      </c>
      <c r="BU89" s="77">
        <v>24.956369982547994</v>
      </c>
      <c r="BV89" s="78">
        <v>860</v>
      </c>
      <c r="BW89" s="79">
        <v>286</v>
      </c>
      <c r="BX89" s="62">
        <v>494</v>
      </c>
      <c r="BY89" s="63">
        <v>96</v>
      </c>
      <c r="BZ89" s="63">
        <v>120</v>
      </c>
      <c r="CA89" s="63">
        <v>270</v>
      </c>
      <c r="CB89" s="63">
        <v>17</v>
      </c>
      <c r="CC89" s="63">
        <v>144</v>
      </c>
      <c r="CD89" s="63">
        <v>5</v>
      </c>
      <c r="CE89" s="50">
        <v>0</v>
      </c>
    </row>
    <row r="90" spans="2:83" x14ac:dyDescent="0.3">
      <c r="B90" s="46">
        <v>16</v>
      </c>
      <c r="C90" s="47">
        <v>43572</v>
      </c>
      <c r="D90" s="48">
        <v>0</v>
      </c>
      <c r="E90" s="49">
        <v>1662</v>
      </c>
      <c r="F90" s="50">
        <v>345</v>
      </c>
      <c r="G90" s="51">
        <v>3.5176880916791231</v>
      </c>
      <c r="H90" s="52">
        <v>5.2804786836200446</v>
      </c>
      <c r="I90" s="53">
        <v>1337</v>
      </c>
      <c r="J90" s="54">
        <v>2007</v>
      </c>
      <c r="K90" s="54">
        <v>7060</v>
      </c>
      <c r="L90" s="55">
        <v>5758.3</v>
      </c>
      <c r="M90" s="56">
        <v>604.94899999999996</v>
      </c>
      <c r="N90" s="57">
        <v>1059</v>
      </c>
      <c r="O90" s="58">
        <v>442.92</v>
      </c>
      <c r="P90" s="59">
        <v>15.939673078659803</v>
      </c>
      <c r="Q90" s="60">
        <v>583.2700000000001</v>
      </c>
      <c r="R90" s="61">
        <v>12.104171310027944</v>
      </c>
      <c r="S90" s="48"/>
      <c r="T90" s="50"/>
      <c r="U90" s="62">
        <v>0</v>
      </c>
      <c r="V90" s="63">
        <v>58</v>
      </c>
      <c r="W90" s="50">
        <v>54</v>
      </c>
      <c r="X90" s="48">
        <v>34</v>
      </c>
      <c r="Y90" s="63">
        <v>112</v>
      </c>
      <c r="Z90" s="63">
        <v>404</v>
      </c>
      <c r="AA90" s="64">
        <v>438.8</v>
      </c>
      <c r="AB90" s="65">
        <v>127.87</v>
      </c>
      <c r="AC90" s="66"/>
      <c r="AD90" s="67"/>
      <c r="AE90" s="68"/>
      <c r="AF90" s="48">
        <v>118</v>
      </c>
      <c r="AG90" s="63">
        <v>205</v>
      </c>
      <c r="AH90" s="63">
        <v>32</v>
      </c>
      <c r="AI90" s="63">
        <v>69</v>
      </c>
      <c r="AJ90" s="63">
        <v>63</v>
      </c>
      <c r="AK90" s="63">
        <v>190</v>
      </c>
      <c r="AL90" s="63">
        <v>147</v>
      </c>
      <c r="AM90" s="63">
        <v>97</v>
      </c>
      <c r="AN90" s="63">
        <v>278</v>
      </c>
      <c r="AO90" s="63">
        <v>98</v>
      </c>
      <c r="AP90" s="63">
        <v>138</v>
      </c>
      <c r="AQ90" s="63">
        <v>190</v>
      </c>
      <c r="AR90" s="63">
        <v>8</v>
      </c>
      <c r="AS90" s="63">
        <v>1</v>
      </c>
      <c r="AT90" s="63">
        <v>10</v>
      </c>
      <c r="AU90" s="63">
        <v>102</v>
      </c>
      <c r="AV90" s="63">
        <v>209</v>
      </c>
      <c r="AW90" s="50">
        <v>33</v>
      </c>
      <c r="AX90" s="69">
        <v>4473</v>
      </c>
      <c r="AY90" s="69">
        <v>25606</v>
      </c>
      <c r="AZ90" s="54">
        <v>292</v>
      </c>
      <c r="BA90" s="54">
        <v>1436</v>
      </c>
      <c r="BB90" s="54">
        <v>269</v>
      </c>
      <c r="BC90" s="54">
        <v>559</v>
      </c>
      <c r="BD90" s="54">
        <v>1197</v>
      </c>
      <c r="BE90" s="70">
        <v>618</v>
      </c>
      <c r="BF90" s="63">
        <v>142</v>
      </c>
      <c r="BG90" s="71">
        <v>1957</v>
      </c>
      <c r="BH90" s="67"/>
      <c r="BI90" s="68"/>
      <c r="BJ90" s="72">
        <v>1092</v>
      </c>
      <c r="BK90" s="62"/>
      <c r="BL90" s="70">
        <v>2217</v>
      </c>
      <c r="BM90" s="70">
        <v>50</v>
      </c>
      <c r="BN90" s="70">
        <v>149</v>
      </c>
      <c r="BO90" s="70">
        <v>884</v>
      </c>
      <c r="BP90" s="73">
        <v>9</v>
      </c>
      <c r="BQ90" s="48">
        <v>775</v>
      </c>
      <c r="BR90" s="63">
        <v>225</v>
      </c>
      <c r="BS90" s="50">
        <v>107</v>
      </c>
      <c r="BT90" s="76">
        <v>71.60212604403948</v>
      </c>
      <c r="BU90" s="77">
        <v>28.397873955960517</v>
      </c>
      <c r="BV90" s="78">
        <v>943</v>
      </c>
      <c r="BW90" s="79">
        <v>374</v>
      </c>
      <c r="BX90" s="62">
        <v>587</v>
      </c>
      <c r="BY90" s="63">
        <v>68</v>
      </c>
      <c r="BZ90" s="63">
        <v>164</v>
      </c>
      <c r="CA90" s="63">
        <v>288</v>
      </c>
      <c r="CB90" s="63">
        <v>4</v>
      </c>
      <c r="CC90" s="63">
        <v>191</v>
      </c>
      <c r="CD90" s="63">
        <v>15</v>
      </c>
      <c r="CE90" s="50">
        <v>0</v>
      </c>
    </row>
    <row r="91" spans="2:83" x14ac:dyDescent="0.3">
      <c r="B91" s="46">
        <v>16</v>
      </c>
      <c r="C91" s="47">
        <v>43573</v>
      </c>
      <c r="D91" s="48">
        <v>3</v>
      </c>
      <c r="E91" s="49">
        <v>1403</v>
      </c>
      <c r="F91" s="50">
        <v>288</v>
      </c>
      <c r="G91" s="51">
        <v>3.3252656434474614</v>
      </c>
      <c r="H91" s="52">
        <v>5.3545627376425857</v>
      </c>
      <c r="I91" s="53">
        <v>1052</v>
      </c>
      <c r="J91" s="54">
        <v>1694</v>
      </c>
      <c r="K91" s="54">
        <v>5633</v>
      </c>
      <c r="L91" s="55">
        <v>4103.3</v>
      </c>
      <c r="M91" s="56">
        <v>445.70400000000001</v>
      </c>
      <c r="N91" s="57">
        <v>844.95</v>
      </c>
      <c r="O91" s="58">
        <v>428.65</v>
      </c>
      <c r="P91" s="59">
        <v>13.141257436136708</v>
      </c>
      <c r="Q91" s="60">
        <v>577.85</v>
      </c>
      <c r="R91" s="61">
        <v>9.7482045513541564</v>
      </c>
      <c r="S91" s="48"/>
      <c r="T91" s="50"/>
      <c r="U91" s="62">
        <v>0</v>
      </c>
      <c r="V91" s="63">
        <v>8</v>
      </c>
      <c r="W91" s="50">
        <v>51</v>
      </c>
      <c r="X91" s="48">
        <v>8</v>
      </c>
      <c r="Y91" s="63">
        <v>59</v>
      </c>
      <c r="Z91" s="63">
        <v>246</v>
      </c>
      <c r="AA91" s="64">
        <v>377.8</v>
      </c>
      <c r="AB91" s="65">
        <v>99.771000000000001</v>
      </c>
      <c r="AC91" s="66"/>
      <c r="AD91" s="67"/>
      <c r="AE91" s="68"/>
      <c r="AF91" s="48">
        <v>75</v>
      </c>
      <c r="AG91" s="63">
        <v>148</v>
      </c>
      <c r="AH91" s="63">
        <v>32</v>
      </c>
      <c r="AI91" s="63">
        <v>57</v>
      </c>
      <c r="AJ91" s="63">
        <v>31</v>
      </c>
      <c r="AK91" s="63">
        <v>124</v>
      </c>
      <c r="AL91" s="63">
        <v>129</v>
      </c>
      <c r="AM91" s="63">
        <v>115</v>
      </c>
      <c r="AN91" s="63">
        <v>301</v>
      </c>
      <c r="AO91" s="63">
        <v>91</v>
      </c>
      <c r="AP91" s="63">
        <v>81</v>
      </c>
      <c r="AQ91" s="63">
        <v>197</v>
      </c>
      <c r="AR91" s="63">
        <v>1</v>
      </c>
      <c r="AS91" s="63">
        <v>1</v>
      </c>
      <c r="AT91" s="63">
        <v>10</v>
      </c>
      <c r="AU91" s="63">
        <v>60</v>
      </c>
      <c r="AV91" s="63">
        <v>226</v>
      </c>
      <c r="AW91" s="50">
        <v>3</v>
      </c>
      <c r="AX91" s="69">
        <v>4924</v>
      </c>
      <c r="AY91" s="69">
        <v>27048</v>
      </c>
      <c r="AZ91" s="54">
        <v>145</v>
      </c>
      <c r="BA91" s="54">
        <v>733</v>
      </c>
      <c r="BB91" s="54">
        <v>97</v>
      </c>
      <c r="BC91" s="54">
        <v>303</v>
      </c>
      <c r="BD91" s="54">
        <v>1051</v>
      </c>
      <c r="BE91" s="70">
        <v>439</v>
      </c>
      <c r="BF91" s="63">
        <v>56</v>
      </c>
      <c r="BG91" s="71">
        <v>1546</v>
      </c>
      <c r="BH91" s="67"/>
      <c r="BI91" s="68"/>
      <c r="BJ91" s="72">
        <v>1364</v>
      </c>
      <c r="BK91" s="62"/>
      <c r="BL91" s="70">
        <v>2062</v>
      </c>
      <c r="BM91" s="70">
        <v>157</v>
      </c>
      <c r="BN91" s="70">
        <v>173</v>
      </c>
      <c r="BO91" s="70">
        <v>1015</v>
      </c>
      <c r="BP91" s="73">
        <v>19</v>
      </c>
      <c r="BQ91" s="48">
        <v>547</v>
      </c>
      <c r="BR91" s="63">
        <v>256</v>
      </c>
      <c r="BS91" s="50">
        <v>87</v>
      </c>
      <c r="BT91" s="76">
        <v>72.519083969465655</v>
      </c>
      <c r="BU91" s="77">
        <v>27.480916030534353</v>
      </c>
      <c r="BV91" s="78">
        <v>760</v>
      </c>
      <c r="BW91" s="79">
        <v>288</v>
      </c>
      <c r="BX91" s="62">
        <v>372</v>
      </c>
      <c r="BY91" s="63">
        <v>162</v>
      </c>
      <c r="BZ91" s="63">
        <v>109</v>
      </c>
      <c r="CA91" s="63">
        <v>226</v>
      </c>
      <c r="CB91" s="63">
        <v>9</v>
      </c>
      <c r="CC91" s="63">
        <v>159</v>
      </c>
      <c r="CD91" s="63">
        <v>11</v>
      </c>
      <c r="CE91" s="50">
        <v>0</v>
      </c>
    </row>
    <row r="92" spans="2:83" x14ac:dyDescent="0.3">
      <c r="B92" s="46">
        <v>17</v>
      </c>
      <c r="C92" s="47">
        <v>43578</v>
      </c>
      <c r="D92" s="48">
        <v>13</v>
      </c>
      <c r="E92" s="49">
        <v>2973</v>
      </c>
      <c r="F92" s="50">
        <v>264</v>
      </c>
      <c r="G92" s="51">
        <v>1.9298245614035088</v>
      </c>
      <c r="H92" s="52">
        <v>2.2124206069160199</v>
      </c>
      <c r="I92" s="53">
        <v>2834</v>
      </c>
      <c r="J92" s="54">
        <v>3249</v>
      </c>
      <c r="K92" s="54">
        <v>6270</v>
      </c>
      <c r="L92" s="55">
        <v>3445.9</v>
      </c>
      <c r="M92" s="56">
        <v>490.37700000000001</v>
      </c>
      <c r="N92" s="57">
        <v>940.49999999999989</v>
      </c>
      <c r="O92" s="58">
        <v>502.07</v>
      </c>
      <c r="P92" s="59">
        <v>12.488298444440019</v>
      </c>
      <c r="Q92" s="60">
        <v>636.22</v>
      </c>
      <c r="R92" s="61">
        <v>9.8550815755556247</v>
      </c>
      <c r="S92" s="48"/>
      <c r="T92" s="50"/>
      <c r="U92" s="62">
        <v>0</v>
      </c>
      <c r="V92" s="63">
        <v>93</v>
      </c>
      <c r="W92" s="50">
        <v>35</v>
      </c>
      <c r="X92" s="48">
        <v>35</v>
      </c>
      <c r="Y92" s="63">
        <v>140</v>
      </c>
      <c r="Z92" s="63">
        <v>340</v>
      </c>
      <c r="AA92" s="64">
        <v>583.29999999999995</v>
      </c>
      <c r="AB92" s="65">
        <v>60.633000000000003</v>
      </c>
      <c r="AC92" s="66"/>
      <c r="AD92" s="67"/>
      <c r="AE92" s="68"/>
      <c r="AF92" s="48">
        <v>256</v>
      </c>
      <c r="AG92" s="63">
        <v>652</v>
      </c>
      <c r="AH92" s="63">
        <v>114</v>
      </c>
      <c r="AI92" s="63">
        <v>205</v>
      </c>
      <c r="AJ92" s="63">
        <v>121</v>
      </c>
      <c r="AK92" s="63">
        <v>625</v>
      </c>
      <c r="AL92" s="63">
        <v>271</v>
      </c>
      <c r="AM92" s="63">
        <v>121</v>
      </c>
      <c r="AN92" s="63">
        <v>385</v>
      </c>
      <c r="AO92" s="63">
        <v>53</v>
      </c>
      <c r="AP92" s="63">
        <v>43</v>
      </c>
      <c r="AQ92" s="63">
        <v>75</v>
      </c>
      <c r="AR92" s="63">
        <v>10</v>
      </c>
      <c r="AS92" s="63">
        <v>6</v>
      </c>
      <c r="AT92" s="63">
        <v>33</v>
      </c>
      <c r="AU92" s="63">
        <v>108</v>
      </c>
      <c r="AV92" s="63">
        <v>148</v>
      </c>
      <c r="AW92" s="50">
        <v>8</v>
      </c>
      <c r="AX92" s="69">
        <v>3403</v>
      </c>
      <c r="AY92" s="69">
        <v>15692</v>
      </c>
      <c r="AZ92" s="54">
        <v>397</v>
      </c>
      <c r="BA92" s="54">
        <v>1797</v>
      </c>
      <c r="BB92" s="54">
        <v>465</v>
      </c>
      <c r="BC92" s="54">
        <v>683</v>
      </c>
      <c r="BD92" s="54">
        <v>1582</v>
      </c>
      <c r="BE92" s="70">
        <v>850</v>
      </c>
      <c r="BF92" s="63">
        <v>584</v>
      </c>
      <c r="BG92" s="71">
        <v>3016</v>
      </c>
      <c r="BH92" s="67"/>
      <c r="BI92" s="68"/>
      <c r="BJ92" s="72">
        <v>1576</v>
      </c>
      <c r="BK92" s="62"/>
      <c r="BL92" s="70">
        <v>1947</v>
      </c>
      <c r="BM92" s="70">
        <v>186</v>
      </c>
      <c r="BN92" s="70">
        <v>201</v>
      </c>
      <c r="BO92" s="70">
        <v>1178</v>
      </c>
      <c r="BP92" s="73">
        <v>11</v>
      </c>
      <c r="BQ92" s="48">
        <v>2189</v>
      </c>
      <c r="BR92" s="63">
        <v>293</v>
      </c>
      <c r="BS92" s="50">
        <v>27</v>
      </c>
      <c r="BT92" s="76">
        <v>87.107142857142861</v>
      </c>
      <c r="BU92" s="77">
        <v>12.892857142857142</v>
      </c>
      <c r="BV92" s="78">
        <v>2439</v>
      </c>
      <c r="BW92" s="79">
        <v>361</v>
      </c>
      <c r="BX92" s="62">
        <v>1528</v>
      </c>
      <c r="BY92" s="63">
        <v>192</v>
      </c>
      <c r="BZ92" s="63">
        <v>90</v>
      </c>
      <c r="CA92" s="63">
        <v>719</v>
      </c>
      <c r="CB92" s="63">
        <v>13</v>
      </c>
      <c r="CC92" s="63">
        <v>221</v>
      </c>
      <c r="CD92" s="63">
        <v>3</v>
      </c>
      <c r="CE92" s="50">
        <v>34</v>
      </c>
    </row>
    <row r="93" spans="2:83" x14ac:dyDescent="0.3">
      <c r="B93" s="46">
        <v>17</v>
      </c>
      <c r="C93" s="47">
        <v>43579</v>
      </c>
      <c r="D93" s="48">
        <v>9</v>
      </c>
      <c r="E93" s="49">
        <v>1641</v>
      </c>
      <c r="F93" s="50">
        <v>443</v>
      </c>
      <c r="G93" s="51">
        <v>3.8100961538461537</v>
      </c>
      <c r="H93" s="52">
        <v>5.9230194319880418</v>
      </c>
      <c r="I93" s="53">
        <v>1338</v>
      </c>
      <c r="J93" s="54">
        <v>2080</v>
      </c>
      <c r="K93" s="54">
        <v>7925</v>
      </c>
      <c r="L93" s="55">
        <v>6743.9</v>
      </c>
      <c r="M93" s="56">
        <v>708.44500000000005</v>
      </c>
      <c r="N93" s="57">
        <v>1188.75</v>
      </c>
      <c r="O93" s="58">
        <v>543.77</v>
      </c>
      <c r="P93" s="59">
        <v>14.574176582010777</v>
      </c>
      <c r="Q93" s="60">
        <v>679.81999999999994</v>
      </c>
      <c r="R93" s="61">
        <v>11.657497572886943</v>
      </c>
      <c r="S93" s="48"/>
      <c r="T93" s="50"/>
      <c r="U93" s="62">
        <v>0</v>
      </c>
      <c r="V93" s="63">
        <v>49</v>
      </c>
      <c r="W93" s="50">
        <v>62</v>
      </c>
      <c r="X93" s="48">
        <v>30</v>
      </c>
      <c r="Y93" s="63">
        <v>89</v>
      </c>
      <c r="Z93" s="63">
        <v>181</v>
      </c>
      <c r="AA93" s="64">
        <v>596.5</v>
      </c>
      <c r="AB93" s="65">
        <v>74.638999999999996</v>
      </c>
      <c r="AC93" s="66"/>
      <c r="AD93" s="67"/>
      <c r="AE93" s="68"/>
      <c r="AF93" s="48">
        <v>105</v>
      </c>
      <c r="AG93" s="63">
        <v>232</v>
      </c>
      <c r="AH93" s="63">
        <v>36</v>
      </c>
      <c r="AI93" s="63">
        <v>74</v>
      </c>
      <c r="AJ93" s="63">
        <v>51</v>
      </c>
      <c r="AK93" s="63">
        <v>186</v>
      </c>
      <c r="AL93" s="63">
        <v>202</v>
      </c>
      <c r="AM93" s="63">
        <v>88</v>
      </c>
      <c r="AN93" s="63">
        <v>348</v>
      </c>
      <c r="AO93" s="63">
        <v>76</v>
      </c>
      <c r="AP93" s="63">
        <v>111</v>
      </c>
      <c r="AQ93" s="63">
        <v>125</v>
      </c>
      <c r="AR93" s="63">
        <v>1</v>
      </c>
      <c r="AS93" s="63">
        <v>1</v>
      </c>
      <c r="AT93" s="63">
        <v>4</v>
      </c>
      <c r="AU93" s="63">
        <v>155</v>
      </c>
      <c r="AV93" s="63">
        <v>277</v>
      </c>
      <c r="AW93" s="50">
        <v>11</v>
      </c>
      <c r="AX93" s="69">
        <v>3575</v>
      </c>
      <c r="AY93" s="69">
        <v>35439</v>
      </c>
      <c r="AZ93" s="54">
        <v>2431</v>
      </c>
      <c r="BA93" s="54">
        <v>8365</v>
      </c>
      <c r="BB93" s="54">
        <v>426</v>
      </c>
      <c r="BC93" s="54">
        <v>820</v>
      </c>
      <c r="BD93" s="54">
        <v>1184</v>
      </c>
      <c r="BE93" s="70">
        <v>2294</v>
      </c>
      <c r="BF93" s="63">
        <v>559</v>
      </c>
      <c r="BG93" s="71">
        <v>4037</v>
      </c>
      <c r="BH93" s="67"/>
      <c r="BI93" s="68"/>
      <c r="BJ93" s="72">
        <v>1503</v>
      </c>
      <c r="BK93" s="62"/>
      <c r="BL93" s="70">
        <v>2171</v>
      </c>
      <c r="BM93" s="70">
        <v>233</v>
      </c>
      <c r="BN93" s="70">
        <v>226</v>
      </c>
      <c r="BO93" s="70">
        <v>1021</v>
      </c>
      <c r="BP93" s="73">
        <v>23</v>
      </c>
      <c r="BQ93" s="48">
        <v>787</v>
      </c>
      <c r="BR93" s="63">
        <v>329</v>
      </c>
      <c r="BS93" s="50">
        <v>83</v>
      </c>
      <c r="BT93" s="76">
        <v>77.401998462720982</v>
      </c>
      <c r="BU93" s="77">
        <v>22.598001537279018</v>
      </c>
      <c r="BV93" s="78">
        <v>1007</v>
      </c>
      <c r="BW93" s="79">
        <v>294</v>
      </c>
      <c r="BX93" s="62">
        <v>551</v>
      </c>
      <c r="BY93" s="63">
        <v>151</v>
      </c>
      <c r="BZ93" s="63">
        <v>194</v>
      </c>
      <c r="CA93" s="63">
        <v>305</v>
      </c>
      <c r="CB93" s="63">
        <v>7</v>
      </c>
      <c r="CC93" s="63">
        <v>88</v>
      </c>
      <c r="CD93" s="63">
        <v>5</v>
      </c>
      <c r="CE93" s="50">
        <v>0</v>
      </c>
    </row>
    <row r="94" spans="2:83" x14ac:dyDescent="0.3">
      <c r="B94" s="46">
        <v>17</v>
      </c>
      <c r="C94" s="47">
        <v>43580</v>
      </c>
      <c r="D94" s="48">
        <v>3</v>
      </c>
      <c r="E94" s="49">
        <v>1611</v>
      </c>
      <c r="F94" s="50">
        <v>322</v>
      </c>
      <c r="G94" s="51">
        <v>3.845725847243298</v>
      </c>
      <c r="H94" s="52">
        <v>6.1562753036437243</v>
      </c>
      <c r="I94" s="53">
        <v>1235</v>
      </c>
      <c r="J94" s="54">
        <v>1977</v>
      </c>
      <c r="K94" s="54">
        <v>7603</v>
      </c>
      <c r="L94" s="55">
        <v>6751.1</v>
      </c>
      <c r="M94" s="56">
        <v>593.40800000000002</v>
      </c>
      <c r="N94" s="57">
        <v>1140.45</v>
      </c>
      <c r="O94" s="58">
        <v>532.48</v>
      </c>
      <c r="P94" s="59">
        <v>14.278470552884615</v>
      </c>
      <c r="Q94" s="60">
        <v>678.22</v>
      </c>
      <c r="R94" s="61">
        <v>11.210226770074607</v>
      </c>
      <c r="S94" s="48"/>
      <c r="T94" s="50"/>
      <c r="U94" s="62">
        <v>0</v>
      </c>
      <c r="V94" s="63">
        <v>147</v>
      </c>
      <c r="W94" s="50">
        <v>47</v>
      </c>
      <c r="X94" s="48">
        <v>55</v>
      </c>
      <c r="Y94" s="63">
        <v>201</v>
      </c>
      <c r="Z94" s="63">
        <v>398</v>
      </c>
      <c r="AA94" s="64">
        <v>960.1</v>
      </c>
      <c r="AB94" s="65">
        <v>61.271999999999998</v>
      </c>
      <c r="AC94" s="66"/>
      <c r="AD94" s="67"/>
      <c r="AE94" s="68"/>
      <c r="AF94" s="48">
        <v>82</v>
      </c>
      <c r="AG94" s="63">
        <v>194</v>
      </c>
      <c r="AH94" s="63">
        <v>30</v>
      </c>
      <c r="AI94" s="63">
        <v>81</v>
      </c>
      <c r="AJ94" s="63">
        <v>51</v>
      </c>
      <c r="AK94" s="63">
        <v>173</v>
      </c>
      <c r="AL94" s="63">
        <v>161</v>
      </c>
      <c r="AM94" s="63">
        <v>130</v>
      </c>
      <c r="AN94" s="63">
        <v>402</v>
      </c>
      <c r="AO94" s="63">
        <v>86</v>
      </c>
      <c r="AP94" s="63">
        <v>101</v>
      </c>
      <c r="AQ94" s="63">
        <v>106</v>
      </c>
      <c r="AR94" s="63">
        <v>8</v>
      </c>
      <c r="AS94" s="63">
        <v>0</v>
      </c>
      <c r="AT94" s="63">
        <v>6</v>
      </c>
      <c r="AU94" s="63">
        <v>93</v>
      </c>
      <c r="AV94" s="63">
        <v>220</v>
      </c>
      <c r="AW94" s="50">
        <v>8</v>
      </c>
      <c r="AX94" s="69">
        <v>4969</v>
      </c>
      <c r="AY94" s="69">
        <v>24386</v>
      </c>
      <c r="AZ94" s="54">
        <v>1443</v>
      </c>
      <c r="BA94" s="54">
        <v>2965</v>
      </c>
      <c r="BB94" s="54">
        <v>416</v>
      </c>
      <c r="BC94" s="54">
        <v>971</v>
      </c>
      <c r="BD94" s="54">
        <v>1190</v>
      </c>
      <c r="BE94" s="70">
        <v>2276</v>
      </c>
      <c r="BF94" s="63">
        <v>242</v>
      </c>
      <c r="BG94" s="71">
        <v>3708</v>
      </c>
      <c r="BH94" s="67"/>
      <c r="BI94" s="68"/>
      <c r="BJ94" s="72">
        <v>1625</v>
      </c>
      <c r="BK94" s="62"/>
      <c r="BL94" s="70">
        <v>2265</v>
      </c>
      <c r="BM94" s="70">
        <v>430</v>
      </c>
      <c r="BN94" s="70">
        <v>105</v>
      </c>
      <c r="BO94" s="70">
        <v>1073</v>
      </c>
      <c r="BP94" s="73">
        <v>17</v>
      </c>
      <c r="BQ94" s="48">
        <v>658</v>
      </c>
      <c r="BR94" s="63">
        <v>346</v>
      </c>
      <c r="BS94" s="50">
        <v>125</v>
      </c>
      <c r="BT94" s="76">
        <v>77.205882352941174</v>
      </c>
      <c r="BU94" s="77">
        <v>22.794117647058822</v>
      </c>
      <c r="BV94" s="78">
        <v>945</v>
      </c>
      <c r="BW94" s="79">
        <v>279</v>
      </c>
      <c r="BX94" s="62">
        <v>460</v>
      </c>
      <c r="BY94" s="63">
        <v>196</v>
      </c>
      <c r="BZ94" s="63">
        <v>159</v>
      </c>
      <c r="CA94" s="63">
        <v>289</v>
      </c>
      <c r="CB94" s="63">
        <v>20</v>
      </c>
      <c r="CC94" s="63">
        <v>91</v>
      </c>
      <c r="CD94" s="63">
        <v>8</v>
      </c>
      <c r="CE94" s="50">
        <v>1</v>
      </c>
    </row>
    <row r="95" spans="2:83" x14ac:dyDescent="0.3">
      <c r="B95" s="46">
        <v>17</v>
      </c>
      <c r="C95" s="47">
        <v>43581</v>
      </c>
      <c r="D95" s="48">
        <v>12</v>
      </c>
      <c r="E95" s="49">
        <v>1433</v>
      </c>
      <c r="F95" s="50">
        <v>282</v>
      </c>
      <c r="G95" s="51">
        <v>3.6311764705882354</v>
      </c>
      <c r="H95" s="52">
        <v>5.7316620241411327</v>
      </c>
      <c r="I95" s="53">
        <v>1077</v>
      </c>
      <c r="J95" s="54">
        <v>1700</v>
      </c>
      <c r="K95" s="54">
        <v>6173</v>
      </c>
      <c r="L95" s="55">
        <v>4808.3</v>
      </c>
      <c r="M95" s="56">
        <v>475.35899999999998</v>
      </c>
      <c r="N95" s="57">
        <v>925.95</v>
      </c>
      <c r="O95" s="58">
        <v>515.87</v>
      </c>
      <c r="P95" s="59">
        <v>11.966193033128501</v>
      </c>
      <c r="Q95" s="60">
        <v>645.82999999999993</v>
      </c>
      <c r="R95" s="61">
        <v>9.558242881253582</v>
      </c>
      <c r="S95" s="48"/>
      <c r="T95" s="50"/>
      <c r="U95" s="62">
        <v>0</v>
      </c>
      <c r="V95" s="63">
        <v>70</v>
      </c>
      <c r="W95" s="50">
        <v>36</v>
      </c>
      <c r="X95" s="48">
        <v>30</v>
      </c>
      <c r="Y95" s="63">
        <v>88</v>
      </c>
      <c r="Z95" s="63">
        <v>477</v>
      </c>
      <c r="AA95" s="64">
        <v>393.2</v>
      </c>
      <c r="AB95" s="65">
        <v>37.148000000000003</v>
      </c>
      <c r="AC95" s="66"/>
      <c r="AD95" s="67"/>
      <c r="AE95" s="68"/>
      <c r="AF95" s="48">
        <v>58</v>
      </c>
      <c r="AG95" s="63">
        <v>156</v>
      </c>
      <c r="AH95" s="63">
        <v>19</v>
      </c>
      <c r="AI95" s="63">
        <v>69</v>
      </c>
      <c r="AJ95" s="63">
        <v>32</v>
      </c>
      <c r="AK95" s="63">
        <v>157</v>
      </c>
      <c r="AL95" s="63">
        <v>120</v>
      </c>
      <c r="AM95" s="63">
        <v>73</v>
      </c>
      <c r="AN95" s="63">
        <v>300</v>
      </c>
      <c r="AO95" s="63">
        <v>92</v>
      </c>
      <c r="AP95" s="63">
        <v>194</v>
      </c>
      <c r="AQ95" s="63">
        <v>156</v>
      </c>
      <c r="AR95" s="63">
        <v>1</v>
      </c>
      <c r="AS95" s="63">
        <v>0</v>
      </c>
      <c r="AT95" s="63">
        <v>5</v>
      </c>
      <c r="AU95" s="63">
        <v>93</v>
      </c>
      <c r="AV95" s="63">
        <v>182</v>
      </c>
      <c r="AW95" s="50">
        <v>6</v>
      </c>
      <c r="AX95" s="69">
        <v>4255</v>
      </c>
      <c r="AY95" s="69">
        <v>29247</v>
      </c>
      <c r="AZ95" s="54">
        <v>781</v>
      </c>
      <c r="BA95" s="54">
        <v>2444</v>
      </c>
      <c r="BB95" s="54">
        <v>324</v>
      </c>
      <c r="BC95" s="54">
        <v>624</v>
      </c>
      <c r="BD95" s="54">
        <v>1051</v>
      </c>
      <c r="BE95" s="70">
        <v>800</v>
      </c>
      <c r="BF95" s="63">
        <v>233</v>
      </c>
      <c r="BG95" s="71">
        <v>2084</v>
      </c>
      <c r="BH95" s="67"/>
      <c r="BI95" s="68"/>
      <c r="BJ95" s="72">
        <v>1482</v>
      </c>
      <c r="BK95" s="62"/>
      <c r="BL95" s="70">
        <v>2166</v>
      </c>
      <c r="BM95" s="70">
        <v>231</v>
      </c>
      <c r="BN95" s="70">
        <v>157</v>
      </c>
      <c r="BO95" s="70">
        <v>1081</v>
      </c>
      <c r="BP95" s="73">
        <v>13</v>
      </c>
      <c r="BQ95" s="48">
        <v>535</v>
      </c>
      <c r="BR95" s="63">
        <v>216</v>
      </c>
      <c r="BS95" s="50">
        <v>109</v>
      </c>
      <c r="BT95" s="76">
        <v>63.739376770538243</v>
      </c>
      <c r="BU95" s="77">
        <v>36.260623229461757</v>
      </c>
      <c r="BV95" s="78">
        <v>675</v>
      </c>
      <c r="BW95" s="79">
        <v>384</v>
      </c>
      <c r="BX95" s="62">
        <v>312</v>
      </c>
      <c r="BY95" s="63">
        <v>60</v>
      </c>
      <c r="BZ95" s="63">
        <v>226</v>
      </c>
      <c r="CA95" s="63">
        <v>303</v>
      </c>
      <c r="CB95" s="63">
        <v>44</v>
      </c>
      <c r="CC95" s="63">
        <v>107</v>
      </c>
      <c r="CD95" s="63">
        <v>7</v>
      </c>
      <c r="CE95" s="50">
        <v>0</v>
      </c>
    </row>
    <row r="96" spans="2:83" x14ac:dyDescent="0.3">
      <c r="B96" s="46">
        <v>18</v>
      </c>
      <c r="C96" s="47">
        <v>43584</v>
      </c>
      <c r="D96" s="48">
        <v>0</v>
      </c>
      <c r="E96" s="49">
        <v>3051</v>
      </c>
      <c r="F96" s="50">
        <v>321</v>
      </c>
      <c r="G96" s="51">
        <v>2.6927639383155397</v>
      </c>
      <c r="H96" s="52">
        <v>3.3235724743777451</v>
      </c>
      <c r="I96" s="53">
        <v>2732</v>
      </c>
      <c r="J96" s="54">
        <v>3372</v>
      </c>
      <c r="K96" s="54">
        <v>9080</v>
      </c>
      <c r="L96" s="55">
        <v>5029.2</v>
      </c>
      <c r="M96" s="56">
        <v>645.77800000000002</v>
      </c>
      <c r="N96" s="57">
        <v>1362</v>
      </c>
      <c r="O96" s="58">
        <v>523.73</v>
      </c>
      <c r="P96" s="59">
        <v>17.337177553319457</v>
      </c>
      <c r="Q96" s="60">
        <v>661.54000000000008</v>
      </c>
      <c r="R96" s="61">
        <v>13.725549475466334</v>
      </c>
      <c r="S96" s="48"/>
      <c r="T96" s="50"/>
      <c r="U96" s="62">
        <v>0</v>
      </c>
      <c r="V96" s="63">
        <v>114</v>
      </c>
      <c r="W96" s="50">
        <v>72</v>
      </c>
      <c r="X96" s="48">
        <v>52</v>
      </c>
      <c r="Y96" s="63">
        <v>197</v>
      </c>
      <c r="Z96" s="63">
        <v>500</v>
      </c>
      <c r="AA96" s="64">
        <v>1208.7</v>
      </c>
      <c r="AB96" s="65">
        <v>110.432</v>
      </c>
      <c r="AC96" s="66"/>
      <c r="AD96" s="67"/>
      <c r="AE96" s="68"/>
      <c r="AF96" s="48">
        <v>275</v>
      </c>
      <c r="AG96" s="63">
        <v>523</v>
      </c>
      <c r="AH96" s="63">
        <v>95</v>
      </c>
      <c r="AI96" s="63">
        <v>166</v>
      </c>
      <c r="AJ96" s="63">
        <v>116</v>
      </c>
      <c r="AK96" s="63">
        <v>511</v>
      </c>
      <c r="AL96" s="63">
        <v>368</v>
      </c>
      <c r="AM96" s="63">
        <v>159</v>
      </c>
      <c r="AN96" s="63">
        <v>432</v>
      </c>
      <c r="AO96" s="63">
        <v>112</v>
      </c>
      <c r="AP96" s="63">
        <v>120</v>
      </c>
      <c r="AQ96" s="63">
        <v>87</v>
      </c>
      <c r="AR96" s="63">
        <v>22</v>
      </c>
      <c r="AS96" s="63">
        <v>2</v>
      </c>
      <c r="AT96" s="63">
        <v>39</v>
      </c>
      <c r="AU96" s="63">
        <v>85</v>
      </c>
      <c r="AV96" s="63">
        <v>221</v>
      </c>
      <c r="AW96" s="50">
        <v>14</v>
      </c>
      <c r="AX96" s="69">
        <v>5320</v>
      </c>
      <c r="AY96" s="69">
        <v>26645</v>
      </c>
      <c r="AZ96" s="54">
        <v>1796</v>
      </c>
      <c r="BA96" s="54">
        <v>4071</v>
      </c>
      <c r="BB96" s="54">
        <v>627</v>
      </c>
      <c r="BC96" s="54">
        <v>962</v>
      </c>
      <c r="BD96" s="54">
        <v>1723</v>
      </c>
      <c r="BE96" s="70">
        <v>2116</v>
      </c>
      <c r="BF96" s="63">
        <v>748</v>
      </c>
      <c r="BG96" s="71">
        <v>4587</v>
      </c>
      <c r="BH96" s="67"/>
      <c r="BI96" s="68"/>
      <c r="BJ96" s="72">
        <v>1608</v>
      </c>
      <c r="BK96" s="62"/>
      <c r="BL96" s="70">
        <v>2496</v>
      </c>
      <c r="BM96" s="70">
        <v>508</v>
      </c>
      <c r="BN96" s="70">
        <v>74</v>
      </c>
      <c r="BO96" s="70">
        <v>1022</v>
      </c>
      <c r="BP96" s="73">
        <v>4</v>
      </c>
      <c r="BQ96" s="48">
        <v>1950</v>
      </c>
      <c r="BR96" s="63">
        <v>422</v>
      </c>
      <c r="BS96" s="50">
        <v>100</v>
      </c>
      <c r="BT96" s="76">
        <v>83.516886930983844</v>
      </c>
      <c r="BU96" s="77">
        <v>16.483113069016152</v>
      </c>
      <c r="BV96" s="78">
        <v>2275</v>
      </c>
      <c r="BW96" s="79">
        <v>449</v>
      </c>
      <c r="BX96" s="62">
        <v>1301</v>
      </c>
      <c r="BY96" s="63">
        <v>245</v>
      </c>
      <c r="BZ96" s="63">
        <v>180</v>
      </c>
      <c r="CA96" s="63">
        <v>729</v>
      </c>
      <c r="CB96" s="63">
        <v>9</v>
      </c>
      <c r="CC96" s="63">
        <v>234</v>
      </c>
      <c r="CD96" s="63">
        <v>3</v>
      </c>
      <c r="CE96" s="50">
        <v>23</v>
      </c>
    </row>
    <row r="97" spans="2:83" x14ac:dyDescent="0.3">
      <c r="B97" s="46">
        <v>18</v>
      </c>
      <c r="C97" s="47">
        <v>43585</v>
      </c>
      <c r="D97" s="48">
        <v>18</v>
      </c>
      <c r="E97" s="49">
        <v>2001</v>
      </c>
      <c r="F97" s="50">
        <v>325</v>
      </c>
      <c r="G97" s="51">
        <v>3.8046075085324231</v>
      </c>
      <c r="H97" s="52">
        <v>5.3690547862733293</v>
      </c>
      <c r="I97" s="53">
        <v>1661</v>
      </c>
      <c r="J97" s="54">
        <v>2344</v>
      </c>
      <c r="K97" s="54">
        <v>8918</v>
      </c>
      <c r="L97" s="55">
        <v>6239.9</v>
      </c>
      <c r="M97" s="56">
        <v>525.80899999999997</v>
      </c>
      <c r="N97" s="57">
        <v>1337.6999999999998</v>
      </c>
      <c r="O97" s="58">
        <v>538.43000000000006</v>
      </c>
      <c r="P97" s="59">
        <v>16.562970116821127</v>
      </c>
      <c r="Q97" s="60">
        <v>661.86000000000013</v>
      </c>
      <c r="R97" s="61">
        <v>13.474148611488832</v>
      </c>
      <c r="S97" s="48"/>
      <c r="T97" s="50"/>
      <c r="U97" s="62">
        <v>0</v>
      </c>
      <c r="V97" s="63">
        <v>92</v>
      </c>
      <c r="W97" s="50">
        <v>11</v>
      </c>
      <c r="X97" s="48">
        <v>80</v>
      </c>
      <c r="Y97" s="63">
        <v>216</v>
      </c>
      <c r="Z97" s="63">
        <v>476</v>
      </c>
      <c r="AA97" s="64">
        <v>1368.9</v>
      </c>
      <c r="AB97" s="65">
        <v>166.39400000000001</v>
      </c>
      <c r="AC97" s="66"/>
      <c r="AD97" s="67"/>
      <c r="AE97" s="68"/>
      <c r="AF97" s="48">
        <v>174</v>
      </c>
      <c r="AG97" s="63">
        <v>287</v>
      </c>
      <c r="AH97" s="63">
        <v>60</v>
      </c>
      <c r="AI97" s="63">
        <v>82</v>
      </c>
      <c r="AJ97" s="63">
        <v>114</v>
      </c>
      <c r="AK97" s="63">
        <v>225</v>
      </c>
      <c r="AL97" s="63">
        <v>155</v>
      </c>
      <c r="AM97" s="63">
        <v>162</v>
      </c>
      <c r="AN97" s="63">
        <v>435</v>
      </c>
      <c r="AO97" s="63">
        <v>71</v>
      </c>
      <c r="AP97" s="63">
        <v>99</v>
      </c>
      <c r="AQ97" s="63">
        <v>67</v>
      </c>
      <c r="AR97" s="63">
        <v>30</v>
      </c>
      <c r="AS97" s="63">
        <v>4</v>
      </c>
      <c r="AT97" s="63">
        <v>13</v>
      </c>
      <c r="AU97" s="63">
        <v>99</v>
      </c>
      <c r="AV97" s="63">
        <v>203</v>
      </c>
      <c r="AW97" s="50">
        <v>19</v>
      </c>
      <c r="AX97" s="69">
        <v>5687</v>
      </c>
      <c r="AY97" s="69">
        <v>33285</v>
      </c>
      <c r="AZ97" s="54">
        <v>621</v>
      </c>
      <c r="BA97" s="54">
        <v>1485</v>
      </c>
      <c r="BB97" s="54">
        <v>396</v>
      </c>
      <c r="BC97" s="54">
        <v>771</v>
      </c>
      <c r="BD97" s="54">
        <v>1345</v>
      </c>
      <c r="BE97" s="70">
        <v>1486</v>
      </c>
      <c r="BF97" s="63">
        <v>280</v>
      </c>
      <c r="BG97" s="71">
        <v>3111</v>
      </c>
      <c r="BH97" s="67"/>
      <c r="BI97" s="68"/>
      <c r="BJ97" s="72">
        <v>1458</v>
      </c>
      <c r="BK97" s="62"/>
      <c r="BL97" s="70">
        <v>3019</v>
      </c>
      <c r="BM97" s="70">
        <v>338</v>
      </c>
      <c r="BN97" s="70">
        <v>75</v>
      </c>
      <c r="BO97" s="70">
        <v>1033</v>
      </c>
      <c r="BP97" s="73">
        <v>12</v>
      </c>
      <c r="BQ97" s="48">
        <v>1029</v>
      </c>
      <c r="BR97" s="63">
        <v>397</v>
      </c>
      <c r="BS97" s="50">
        <v>93</v>
      </c>
      <c r="BT97" s="76">
        <v>83.000604960677549</v>
      </c>
      <c r="BU97" s="77">
        <v>16.999395039322444</v>
      </c>
      <c r="BV97" s="78">
        <v>1372</v>
      </c>
      <c r="BW97" s="79">
        <v>281</v>
      </c>
      <c r="BX97" s="62">
        <v>752</v>
      </c>
      <c r="BY97" s="63">
        <v>255</v>
      </c>
      <c r="BZ97" s="63">
        <v>173</v>
      </c>
      <c r="CA97" s="63">
        <v>365</v>
      </c>
      <c r="CB97" s="63">
        <v>7</v>
      </c>
      <c r="CC97" s="63">
        <v>99</v>
      </c>
      <c r="CD97" s="63">
        <v>2</v>
      </c>
      <c r="CE97" s="50">
        <v>0</v>
      </c>
    </row>
    <row r="98" spans="2:83" x14ac:dyDescent="0.3">
      <c r="B98" s="46">
        <v>18</v>
      </c>
      <c r="C98" s="47">
        <v>43587</v>
      </c>
      <c r="D98" s="48">
        <v>8</v>
      </c>
      <c r="E98" s="49">
        <v>1991</v>
      </c>
      <c r="F98" s="50">
        <v>459</v>
      </c>
      <c r="G98" s="51">
        <v>3.455248169243287</v>
      </c>
      <c r="H98" s="52">
        <v>4.7847887323943663</v>
      </c>
      <c r="I98" s="53">
        <v>1775</v>
      </c>
      <c r="J98" s="54">
        <v>2458</v>
      </c>
      <c r="K98" s="54">
        <v>8493</v>
      </c>
      <c r="L98" s="55">
        <v>7712.3</v>
      </c>
      <c r="M98" s="56">
        <v>721</v>
      </c>
      <c r="N98" s="57">
        <v>1273.95</v>
      </c>
      <c r="O98" s="58">
        <v>508.78999999999996</v>
      </c>
      <c r="P98" s="59">
        <v>16.692545057882427</v>
      </c>
      <c r="Q98" s="60">
        <v>626.58000000000004</v>
      </c>
      <c r="R98" s="61">
        <v>13.554534137699894</v>
      </c>
      <c r="S98" s="48"/>
      <c r="T98" s="50"/>
      <c r="U98" s="62">
        <v>0</v>
      </c>
      <c r="V98" s="63">
        <v>68</v>
      </c>
      <c r="W98" s="50">
        <v>77</v>
      </c>
      <c r="X98" s="48">
        <v>49</v>
      </c>
      <c r="Y98" s="63">
        <v>145</v>
      </c>
      <c r="Z98" s="63">
        <v>310</v>
      </c>
      <c r="AA98" s="64">
        <v>2217.9</v>
      </c>
      <c r="AB98" s="65">
        <v>117.02500000000001</v>
      </c>
      <c r="AC98" s="66"/>
      <c r="AD98" s="67"/>
      <c r="AE98" s="68"/>
      <c r="AF98" s="48">
        <v>167</v>
      </c>
      <c r="AG98" s="63">
        <v>313</v>
      </c>
      <c r="AH98" s="63">
        <v>57</v>
      </c>
      <c r="AI98" s="63">
        <v>87</v>
      </c>
      <c r="AJ98" s="63">
        <v>104</v>
      </c>
      <c r="AK98" s="63">
        <v>298</v>
      </c>
      <c r="AL98" s="63">
        <v>181</v>
      </c>
      <c r="AM98" s="63">
        <v>105</v>
      </c>
      <c r="AN98" s="63">
        <v>334</v>
      </c>
      <c r="AO98" s="63">
        <v>98</v>
      </c>
      <c r="AP98" s="63">
        <v>122</v>
      </c>
      <c r="AQ98" s="63">
        <v>80</v>
      </c>
      <c r="AR98" s="63">
        <v>9</v>
      </c>
      <c r="AS98" s="63">
        <v>2</v>
      </c>
      <c r="AT98" s="63">
        <v>13</v>
      </c>
      <c r="AU98" s="63">
        <v>128</v>
      </c>
      <c r="AV98" s="63">
        <v>317</v>
      </c>
      <c r="AW98" s="50">
        <v>12</v>
      </c>
      <c r="AX98" s="69">
        <v>4341</v>
      </c>
      <c r="AY98" s="69">
        <v>28004</v>
      </c>
      <c r="AZ98" s="54">
        <v>311</v>
      </c>
      <c r="BA98" s="54">
        <v>971</v>
      </c>
      <c r="BB98" s="54">
        <v>329</v>
      </c>
      <c r="BC98" s="54">
        <v>705</v>
      </c>
      <c r="BD98" s="54">
        <v>1287</v>
      </c>
      <c r="BE98" s="70">
        <v>803</v>
      </c>
      <c r="BF98" s="63">
        <v>251</v>
      </c>
      <c r="BG98" s="71">
        <v>2341</v>
      </c>
      <c r="BH98" s="67"/>
      <c r="BI98" s="68"/>
      <c r="BJ98" s="72">
        <v>1637</v>
      </c>
      <c r="BK98" s="62"/>
      <c r="BL98" s="70">
        <v>2705</v>
      </c>
      <c r="BM98" s="70">
        <v>260</v>
      </c>
      <c r="BN98" s="70">
        <v>242</v>
      </c>
      <c r="BO98" s="70">
        <v>1119</v>
      </c>
      <c r="BP98" s="73">
        <v>16</v>
      </c>
      <c r="BQ98" s="48">
        <v>1085</v>
      </c>
      <c r="BR98" s="63">
        <v>343</v>
      </c>
      <c r="BS98" s="50">
        <v>87</v>
      </c>
      <c r="BT98" s="76">
        <v>77.408256880733944</v>
      </c>
      <c r="BU98" s="77">
        <v>22.591743119266056</v>
      </c>
      <c r="BV98" s="78">
        <v>1350</v>
      </c>
      <c r="BW98" s="79">
        <v>394</v>
      </c>
      <c r="BX98" s="62">
        <v>713</v>
      </c>
      <c r="BY98" s="63">
        <v>193</v>
      </c>
      <c r="BZ98" s="63">
        <v>211</v>
      </c>
      <c r="CA98" s="63">
        <v>444</v>
      </c>
      <c r="CB98" s="63">
        <v>6</v>
      </c>
      <c r="CC98" s="63">
        <v>171</v>
      </c>
      <c r="CD98" s="63">
        <v>6</v>
      </c>
      <c r="CE98" s="50">
        <v>0</v>
      </c>
    </row>
    <row r="99" spans="2:83" x14ac:dyDescent="0.3">
      <c r="B99" s="46">
        <v>18</v>
      </c>
      <c r="C99" s="47">
        <v>43588</v>
      </c>
      <c r="D99" s="48">
        <v>10</v>
      </c>
      <c r="E99" s="49">
        <v>1553</v>
      </c>
      <c r="F99" s="50">
        <v>313</v>
      </c>
      <c r="G99" s="51">
        <v>4.681769722814499</v>
      </c>
      <c r="H99" s="52">
        <v>7.2767191383595691</v>
      </c>
      <c r="I99" s="53">
        <v>1207</v>
      </c>
      <c r="J99" s="54">
        <v>1876</v>
      </c>
      <c r="K99" s="54">
        <v>8783</v>
      </c>
      <c r="L99" s="55">
        <v>7269.1</v>
      </c>
      <c r="M99" s="56">
        <v>531.97299999999996</v>
      </c>
      <c r="N99" s="57">
        <v>1317.4499999999998</v>
      </c>
      <c r="O99" s="58">
        <v>493.16</v>
      </c>
      <c r="P99" s="59">
        <v>17.809635817990102</v>
      </c>
      <c r="Q99" s="60">
        <v>607.99</v>
      </c>
      <c r="R99" s="61">
        <v>14.445961282257931</v>
      </c>
      <c r="S99" s="48"/>
      <c r="T99" s="50"/>
      <c r="U99" s="62">
        <v>0</v>
      </c>
      <c r="V99" s="63">
        <v>101</v>
      </c>
      <c r="W99" s="50">
        <v>46</v>
      </c>
      <c r="X99" s="48">
        <v>32</v>
      </c>
      <c r="Y99" s="63">
        <v>147</v>
      </c>
      <c r="Z99" s="63">
        <v>627</v>
      </c>
      <c r="AA99" s="64">
        <v>502.9</v>
      </c>
      <c r="AB99" s="65">
        <v>66.177000000000007</v>
      </c>
      <c r="AC99" s="66"/>
      <c r="AD99" s="67"/>
      <c r="AE99" s="68"/>
      <c r="AF99" s="48">
        <v>111</v>
      </c>
      <c r="AG99" s="63">
        <v>168</v>
      </c>
      <c r="AH99" s="63">
        <v>50</v>
      </c>
      <c r="AI99" s="63">
        <v>79</v>
      </c>
      <c r="AJ99" s="63">
        <v>61</v>
      </c>
      <c r="AK99" s="63">
        <v>209</v>
      </c>
      <c r="AL99" s="63">
        <v>140</v>
      </c>
      <c r="AM99" s="63">
        <v>117</v>
      </c>
      <c r="AN99" s="63">
        <v>348</v>
      </c>
      <c r="AO99" s="63">
        <v>58</v>
      </c>
      <c r="AP99" s="63">
        <v>99</v>
      </c>
      <c r="AQ99" s="63">
        <v>76</v>
      </c>
      <c r="AR99" s="63">
        <v>6</v>
      </c>
      <c r="AS99" s="63">
        <v>1</v>
      </c>
      <c r="AT99" s="63">
        <v>11</v>
      </c>
      <c r="AU99" s="63">
        <v>73</v>
      </c>
      <c r="AV99" s="63">
        <v>227</v>
      </c>
      <c r="AW99" s="50">
        <v>13</v>
      </c>
      <c r="AX99" s="69">
        <v>4840</v>
      </c>
      <c r="AY99" s="69">
        <v>34325</v>
      </c>
      <c r="AZ99" s="54">
        <v>1257</v>
      </c>
      <c r="BA99" s="54">
        <v>3630</v>
      </c>
      <c r="BB99" s="54">
        <v>366</v>
      </c>
      <c r="BC99" s="54">
        <v>787</v>
      </c>
      <c r="BD99" s="54">
        <v>1318</v>
      </c>
      <c r="BE99" s="70">
        <v>1367</v>
      </c>
      <c r="BF99" s="63">
        <v>199</v>
      </c>
      <c r="BG99" s="71">
        <v>2884</v>
      </c>
      <c r="BH99" s="67"/>
      <c r="BI99" s="68"/>
      <c r="BJ99" s="72">
        <v>967</v>
      </c>
      <c r="BK99" s="62"/>
      <c r="BL99" s="70">
        <v>1524</v>
      </c>
      <c r="BM99" s="70">
        <v>472</v>
      </c>
      <c r="BN99" s="70">
        <v>81</v>
      </c>
      <c r="BO99" s="70">
        <v>409</v>
      </c>
      <c r="BP99" s="73">
        <v>5</v>
      </c>
      <c r="BQ99" s="48">
        <v>709</v>
      </c>
      <c r="BR99" s="63">
        <v>299</v>
      </c>
      <c r="BS99" s="50">
        <v>97</v>
      </c>
      <c r="BT99" s="76">
        <v>77.050538525269261</v>
      </c>
      <c r="BU99" s="77">
        <v>22.949461474730736</v>
      </c>
      <c r="BV99" s="78">
        <v>930</v>
      </c>
      <c r="BW99" s="79">
        <v>277</v>
      </c>
      <c r="BX99" s="62">
        <v>434</v>
      </c>
      <c r="BY99" s="63">
        <v>151</v>
      </c>
      <c r="BZ99" s="63">
        <v>152</v>
      </c>
      <c r="CA99" s="63">
        <v>345</v>
      </c>
      <c r="CB99" s="63">
        <v>4</v>
      </c>
      <c r="CC99" s="63">
        <v>104</v>
      </c>
      <c r="CD99" s="63">
        <v>3</v>
      </c>
      <c r="CE99" s="50">
        <v>14</v>
      </c>
    </row>
    <row r="100" spans="2:83" x14ac:dyDescent="0.3">
      <c r="B100" s="46">
        <v>19</v>
      </c>
      <c r="C100" s="47">
        <v>43591</v>
      </c>
      <c r="D100" s="48">
        <v>0</v>
      </c>
      <c r="E100" s="49">
        <v>2896</v>
      </c>
      <c r="F100" s="50">
        <v>289</v>
      </c>
      <c r="G100" s="51">
        <v>2.3321656050955415</v>
      </c>
      <c r="H100" s="52">
        <v>2.760271390878251</v>
      </c>
      <c r="I100" s="53">
        <v>2653</v>
      </c>
      <c r="J100" s="54">
        <v>3140</v>
      </c>
      <c r="K100" s="54">
        <v>7323</v>
      </c>
      <c r="L100" s="55">
        <v>5199.8999999999996</v>
      </c>
      <c r="M100" s="56">
        <v>469.55900000000003</v>
      </c>
      <c r="N100" s="57">
        <v>1098.45</v>
      </c>
      <c r="O100" s="58">
        <v>495.97</v>
      </c>
      <c r="P100" s="59">
        <v>14.765005947940399</v>
      </c>
      <c r="Q100" s="60">
        <v>650.04</v>
      </c>
      <c r="R100" s="61">
        <v>11.265460587040797</v>
      </c>
      <c r="S100" s="48"/>
      <c r="T100" s="50"/>
      <c r="U100" s="62">
        <v>0</v>
      </c>
      <c r="V100" s="63">
        <v>77</v>
      </c>
      <c r="W100" s="50">
        <v>24</v>
      </c>
      <c r="X100" s="48">
        <v>64</v>
      </c>
      <c r="Y100" s="63">
        <v>101</v>
      </c>
      <c r="Z100" s="63">
        <v>292</v>
      </c>
      <c r="AA100" s="64">
        <v>594.5</v>
      </c>
      <c r="AB100" s="65">
        <v>31.803999999999998</v>
      </c>
      <c r="AC100" s="66"/>
      <c r="AD100" s="67"/>
      <c r="AE100" s="68"/>
      <c r="AF100" s="48">
        <v>262</v>
      </c>
      <c r="AG100" s="63">
        <v>531</v>
      </c>
      <c r="AH100" s="63">
        <v>99</v>
      </c>
      <c r="AI100" s="63">
        <v>195</v>
      </c>
      <c r="AJ100" s="63">
        <v>121</v>
      </c>
      <c r="AK100" s="63">
        <v>458</v>
      </c>
      <c r="AL100" s="63">
        <v>313</v>
      </c>
      <c r="AM100" s="63">
        <v>166</v>
      </c>
      <c r="AN100" s="63">
        <v>388</v>
      </c>
      <c r="AO100" s="63">
        <v>94</v>
      </c>
      <c r="AP100" s="63">
        <v>135</v>
      </c>
      <c r="AQ100" s="63">
        <v>64</v>
      </c>
      <c r="AR100" s="63">
        <v>28</v>
      </c>
      <c r="AS100" s="63">
        <v>1</v>
      </c>
      <c r="AT100" s="63">
        <v>37</v>
      </c>
      <c r="AU100" s="63">
        <v>107</v>
      </c>
      <c r="AV100" s="63">
        <v>172</v>
      </c>
      <c r="AW100" s="50">
        <v>10</v>
      </c>
      <c r="AX100" s="69">
        <v>4855</v>
      </c>
      <c r="AY100" s="69">
        <v>27547</v>
      </c>
      <c r="AZ100" s="54">
        <v>935</v>
      </c>
      <c r="BA100" s="54">
        <v>2181</v>
      </c>
      <c r="BB100" s="54">
        <v>461</v>
      </c>
      <c r="BC100" s="54">
        <v>715</v>
      </c>
      <c r="BD100" s="54">
        <v>1799</v>
      </c>
      <c r="BE100" s="70">
        <v>1361</v>
      </c>
      <c r="BF100" s="63">
        <v>449</v>
      </c>
      <c r="BG100" s="71">
        <v>3609</v>
      </c>
      <c r="BH100" s="67"/>
      <c r="BI100" s="68"/>
      <c r="BJ100" s="72">
        <v>1265</v>
      </c>
      <c r="BK100" s="62"/>
      <c r="BL100" s="70">
        <v>1604</v>
      </c>
      <c r="BM100" s="70">
        <v>307</v>
      </c>
      <c r="BN100" s="70">
        <v>122</v>
      </c>
      <c r="BO100" s="70">
        <v>820</v>
      </c>
      <c r="BP100" s="73">
        <v>16</v>
      </c>
      <c r="BQ100" s="48">
        <v>1878</v>
      </c>
      <c r="BR100" s="63">
        <v>398</v>
      </c>
      <c r="BS100" s="50">
        <v>82</v>
      </c>
      <c r="BT100" s="76">
        <v>83.131159969674002</v>
      </c>
      <c r="BU100" s="77">
        <v>16.868840030326005</v>
      </c>
      <c r="BV100" s="78">
        <v>2193</v>
      </c>
      <c r="BW100" s="79">
        <v>445</v>
      </c>
      <c r="BX100" s="62">
        <v>1271</v>
      </c>
      <c r="BY100" s="63">
        <v>236</v>
      </c>
      <c r="BZ100" s="63">
        <v>166</v>
      </c>
      <c r="CA100" s="63">
        <v>686</v>
      </c>
      <c r="CB100" s="63">
        <v>3</v>
      </c>
      <c r="CC100" s="63">
        <v>205</v>
      </c>
      <c r="CD100" s="63">
        <v>13</v>
      </c>
      <c r="CE100" s="50">
        <v>58</v>
      </c>
    </row>
    <row r="101" spans="2:83" x14ac:dyDescent="0.3">
      <c r="B101" s="46">
        <v>19</v>
      </c>
      <c r="C101" s="47">
        <v>43592</v>
      </c>
      <c r="D101" s="48">
        <v>5</v>
      </c>
      <c r="E101" s="49">
        <v>1340</v>
      </c>
      <c r="F101" s="50">
        <v>353</v>
      </c>
      <c r="G101" s="51">
        <v>4.0748218527315911</v>
      </c>
      <c r="H101" s="52">
        <v>6.2155797101449277</v>
      </c>
      <c r="I101" s="53">
        <v>1104</v>
      </c>
      <c r="J101" s="54">
        <v>1684</v>
      </c>
      <c r="K101" s="54">
        <v>6862</v>
      </c>
      <c r="L101" s="55">
        <v>5580.7</v>
      </c>
      <c r="M101" s="56">
        <v>563.26099999999997</v>
      </c>
      <c r="N101" s="57">
        <v>1029.3</v>
      </c>
      <c r="O101" s="58">
        <v>472.92</v>
      </c>
      <c r="P101" s="59">
        <v>14.509853675040176</v>
      </c>
      <c r="Q101" s="60">
        <v>605.59</v>
      </c>
      <c r="R101" s="61">
        <v>11.331098598061393</v>
      </c>
      <c r="S101" s="48"/>
      <c r="T101" s="50"/>
      <c r="U101" s="62">
        <v>0</v>
      </c>
      <c r="V101" s="63">
        <v>44</v>
      </c>
      <c r="W101" s="50">
        <v>44</v>
      </c>
      <c r="X101" s="48">
        <v>44</v>
      </c>
      <c r="Y101" s="63">
        <v>70</v>
      </c>
      <c r="Z101" s="63">
        <v>209</v>
      </c>
      <c r="AA101" s="64">
        <v>304.5</v>
      </c>
      <c r="AB101" s="65">
        <v>40.570999999999998</v>
      </c>
      <c r="AC101" s="66"/>
      <c r="AD101" s="67"/>
      <c r="AE101" s="68"/>
      <c r="AF101" s="48">
        <v>85</v>
      </c>
      <c r="AG101" s="63">
        <v>174</v>
      </c>
      <c r="AH101" s="63">
        <v>37</v>
      </c>
      <c r="AI101" s="63">
        <v>68</v>
      </c>
      <c r="AJ101" s="63">
        <v>51</v>
      </c>
      <c r="AK101" s="63">
        <v>177</v>
      </c>
      <c r="AL101" s="63">
        <v>93</v>
      </c>
      <c r="AM101" s="63">
        <v>70</v>
      </c>
      <c r="AN101" s="63">
        <v>323</v>
      </c>
      <c r="AO101" s="63">
        <v>94</v>
      </c>
      <c r="AP101" s="63">
        <v>95</v>
      </c>
      <c r="AQ101" s="63">
        <v>54</v>
      </c>
      <c r="AR101" s="63">
        <v>7</v>
      </c>
      <c r="AS101" s="63">
        <v>0</v>
      </c>
      <c r="AT101" s="63">
        <v>9</v>
      </c>
      <c r="AU101" s="63">
        <v>129</v>
      </c>
      <c r="AV101" s="63">
        <v>204</v>
      </c>
      <c r="AW101" s="50">
        <v>17</v>
      </c>
      <c r="AX101" s="69">
        <v>32329</v>
      </c>
      <c r="AY101" s="69">
        <v>4222</v>
      </c>
      <c r="AZ101" s="54">
        <v>1076</v>
      </c>
      <c r="BA101" s="54">
        <v>3384</v>
      </c>
      <c r="BB101" s="54">
        <v>177</v>
      </c>
      <c r="BC101" s="54">
        <v>364</v>
      </c>
      <c r="BD101" s="54">
        <v>1051</v>
      </c>
      <c r="BE101" s="70">
        <v>1313</v>
      </c>
      <c r="BF101" s="63">
        <v>243</v>
      </c>
      <c r="BG101" s="71">
        <v>2607</v>
      </c>
      <c r="BH101" s="67"/>
      <c r="BI101" s="68"/>
      <c r="BJ101" s="72">
        <v>1210</v>
      </c>
      <c r="BK101" s="62"/>
      <c r="BL101" s="70">
        <v>1516</v>
      </c>
      <c r="BM101" s="70">
        <v>312</v>
      </c>
      <c r="BN101" s="70">
        <v>158</v>
      </c>
      <c r="BO101" s="70">
        <v>721</v>
      </c>
      <c r="BP101" s="73">
        <v>19</v>
      </c>
      <c r="BQ101" s="48">
        <v>631</v>
      </c>
      <c r="BR101" s="63">
        <v>206</v>
      </c>
      <c r="BS101" s="50">
        <v>102</v>
      </c>
      <c r="BT101" s="76">
        <v>76.788990825688074</v>
      </c>
      <c r="BU101" s="77">
        <v>23.211009174311926</v>
      </c>
      <c r="BV101" s="78">
        <v>837</v>
      </c>
      <c r="BW101" s="79">
        <v>253</v>
      </c>
      <c r="BX101" s="62">
        <v>398</v>
      </c>
      <c r="BY101" s="63">
        <v>127</v>
      </c>
      <c r="BZ101" s="63">
        <v>134</v>
      </c>
      <c r="CA101" s="63">
        <v>312</v>
      </c>
      <c r="CB101" s="63">
        <v>6</v>
      </c>
      <c r="CC101" s="63">
        <v>106</v>
      </c>
      <c r="CD101" s="63">
        <v>4</v>
      </c>
      <c r="CE101" s="50">
        <v>3</v>
      </c>
    </row>
    <row r="102" spans="2:83" x14ac:dyDescent="0.3">
      <c r="B102" s="46">
        <v>19</v>
      </c>
      <c r="C102" s="47">
        <v>43593</v>
      </c>
      <c r="D102" s="48">
        <v>6</v>
      </c>
      <c r="E102" s="49">
        <v>1730</v>
      </c>
      <c r="F102" s="50">
        <v>379</v>
      </c>
      <c r="G102" s="51">
        <v>4.2555925749643029</v>
      </c>
      <c r="H102" s="52">
        <v>6.2743859649122804</v>
      </c>
      <c r="I102" s="53">
        <v>1425</v>
      </c>
      <c r="J102" s="54">
        <v>2101</v>
      </c>
      <c r="K102" s="54">
        <v>8941</v>
      </c>
      <c r="L102" s="55">
        <v>6958</v>
      </c>
      <c r="M102" s="56">
        <v>640.17600000000004</v>
      </c>
      <c r="N102" s="57">
        <v>1341.15</v>
      </c>
      <c r="O102" s="58">
        <v>477.10999999999996</v>
      </c>
      <c r="P102" s="59">
        <v>18.739913227557587</v>
      </c>
      <c r="Q102" s="60">
        <v>612.41000000000008</v>
      </c>
      <c r="R102" s="61">
        <v>14.599696281902645</v>
      </c>
      <c r="S102" s="48"/>
      <c r="T102" s="50"/>
      <c r="U102" s="62">
        <v>0</v>
      </c>
      <c r="V102" s="63">
        <v>74</v>
      </c>
      <c r="W102" s="50">
        <v>49</v>
      </c>
      <c r="X102" s="48">
        <v>48</v>
      </c>
      <c r="Y102" s="63">
        <v>133</v>
      </c>
      <c r="Z102" s="63">
        <v>217</v>
      </c>
      <c r="AA102" s="64">
        <v>655.1</v>
      </c>
      <c r="AB102" s="65">
        <v>67.87</v>
      </c>
      <c r="AC102" s="66"/>
      <c r="AD102" s="67"/>
      <c r="AE102" s="68"/>
      <c r="AF102" s="48">
        <v>141</v>
      </c>
      <c r="AG102" s="63">
        <v>275</v>
      </c>
      <c r="AH102" s="63">
        <v>46</v>
      </c>
      <c r="AI102" s="63">
        <v>94</v>
      </c>
      <c r="AJ102" s="63">
        <v>53</v>
      </c>
      <c r="AK102" s="63">
        <v>212</v>
      </c>
      <c r="AL102" s="63">
        <v>124</v>
      </c>
      <c r="AM102" s="63">
        <v>110</v>
      </c>
      <c r="AN102" s="63">
        <v>393</v>
      </c>
      <c r="AO102" s="63">
        <v>81</v>
      </c>
      <c r="AP102" s="63">
        <v>103</v>
      </c>
      <c r="AQ102" s="63">
        <v>49</v>
      </c>
      <c r="AR102" s="63">
        <v>9</v>
      </c>
      <c r="AS102" s="63">
        <v>1</v>
      </c>
      <c r="AT102" s="63">
        <v>10</v>
      </c>
      <c r="AU102" s="63">
        <v>120</v>
      </c>
      <c r="AV102" s="63">
        <v>222</v>
      </c>
      <c r="AW102" s="50">
        <v>26</v>
      </c>
      <c r="AX102" s="69">
        <v>5005</v>
      </c>
      <c r="AY102" s="69">
        <v>34350</v>
      </c>
      <c r="AZ102" s="54">
        <v>673</v>
      </c>
      <c r="BA102" s="54">
        <v>1984</v>
      </c>
      <c r="BB102" s="54">
        <v>287</v>
      </c>
      <c r="BC102" s="54">
        <v>564</v>
      </c>
      <c r="BD102" s="54">
        <v>1301</v>
      </c>
      <c r="BE102" s="70">
        <v>1534</v>
      </c>
      <c r="BF102" s="63">
        <v>235</v>
      </c>
      <c r="BG102" s="71">
        <v>3070</v>
      </c>
      <c r="BH102" s="67"/>
      <c r="BI102" s="68"/>
      <c r="BJ102" s="72">
        <v>1506</v>
      </c>
      <c r="BK102" s="62"/>
      <c r="BL102" s="70">
        <v>1944</v>
      </c>
      <c r="BM102" s="70">
        <v>270</v>
      </c>
      <c r="BN102" s="70">
        <v>227</v>
      </c>
      <c r="BO102" s="70">
        <v>1002</v>
      </c>
      <c r="BP102" s="73">
        <v>7</v>
      </c>
      <c r="BQ102" s="48">
        <v>829</v>
      </c>
      <c r="BR102" s="63">
        <v>302</v>
      </c>
      <c r="BS102" s="50">
        <v>129</v>
      </c>
      <c r="BT102" s="76">
        <v>77.234042553191486</v>
      </c>
      <c r="BU102" s="77">
        <v>22.76595744680851</v>
      </c>
      <c r="BV102" s="78">
        <v>1089</v>
      </c>
      <c r="BW102" s="79">
        <v>321</v>
      </c>
      <c r="BX102" s="62">
        <v>686</v>
      </c>
      <c r="BY102" s="63">
        <v>167</v>
      </c>
      <c r="BZ102" s="63">
        <v>168</v>
      </c>
      <c r="CA102" s="63">
        <v>236</v>
      </c>
      <c r="CB102" s="63">
        <v>11</v>
      </c>
      <c r="CC102" s="63">
        <v>138</v>
      </c>
      <c r="CD102" s="63">
        <v>4</v>
      </c>
      <c r="CE102" s="50">
        <v>0</v>
      </c>
    </row>
    <row r="103" spans="2:83" x14ac:dyDescent="0.3">
      <c r="B103" s="46">
        <v>19</v>
      </c>
      <c r="C103" s="47">
        <v>43594</v>
      </c>
      <c r="D103" s="48">
        <v>0</v>
      </c>
      <c r="E103" s="49">
        <v>1176</v>
      </c>
      <c r="F103" s="50">
        <v>349</v>
      </c>
      <c r="G103" s="51">
        <v>4.3836088154269977</v>
      </c>
      <c r="H103" s="52">
        <v>6.4423076923076925</v>
      </c>
      <c r="I103" s="53">
        <v>988</v>
      </c>
      <c r="J103" s="54">
        <v>1452</v>
      </c>
      <c r="K103" s="54">
        <v>6365</v>
      </c>
      <c r="L103" s="55">
        <v>6283.8</v>
      </c>
      <c r="M103" s="56">
        <v>452.94200000000001</v>
      </c>
      <c r="N103" s="57">
        <v>954.75</v>
      </c>
      <c r="O103" s="58">
        <v>495.41999999999996</v>
      </c>
      <c r="P103" s="59">
        <v>12.847684792701143</v>
      </c>
      <c r="Q103" s="60">
        <v>632.2299999999999</v>
      </c>
      <c r="R103" s="61">
        <v>10.067538712177532</v>
      </c>
      <c r="S103" s="48"/>
      <c r="T103" s="50"/>
      <c r="U103" s="62">
        <v>0</v>
      </c>
      <c r="V103" s="63">
        <v>83</v>
      </c>
      <c r="W103" s="50">
        <v>19</v>
      </c>
      <c r="X103" s="48">
        <v>20</v>
      </c>
      <c r="Y103" s="63">
        <v>76</v>
      </c>
      <c r="Z103" s="63">
        <v>93</v>
      </c>
      <c r="AA103" s="64">
        <v>422.6</v>
      </c>
      <c r="AB103" s="65">
        <v>79.77</v>
      </c>
      <c r="AC103" s="66"/>
      <c r="AD103" s="67"/>
      <c r="AE103" s="68"/>
      <c r="AF103" s="48">
        <v>94</v>
      </c>
      <c r="AG103" s="63">
        <v>197</v>
      </c>
      <c r="AH103" s="63">
        <v>26</v>
      </c>
      <c r="AI103" s="63">
        <v>46</v>
      </c>
      <c r="AJ103" s="63">
        <v>33</v>
      </c>
      <c r="AK103" s="63">
        <v>151</v>
      </c>
      <c r="AL103" s="63">
        <v>78</v>
      </c>
      <c r="AM103" s="63">
        <v>81</v>
      </c>
      <c r="AN103" s="63">
        <v>270</v>
      </c>
      <c r="AO103" s="63">
        <v>94</v>
      </c>
      <c r="AP103" s="63">
        <v>36</v>
      </c>
      <c r="AQ103" s="63">
        <v>44</v>
      </c>
      <c r="AR103" s="63">
        <v>15</v>
      </c>
      <c r="AS103" s="63">
        <v>1</v>
      </c>
      <c r="AT103" s="63">
        <v>9</v>
      </c>
      <c r="AU103" s="63">
        <v>64</v>
      </c>
      <c r="AV103" s="63">
        <v>266</v>
      </c>
      <c r="AW103" s="50">
        <v>16</v>
      </c>
      <c r="AX103" s="69">
        <v>5046</v>
      </c>
      <c r="AY103" s="69">
        <v>36770</v>
      </c>
      <c r="AZ103" s="54">
        <v>948</v>
      </c>
      <c r="BA103" s="54">
        <v>6480</v>
      </c>
      <c r="BB103" s="54">
        <v>354</v>
      </c>
      <c r="BC103" s="54">
        <v>819</v>
      </c>
      <c r="BD103" s="54">
        <v>1281</v>
      </c>
      <c r="BE103" s="70">
        <v>1229</v>
      </c>
      <c r="BF103" s="63">
        <v>248</v>
      </c>
      <c r="BG103" s="71">
        <v>2758</v>
      </c>
      <c r="BH103" s="67"/>
      <c r="BI103" s="68"/>
      <c r="BJ103" s="72">
        <v>1910</v>
      </c>
      <c r="BK103" s="62"/>
      <c r="BL103" s="70">
        <v>2432</v>
      </c>
      <c r="BM103" s="70">
        <v>720</v>
      </c>
      <c r="BN103" s="70">
        <v>189</v>
      </c>
      <c r="BO103" s="70">
        <v>987</v>
      </c>
      <c r="BP103" s="73">
        <v>14</v>
      </c>
      <c r="BQ103" s="48">
        <v>659</v>
      </c>
      <c r="BR103" s="63">
        <v>149</v>
      </c>
      <c r="BS103" s="50">
        <v>86</v>
      </c>
      <c r="BT103" s="76">
        <v>79.335410176531667</v>
      </c>
      <c r="BU103" s="77">
        <v>20.664589823468329</v>
      </c>
      <c r="BV103" s="78">
        <v>764</v>
      </c>
      <c r="BW103" s="79">
        <v>199</v>
      </c>
      <c r="BX103" s="62">
        <v>474</v>
      </c>
      <c r="BY103" s="63">
        <v>45</v>
      </c>
      <c r="BZ103" s="63">
        <v>84</v>
      </c>
      <c r="CA103" s="63">
        <v>245</v>
      </c>
      <c r="CB103" s="63">
        <v>6</v>
      </c>
      <c r="CC103" s="63">
        <v>105</v>
      </c>
      <c r="CD103" s="63">
        <v>4</v>
      </c>
      <c r="CE103" s="50">
        <v>0</v>
      </c>
    </row>
    <row r="104" spans="2:83" x14ac:dyDescent="0.3">
      <c r="B104" s="46">
        <v>19</v>
      </c>
      <c r="C104" s="47">
        <v>43595</v>
      </c>
      <c r="D104" s="48">
        <v>0</v>
      </c>
      <c r="E104" s="49">
        <v>1755</v>
      </c>
      <c r="F104" s="50">
        <v>466</v>
      </c>
      <c r="G104" s="51">
        <v>3.2917225950782996</v>
      </c>
      <c r="H104" s="52">
        <v>5.904494382022472</v>
      </c>
      <c r="I104" s="53">
        <v>1246</v>
      </c>
      <c r="J104" s="54">
        <v>2235</v>
      </c>
      <c r="K104" s="54">
        <v>7357</v>
      </c>
      <c r="L104" s="55">
        <v>7577.3</v>
      </c>
      <c r="M104" s="56">
        <v>803.72500000000002</v>
      </c>
      <c r="N104" s="57">
        <v>1103.55</v>
      </c>
      <c r="O104" s="58">
        <v>499.29999999999995</v>
      </c>
      <c r="P104" s="59">
        <v>14.734628479871821</v>
      </c>
      <c r="Q104" s="60">
        <v>621.82999999999993</v>
      </c>
      <c r="R104" s="61">
        <v>11.831207886399822</v>
      </c>
      <c r="S104" s="48"/>
      <c r="T104" s="50"/>
      <c r="U104" s="62">
        <v>0</v>
      </c>
      <c r="V104" s="63">
        <v>98</v>
      </c>
      <c r="W104" s="50">
        <v>71</v>
      </c>
      <c r="X104" s="48">
        <v>74</v>
      </c>
      <c r="Y104" s="63">
        <v>206</v>
      </c>
      <c r="Z104" s="63">
        <v>484</v>
      </c>
      <c r="AA104" s="64">
        <v>913.7</v>
      </c>
      <c r="AB104" s="65">
        <v>154.97499999999999</v>
      </c>
      <c r="AC104" s="66"/>
      <c r="AD104" s="67"/>
      <c r="AE104" s="68"/>
      <c r="AF104" s="48">
        <v>90</v>
      </c>
      <c r="AG104" s="63">
        <v>173</v>
      </c>
      <c r="AH104" s="63">
        <v>41</v>
      </c>
      <c r="AI104" s="63">
        <v>65</v>
      </c>
      <c r="AJ104" s="63">
        <v>51</v>
      </c>
      <c r="AK104" s="63">
        <v>173</v>
      </c>
      <c r="AL104" s="63">
        <v>122</v>
      </c>
      <c r="AM104" s="63">
        <v>119</v>
      </c>
      <c r="AN104" s="63">
        <v>427</v>
      </c>
      <c r="AO104" s="63">
        <v>272</v>
      </c>
      <c r="AP104" s="63">
        <v>66</v>
      </c>
      <c r="AQ104" s="63">
        <v>131</v>
      </c>
      <c r="AR104" s="63">
        <v>12</v>
      </c>
      <c r="AS104" s="63">
        <v>0</v>
      </c>
      <c r="AT104" s="63">
        <v>11</v>
      </c>
      <c r="AU104" s="63">
        <v>123</v>
      </c>
      <c r="AV104" s="63">
        <v>324</v>
      </c>
      <c r="AW104" s="50">
        <v>14</v>
      </c>
      <c r="AX104" s="69">
        <v>6153</v>
      </c>
      <c r="AY104" s="69">
        <v>30407</v>
      </c>
      <c r="AZ104" s="54">
        <v>218</v>
      </c>
      <c r="BA104" s="54">
        <v>610</v>
      </c>
      <c r="BB104" s="54">
        <v>386</v>
      </c>
      <c r="BC104" s="54">
        <v>733</v>
      </c>
      <c r="BD104" s="54">
        <v>1249</v>
      </c>
      <c r="BE104" s="70">
        <v>654</v>
      </c>
      <c r="BF104" s="63">
        <v>105</v>
      </c>
      <c r="BG104" s="71">
        <v>2008</v>
      </c>
      <c r="BH104" s="67"/>
      <c r="BI104" s="68"/>
      <c r="BJ104" s="72">
        <v>1699</v>
      </c>
      <c r="BK104" s="62"/>
      <c r="BL104" s="70">
        <v>1874</v>
      </c>
      <c r="BM104" s="70">
        <v>655</v>
      </c>
      <c r="BN104" s="70">
        <v>175</v>
      </c>
      <c r="BO104" s="70">
        <v>854</v>
      </c>
      <c r="BP104" s="73">
        <v>15</v>
      </c>
      <c r="BQ104" s="48">
        <v>645</v>
      </c>
      <c r="BR104" s="63">
        <v>342</v>
      </c>
      <c r="BS104" s="50">
        <v>72</v>
      </c>
      <c r="BT104" s="76">
        <v>71.16013071895425</v>
      </c>
      <c r="BU104" s="77">
        <v>28.83986928104575</v>
      </c>
      <c r="BV104" s="78">
        <v>871</v>
      </c>
      <c r="BW104" s="79">
        <v>353</v>
      </c>
      <c r="BX104" s="62">
        <v>440</v>
      </c>
      <c r="BY104" s="63">
        <v>127</v>
      </c>
      <c r="BZ104" s="63">
        <v>216</v>
      </c>
      <c r="CA104" s="63">
        <v>304</v>
      </c>
      <c r="CB104" s="63">
        <v>10</v>
      </c>
      <c r="CC104" s="63">
        <v>115</v>
      </c>
      <c r="CD104" s="63">
        <v>12</v>
      </c>
      <c r="CE104" s="50">
        <v>0</v>
      </c>
    </row>
    <row r="105" spans="2:83" x14ac:dyDescent="0.3">
      <c r="B105" s="46">
        <v>20</v>
      </c>
      <c r="C105" s="47">
        <v>43598</v>
      </c>
      <c r="D105" s="48">
        <v>0</v>
      </c>
      <c r="E105" s="49">
        <v>3094</v>
      </c>
      <c r="F105" s="50">
        <v>278</v>
      </c>
      <c r="G105" s="51">
        <v>3.0041791044776121</v>
      </c>
      <c r="H105" s="52">
        <v>4.0679062247372677</v>
      </c>
      <c r="I105" s="53">
        <v>2474</v>
      </c>
      <c r="J105" s="54">
        <v>3350</v>
      </c>
      <c r="K105" s="54">
        <v>10064</v>
      </c>
      <c r="L105" s="55">
        <v>7121.1</v>
      </c>
      <c r="M105" s="56">
        <v>512.01</v>
      </c>
      <c r="N105" s="57">
        <v>1509.6</v>
      </c>
      <c r="O105" s="58">
        <v>518</v>
      </c>
      <c r="P105" s="59">
        <v>19.428571428571427</v>
      </c>
      <c r="Q105" s="60">
        <v>672.86999999999989</v>
      </c>
      <c r="R105" s="61">
        <v>14.956826727302452</v>
      </c>
      <c r="S105" s="48"/>
      <c r="T105" s="50"/>
      <c r="U105" s="62">
        <v>0</v>
      </c>
      <c r="V105" s="63">
        <v>112</v>
      </c>
      <c r="W105" s="50">
        <v>18</v>
      </c>
      <c r="X105" s="48">
        <v>43</v>
      </c>
      <c r="Y105" s="63">
        <v>129</v>
      </c>
      <c r="Z105" s="63">
        <v>231</v>
      </c>
      <c r="AA105" s="64">
        <v>345.6</v>
      </c>
      <c r="AB105" s="65">
        <v>26.724</v>
      </c>
      <c r="AC105" s="66"/>
      <c r="AD105" s="67"/>
      <c r="AE105" s="68"/>
      <c r="AF105" s="48">
        <v>277</v>
      </c>
      <c r="AG105" s="63">
        <v>490</v>
      </c>
      <c r="AH105" s="63">
        <v>76</v>
      </c>
      <c r="AI105" s="63">
        <v>125</v>
      </c>
      <c r="AJ105" s="63">
        <v>128</v>
      </c>
      <c r="AK105" s="63">
        <v>421</v>
      </c>
      <c r="AL105" s="63">
        <v>227</v>
      </c>
      <c r="AM105" s="63">
        <v>179</v>
      </c>
      <c r="AN105" s="63">
        <v>593</v>
      </c>
      <c r="AO105" s="63">
        <v>122</v>
      </c>
      <c r="AP105" s="63">
        <v>147</v>
      </c>
      <c r="AQ105" s="63">
        <v>218</v>
      </c>
      <c r="AR105" s="63">
        <v>6</v>
      </c>
      <c r="AS105" s="63">
        <v>5</v>
      </c>
      <c r="AT105" s="63">
        <v>28</v>
      </c>
      <c r="AU105" s="63">
        <v>73</v>
      </c>
      <c r="AV105" s="63">
        <v>189</v>
      </c>
      <c r="AW105" s="50">
        <v>15</v>
      </c>
      <c r="AX105" s="69">
        <v>5560</v>
      </c>
      <c r="AY105" s="69">
        <v>29654</v>
      </c>
      <c r="AZ105" s="54">
        <v>1026</v>
      </c>
      <c r="BA105" s="54">
        <v>2597</v>
      </c>
      <c r="BB105" s="54">
        <v>364</v>
      </c>
      <c r="BC105" s="54">
        <v>552</v>
      </c>
      <c r="BD105" s="54">
        <v>1779</v>
      </c>
      <c r="BE105" s="70">
        <v>1211</v>
      </c>
      <c r="BF105" s="63">
        <v>521</v>
      </c>
      <c r="BG105" s="71">
        <v>3511</v>
      </c>
      <c r="BH105" s="67"/>
      <c r="BI105" s="68"/>
      <c r="BJ105" s="72">
        <v>1530</v>
      </c>
      <c r="BK105" s="62"/>
      <c r="BL105" s="70">
        <v>2846</v>
      </c>
      <c r="BM105" s="70">
        <v>357</v>
      </c>
      <c r="BN105" s="70">
        <v>42</v>
      </c>
      <c r="BO105" s="70">
        <v>1123</v>
      </c>
      <c r="BP105" s="73">
        <v>8</v>
      </c>
      <c r="BQ105" s="48">
        <v>1552</v>
      </c>
      <c r="BR105" s="63">
        <v>482</v>
      </c>
      <c r="BS105" s="50">
        <v>149</v>
      </c>
      <c r="BT105" s="76">
        <v>79.967360261117918</v>
      </c>
      <c r="BU105" s="77">
        <v>20.032639738882089</v>
      </c>
      <c r="BV105" s="78">
        <v>1960</v>
      </c>
      <c r="BW105" s="79">
        <v>491</v>
      </c>
      <c r="BX105" s="62">
        <v>1186</v>
      </c>
      <c r="BY105" s="63">
        <v>258</v>
      </c>
      <c r="BZ105" s="63">
        <v>205</v>
      </c>
      <c r="CA105" s="63">
        <v>516</v>
      </c>
      <c r="CB105" s="63">
        <v>13</v>
      </c>
      <c r="CC105" s="63">
        <v>221</v>
      </c>
      <c r="CD105" s="63">
        <v>4</v>
      </c>
      <c r="CE105" s="50">
        <v>48</v>
      </c>
    </row>
    <row r="106" spans="2:83" x14ac:dyDescent="0.3">
      <c r="B106" s="46">
        <v>20</v>
      </c>
      <c r="C106" s="47">
        <v>43599</v>
      </c>
      <c r="D106" s="48">
        <v>6</v>
      </c>
      <c r="E106" s="49">
        <v>1667</v>
      </c>
      <c r="F106" s="50">
        <v>322</v>
      </c>
      <c r="G106" s="51">
        <v>4.3142131979695435</v>
      </c>
      <c r="H106" s="52">
        <v>6.5226400613967765</v>
      </c>
      <c r="I106" s="53">
        <v>1303</v>
      </c>
      <c r="J106" s="54">
        <v>1970</v>
      </c>
      <c r="K106" s="54">
        <v>8499</v>
      </c>
      <c r="L106" s="55">
        <v>4700.3999999999996</v>
      </c>
      <c r="M106" s="56">
        <v>521.23199999999997</v>
      </c>
      <c r="N106" s="57">
        <v>1274.8500000000001</v>
      </c>
      <c r="O106" s="58">
        <v>555.45000000000005</v>
      </c>
      <c r="P106" s="59">
        <v>15.301107210369969</v>
      </c>
      <c r="Q106" s="60">
        <v>713.41</v>
      </c>
      <c r="R106" s="61">
        <v>11.913205590053407</v>
      </c>
      <c r="S106" s="48"/>
      <c r="T106" s="50"/>
      <c r="U106" s="62">
        <v>0</v>
      </c>
      <c r="V106" s="63">
        <v>112</v>
      </c>
      <c r="W106" s="50">
        <v>33</v>
      </c>
      <c r="X106" s="48">
        <v>47</v>
      </c>
      <c r="Y106" s="63">
        <v>147</v>
      </c>
      <c r="Z106" s="63">
        <v>505</v>
      </c>
      <c r="AA106" s="64">
        <v>718.9</v>
      </c>
      <c r="AB106" s="65">
        <v>50.055999999999997</v>
      </c>
      <c r="AC106" s="66"/>
      <c r="AD106" s="67"/>
      <c r="AE106" s="68"/>
      <c r="AF106" s="48">
        <v>139</v>
      </c>
      <c r="AG106" s="63">
        <v>219</v>
      </c>
      <c r="AH106" s="63">
        <v>49</v>
      </c>
      <c r="AI106" s="63">
        <v>68</v>
      </c>
      <c r="AJ106" s="63">
        <v>75</v>
      </c>
      <c r="AK106" s="63">
        <v>159</v>
      </c>
      <c r="AL106" s="63">
        <v>141</v>
      </c>
      <c r="AM106" s="63">
        <v>70</v>
      </c>
      <c r="AN106" s="63">
        <v>408</v>
      </c>
      <c r="AO106" s="63">
        <v>97</v>
      </c>
      <c r="AP106" s="63">
        <v>164</v>
      </c>
      <c r="AQ106" s="63">
        <v>64</v>
      </c>
      <c r="AR106" s="63">
        <v>1</v>
      </c>
      <c r="AS106" s="63">
        <v>4</v>
      </c>
      <c r="AT106" s="63">
        <v>4</v>
      </c>
      <c r="AU106" s="63">
        <v>89</v>
      </c>
      <c r="AV106" s="63">
        <v>209</v>
      </c>
      <c r="AW106" s="50">
        <v>23</v>
      </c>
      <c r="AX106" s="69">
        <v>5454</v>
      </c>
      <c r="AY106" s="69">
        <v>30768</v>
      </c>
      <c r="AZ106" s="54">
        <v>763</v>
      </c>
      <c r="BA106" s="54">
        <v>2887</v>
      </c>
      <c r="BB106" s="54">
        <v>160</v>
      </c>
      <c r="BC106" s="54">
        <v>384</v>
      </c>
      <c r="BD106" s="54">
        <v>1497</v>
      </c>
      <c r="BE106" s="70">
        <v>1110</v>
      </c>
      <c r="BF106" s="63">
        <v>191</v>
      </c>
      <c r="BG106" s="71">
        <v>2798</v>
      </c>
      <c r="BH106" s="67"/>
      <c r="BI106" s="68"/>
      <c r="BJ106" s="72">
        <v>1425</v>
      </c>
      <c r="BK106" s="62"/>
      <c r="BL106" s="70">
        <v>2923</v>
      </c>
      <c r="BM106" s="70">
        <v>255</v>
      </c>
      <c r="BN106" s="70">
        <v>107</v>
      </c>
      <c r="BO106" s="70">
        <v>1043</v>
      </c>
      <c r="BP106" s="73">
        <v>20</v>
      </c>
      <c r="BQ106" s="48">
        <v>714</v>
      </c>
      <c r="BR106" s="63">
        <v>323</v>
      </c>
      <c r="BS106" s="50">
        <v>100</v>
      </c>
      <c r="BT106" s="76">
        <v>74.728682170542641</v>
      </c>
      <c r="BU106" s="77">
        <v>25.271317829457363</v>
      </c>
      <c r="BV106" s="78">
        <v>964</v>
      </c>
      <c r="BW106" s="79">
        <v>326</v>
      </c>
      <c r="BX106" s="62">
        <v>521</v>
      </c>
      <c r="BY106" s="63">
        <v>175</v>
      </c>
      <c r="BZ106" s="63">
        <v>185</v>
      </c>
      <c r="CA106" s="63">
        <v>268</v>
      </c>
      <c r="CB106" s="63">
        <v>10</v>
      </c>
      <c r="CC106" s="63">
        <v>127</v>
      </c>
      <c r="CD106" s="63">
        <v>4</v>
      </c>
      <c r="CE106" s="50">
        <v>0</v>
      </c>
    </row>
    <row r="107" spans="2:83" x14ac:dyDescent="0.3">
      <c r="B107" s="46">
        <v>20</v>
      </c>
      <c r="C107" s="47">
        <v>43600</v>
      </c>
      <c r="D107" s="48">
        <v>0</v>
      </c>
      <c r="E107" s="49">
        <v>1362</v>
      </c>
      <c r="F107" s="50">
        <v>341</v>
      </c>
      <c r="G107" s="51">
        <v>4.480836236933798</v>
      </c>
      <c r="H107" s="52">
        <v>7.0659340659340657</v>
      </c>
      <c r="I107" s="53">
        <v>1092</v>
      </c>
      <c r="J107" s="54">
        <v>1722</v>
      </c>
      <c r="K107" s="54">
        <v>7716</v>
      </c>
      <c r="L107" s="55">
        <v>7575.5</v>
      </c>
      <c r="M107" s="56">
        <v>576.22900000000004</v>
      </c>
      <c r="N107" s="57">
        <v>1157.4000000000001</v>
      </c>
      <c r="O107" s="58">
        <v>548.04999999999995</v>
      </c>
      <c r="P107" s="59">
        <v>14.079007389836695</v>
      </c>
      <c r="Q107" s="60">
        <v>709.78</v>
      </c>
      <c r="R107" s="61">
        <v>10.870974104652147</v>
      </c>
      <c r="S107" s="48"/>
      <c r="T107" s="50"/>
      <c r="U107" s="62">
        <v>0</v>
      </c>
      <c r="V107" s="63">
        <v>73</v>
      </c>
      <c r="W107" s="50">
        <v>33</v>
      </c>
      <c r="X107" s="48">
        <v>44</v>
      </c>
      <c r="Y107" s="63">
        <v>101</v>
      </c>
      <c r="Z107" s="63">
        <v>225</v>
      </c>
      <c r="AA107" s="64">
        <v>344</v>
      </c>
      <c r="AB107" s="65">
        <v>40.89</v>
      </c>
      <c r="AC107" s="66"/>
      <c r="AD107" s="67"/>
      <c r="AE107" s="68"/>
      <c r="AF107" s="48">
        <v>102</v>
      </c>
      <c r="AG107" s="63">
        <v>199</v>
      </c>
      <c r="AH107" s="63">
        <v>40</v>
      </c>
      <c r="AI107" s="63">
        <v>46</v>
      </c>
      <c r="AJ107" s="63">
        <v>51</v>
      </c>
      <c r="AK107" s="63">
        <v>166</v>
      </c>
      <c r="AL107" s="63">
        <v>93</v>
      </c>
      <c r="AM107" s="63">
        <v>65</v>
      </c>
      <c r="AN107" s="63">
        <v>303</v>
      </c>
      <c r="AO107" s="63">
        <v>95</v>
      </c>
      <c r="AP107" s="63">
        <v>131</v>
      </c>
      <c r="AQ107" s="63">
        <v>50</v>
      </c>
      <c r="AR107" s="63">
        <v>1</v>
      </c>
      <c r="AS107" s="63">
        <v>0</v>
      </c>
      <c r="AT107" s="63">
        <v>12</v>
      </c>
      <c r="AU107" s="63">
        <v>135</v>
      </c>
      <c r="AV107" s="63">
        <v>193</v>
      </c>
      <c r="AW107" s="50">
        <v>16</v>
      </c>
      <c r="AX107" s="69">
        <v>6051</v>
      </c>
      <c r="AY107" s="69">
        <v>34665</v>
      </c>
      <c r="AZ107" s="54">
        <v>666</v>
      </c>
      <c r="BA107" s="54">
        <v>1710</v>
      </c>
      <c r="BB107" s="54">
        <v>852</v>
      </c>
      <c r="BC107" s="54">
        <v>1996</v>
      </c>
      <c r="BD107" s="54">
        <v>1250</v>
      </c>
      <c r="BE107" s="70">
        <v>1096</v>
      </c>
      <c r="BF107" s="63">
        <v>432</v>
      </c>
      <c r="BG107" s="71">
        <v>2778</v>
      </c>
      <c r="BH107" s="67"/>
      <c r="BI107" s="68"/>
      <c r="BJ107" s="72">
        <v>1532</v>
      </c>
      <c r="BK107" s="62"/>
      <c r="BL107" s="70">
        <v>2793</v>
      </c>
      <c r="BM107" s="70">
        <v>270</v>
      </c>
      <c r="BN107" s="70">
        <v>155</v>
      </c>
      <c r="BO107" s="70">
        <v>1092</v>
      </c>
      <c r="BP107" s="73">
        <v>15</v>
      </c>
      <c r="BQ107" s="48">
        <v>634</v>
      </c>
      <c r="BR107" s="63">
        <v>241</v>
      </c>
      <c r="BS107" s="50">
        <v>93</v>
      </c>
      <c r="BT107" s="76">
        <v>74.115456238361261</v>
      </c>
      <c r="BU107" s="77">
        <v>25.884543761638735</v>
      </c>
      <c r="BV107" s="78">
        <v>796</v>
      </c>
      <c r="BW107" s="79">
        <v>278</v>
      </c>
      <c r="BX107" s="62">
        <v>464</v>
      </c>
      <c r="BY107" s="63">
        <v>77</v>
      </c>
      <c r="BZ107" s="63">
        <v>193</v>
      </c>
      <c r="CA107" s="63">
        <v>255</v>
      </c>
      <c r="CB107" s="63">
        <v>3</v>
      </c>
      <c r="CC107" s="63">
        <v>75</v>
      </c>
      <c r="CD107" s="63">
        <v>7</v>
      </c>
      <c r="CE107" s="50">
        <v>0</v>
      </c>
    </row>
    <row r="108" spans="2:83" x14ac:dyDescent="0.3">
      <c r="B108" s="46">
        <v>20</v>
      </c>
      <c r="C108" s="47">
        <v>43601</v>
      </c>
      <c r="D108" s="48">
        <v>2</v>
      </c>
      <c r="E108" s="49">
        <v>1514</v>
      </c>
      <c r="F108" s="50">
        <v>350</v>
      </c>
      <c r="G108" s="51">
        <v>5.1329670329670334</v>
      </c>
      <c r="H108" s="52">
        <v>8.0953206239168107</v>
      </c>
      <c r="I108" s="53">
        <v>1154</v>
      </c>
      <c r="J108" s="54">
        <v>1820</v>
      </c>
      <c r="K108" s="54">
        <v>9342</v>
      </c>
      <c r="L108" s="55">
        <v>6155</v>
      </c>
      <c r="M108" s="56">
        <v>522.04200000000003</v>
      </c>
      <c r="N108" s="57">
        <v>1401.3000000000002</v>
      </c>
      <c r="O108" s="58">
        <v>517.06000000000006</v>
      </c>
      <c r="P108" s="59">
        <v>18.067535682512666</v>
      </c>
      <c r="Q108" s="60">
        <v>656.5</v>
      </c>
      <c r="R108" s="61">
        <v>14.23000761614623</v>
      </c>
      <c r="S108" s="48"/>
      <c r="T108" s="50"/>
      <c r="U108" s="62">
        <v>0</v>
      </c>
      <c r="V108" s="63">
        <v>14</v>
      </c>
      <c r="W108" s="50">
        <v>43</v>
      </c>
      <c r="X108" s="48">
        <v>11</v>
      </c>
      <c r="Y108" s="63">
        <v>52</v>
      </c>
      <c r="Z108" s="63">
        <v>149</v>
      </c>
      <c r="AA108" s="64">
        <v>312.89999999999998</v>
      </c>
      <c r="AB108" s="65">
        <v>50.14</v>
      </c>
      <c r="AC108" s="66"/>
      <c r="AD108" s="67"/>
      <c r="AE108" s="68"/>
      <c r="AF108" s="48">
        <v>97</v>
      </c>
      <c r="AG108" s="63">
        <v>200</v>
      </c>
      <c r="AH108" s="63">
        <v>34</v>
      </c>
      <c r="AI108" s="63">
        <v>50</v>
      </c>
      <c r="AJ108" s="63">
        <v>61</v>
      </c>
      <c r="AK108" s="63">
        <v>165</v>
      </c>
      <c r="AL108" s="63">
        <v>97</v>
      </c>
      <c r="AM108" s="63">
        <v>93</v>
      </c>
      <c r="AN108" s="63">
        <v>404</v>
      </c>
      <c r="AO108" s="63">
        <v>67</v>
      </c>
      <c r="AP108" s="63">
        <v>140</v>
      </c>
      <c r="AQ108" s="63">
        <v>67</v>
      </c>
      <c r="AR108" s="63">
        <v>5</v>
      </c>
      <c r="AS108" s="63">
        <v>1</v>
      </c>
      <c r="AT108" s="63">
        <v>11</v>
      </c>
      <c r="AU108" s="63">
        <v>104</v>
      </c>
      <c r="AV108" s="63">
        <v>231</v>
      </c>
      <c r="AW108" s="50">
        <v>15</v>
      </c>
      <c r="AX108" s="69">
        <v>4657</v>
      </c>
      <c r="AY108" s="69">
        <v>31466</v>
      </c>
      <c r="AZ108" s="54">
        <v>847</v>
      </c>
      <c r="BA108" s="54">
        <v>3031</v>
      </c>
      <c r="BB108" s="54">
        <v>262</v>
      </c>
      <c r="BC108" s="54">
        <v>771</v>
      </c>
      <c r="BD108" s="54">
        <v>1092</v>
      </c>
      <c r="BE108" s="70">
        <v>1654</v>
      </c>
      <c r="BF108" s="63">
        <v>234</v>
      </c>
      <c r="BG108" s="71">
        <v>2980</v>
      </c>
      <c r="BH108" s="67"/>
      <c r="BI108" s="68"/>
      <c r="BJ108" s="72">
        <v>1450</v>
      </c>
      <c r="BK108" s="62"/>
      <c r="BL108" s="70">
        <v>2325</v>
      </c>
      <c r="BM108" s="70">
        <v>352</v>
      </c>
      <c r="BN108" s="70">
        <v>147</v>
      </c>
      <c r="BO108" s="70">
        <v>936</v>
      </c>
      <c r="BP108" s="73">
        <v>15</v>
      </c>
      <c r="BQ108" s="48">
        <v>637</v>
      </c>
      <c r="BR108" s="63">
        <v>311</v>
      </c>
      <c r="BS108" s="50">
        <v>132</v>
      </c>
      <c r="BT108" s="76">
        <v>73.780487804878049</v>
      </c>
      <c r="BU108" s="77">
        <v>26.219512195121951</v>
      </c>
      <c r="BV108" s="78">
        <v>847</v>
      </c>
      <c r="BW108" s="79">
        <v>301</v>
      </c>
      <c r="BX108" s="62">
        <v>467</v>
      </c>
      <c r="BY108" s="63">
        <v>147</v>
      </c>
      <c r="BZ108" s="63">
        <v>192</v>
      </c>
      <c r="CA108" s="63">
        <v>233</v>
      </c>
      <c r="CB108" s="63">
        <v>7</v>
      </c>
      <c r="CC108" s="63">
        <v>101</v>
      </c>
      <c r="CD108" s="63">
        <v>1</v>
      </c>
      <c r="CE108" s="50">
        <v>0</v>
      </c>
    </row>
    <row r="109" spans="2:83" x14ac:dyDescent="0.3">
      <c r="B109" s="46">
        <v>20</v>
      </c>
      <c r="C109" s="47">
        <v>43602</v>
      </c>
      <c r="D109" s="48">
        <v>15</v>
      </c>
      <c r="E109" s="49">
        <v>1658</v>
      </c>
      <c r="F109" s="50">
        <v>205</v>
      </c>
      <c r="G109" s="51">
        <v>4.7299687825182106</v>
      </c>
      <c r="H109" s="52">
        <v>7.1190289741581836</v>
      </c>
      <c r="I109" s="53">
        <v>1277</v>
      </c>
      <c r="J109" s="54">
        <v>1922</v>
      </c>
      <c r="K109" s="54">
        <v>9091</v>
      </c>
      <c r="L109" s="55">
        <v>5363.3</v>
      </c>
      <c r="M109" s="56">
        <v>471.04700000000003</v>
      </c>
      <c r="N109" s="57">
        <v>1363.6499999999999</v>
      </c>
      <c r="O109" s="58">
        <v>465.61999999999995</v>
      </c>
      <c r="P109" s="59">
        <v>19.5245049611271</v>
      </c>
      <c r="Q109" s="60">
        <v>592.84</v>
      </c>
      <c r="R109" s="61">
        <v>15.334660279333377</v>
      </c>
      <c r="S109" s="48"/>
      <c r="T109" s="50"/>
      <c r="U109" s="62">
        <v>0</v>
      </c>
      <c r="V109" s="63">
        <v>49</v>
      </c>
      <c r="W109" s="50">
        <v>27</v>
      </c>
      <c r="X109" s="48">
        <v>23</v>
      </c>
      <c r="Y109" s="63">
        <v>85</v>
      </c>
      <c r="Z109" s="63">
        <v>442</v>
      </c>
      <c r="AA109" s="64">
        <v>262.7</v>
      </c>
      <c r="AB109" s="65">
        <v>52.064999999999998</v>
      </c>
      <c r="AC109" s="66"/>
      <c r="AD109" s="67"/>
      <c r="AE109" s="68"/>
      <c r="AF109" s="48">
        <v>127</v>
      </c>
      <c r="AG109" s="63">
        <v>231</v>
      </c>
      <c r="AH109" s="63">
        <v>53</v>
      </c>
      <c r="AI109" s="63">
        <v>59</v>
      </c>
      <c r="AJ109" s="63">
        <v>67</v>
      </c>
      <c r="AK109" s="63">
        <v>194</v>
      </c>
      <c r="AL109" s="63">
        <v>98</v>
      </c>
      <c r="AM109" s="63">
        <v>110</v>
      </c>
      <c r="AN109" s="63">
        <v>353</v>
      </c>
      <c r="AO109" s="63">
        <v>98</v>
      </c>
      <c r="AP109" s="63">
        <v>115</v>
      </c>
      <c r="AQ109" s="63">
        <v>141</v>
      </c>
      <c r="AR109" s="63">
        <v>3</v>
      </c>
      <c r="AS109" s="63">
        <v>1</v>
      </c>
      <c r="AT109" s="63">
        <v>7</v>
      </c>
      <c r="AU109" s="63">
        <v>54</v>
      </c>
      <c r="AV109" s="63">
        <v>128</v>
      </c>
      <c r="AW109" s="50">
        <v>22</v>
      </c>
      <c r="AX109" s="69">
        <v>4577</v>
      </c>
      <c r="AY109" s="69">
        <v>29068</v>
      </c>
      <c r="AZ109" s="54">
        <v>1102</v>
      </c>
      <c r="BA109" s="54">
        <v>2284</v>
      </c>
      <c r="BB109" s="54">
        <v>642</v>
      </c>
      <c r="BC109" s="54">
        <v>1453</v>
      </c>
      <c r="BD109" s="54">
        <v>1301</v>
      </c>
      <c r="BE109" s="70">
        <v>1484</v>
      </c>
      <c r="BF109" s="63">
        <v>410</v>
      </c>
      <c r="BG109" s="71">
        <v>3195</v>
      </c>
      <c r="BH109" s="67"/>
      <c r="BI109" s="68"/>
      <c r="BJ109" s="72">
        <v>1244</v>
      </c>
      <c r="BK109" s="62"/>
      <c r="BL109" s="70">
        <v>2093</v>
      </c>
      <c r="BM109" s="70">
        <v>247</v>
      </c>
      <c r="BN109" s="70">
        <v>26</v>
      </c>
      <c r="BO109" s="70">
        <v>965</v>
      </c>
      <c r="BP109" s="73">
        <v>6</v>
      </c>
      <c r="BQ109" s="48">
        <v>774</v>
      </c>
      <c r="BR109" s="63">
        <v>253</v>
      </c>
      <c r="BS109" s="50">
        <v>118</v>
      </c>
      <c r="BT109" s="76">
        <v>75.529411764705884</v>
      </c>
      <c r="BU109" s="77">
        <v>24.470588235294116</v>
      </c>
      <c r="BV109" s="78">
        <v>963</v>
      </c>
      <c r="BW109" s="79">
        <v>312</v>
      </c>
      <c r="BX109" s="62">
        <v>591</v>
      </c>
      <c r="BY109" s="63">
        <v>113</v>
      </c>
      <c r="BZ109" s="63">
        <v>187</v>
      </c>
      <c r="CA109" s="63">
        <v>259</v>
      </c>
      <c r="CB109" s="63">
        <v>10</v>
      </c>
      <c r="CC109" s="63">
        <v>100</v>
      </c>
      <c r="CD109" s="63">
        <v>6</v>
      </c>
      <c r="CE109" s="50">
        <v>9</v>
      </c>
    </row>
    <row r="110" spans="2:83" x14ac:dyDescent="0.3">
      <c r="B110" s="46">
        <v>21</v>
      </c>
      <c r="C110" s="47">
        <v>43605</v>
      </c>
      <c r="D110" s="48">
        <v>3</v>
      </c>
      <c r="E110" s="49">
        <v>2342</v>
      </c>
      <c r="F110" s="50">
        <v>289</v>
      </c>
      <c r="G110" s="51">
        <v>2.7315869400151862</v>
      </c>
      <c r="H110" s="52">
        <v>3.6467308667004561</v>
      </c>
      <c r="I110" s="53">
        <v>1973</v>
      </c>
      <c r="J110" s="54">
        <v>2634</v>
      </c>
      <c r="K110" s="54">
        <v>7195</v>
      </c>
      <c r="L110" s="55">
        <v>6616</v>
      </c>
      <c r="M110" s="56">
        <v>521.51800000000003</v>
      </c>
      <c r="N110" s="57">
        <v>1079.25</v>
      </c>
      <c r="O110" s="58">
        <v>540.29999999999995</v>
      </c>
      <c r="P110" s="59">
        <v>13.31667592078475</v>
      </c>
      <c r="Q110" s="60">
        <v>699.75</v>
      </c>
      <c r="R110" s="61">
        <v>10.282243658449445</v>
      </c>
      <c r="S110" s="48"/>
      <c r="T110" s="50"/>
      <c r="U110" s="62">
        <v>0</v>
      </c>
      <c r="V110" s="63">
        <v>102</v>
      </c>
      <c r="W110" s="50">
        <v>110</v>
      </c>
      <c r="X110" s="48">
        <v>59</v>
      </c>
      <c r="Y110" s="63">
        <v>175</v>
      </c>
      <c r="Z110" s="63">
        <v>480</v>
      </c>
      <c r="AA110" s="64">
        <v>3174.4</v>
      </c>
      <c r="AB110" s="65">
        <v>124</v>
      </c>
      <c r="AC110" s="66"/>
      <c r="AD110" s="67"/>
      <c r="AE110" s="68"/>
      <c r="AF110" s="48">
        <v>241</v>
      </c>
      <c r="AG110" s="63">
        <v>351</v>
      </c>
      <c r="AH110" s="63">
        <v>66</v>
      </c>
      <c r="AI110" s="63">
        <v>130</v>
      </c>
      <c r="AJ110" s="63">
        <v>77</v>
      </c>
      <c r="AK110" s="63">
        <v>339</v>
      </c>
      <c r="AL110" s="63">
        <v>175</v>
      </c>
      <c r="AM110" s="63">
        <v>134</v>
      </c>
      <c r="AN110" s="63">
        <v>414</v>
      </c>
      <c r="AO110" s="63">
        <v>84</v>
      </c>
      <c r="AP110" s="63">
        <v>129</v>
      </c>
      <c r="AQ110" s="63">
        <v>142</v>
      </c>
      <c r="AR110" s="63">
        <v>36</v>
      </c>
      <c r="AS110" s="63">
        <v>3</v>
      </c>
      <c r="AT110" s="63">
        <v>13</v>
      </c>
      <c r="AU110" s="63">
        <v>74</v>
      </c>
      <c r="AV110" s="63">
        <v>200</v>
      </c>
      <c r="AW110" s="50">
        <v>14</v>
      </c>
      <c r="AX110" s="69">
        <v>5339</v>
      </c>
      <c r="AY110" s="69">
        <v>31935</v>
      </c>
      <c r="AZ110" s="54">
        <v>381</v>
      </c>
      <c r="BA110" s="54">
        <v>757</v>
      </c>
      <c r="BB110" s="54">
        <v>428</v>
      </c>
      <c r="BC110" s="54">
        <v>991</v>
      </c>
      <c r="BD110" s="54">
        <v>1552</v>
      </c>
      <c r="BE110" s="70">
        <v>962</v>
      </c>
      <c r="BF110" s="63">
        <v>442</v>
      </c>
      <c r="BG110" s="71">
        <v>2956</v>
      </c>
      <c r="BH110" s="67"/>
      <c r="BI110" s="68"/>
      <c r="BJ110" s="72">
        <v>1514</v>
      </c>
      <c r="BK110" s="62"/>
      <c r="BL110" s="70">
        <v>2926</v>
      </c>
      <c r="BM110" s="70">
        <v>239</v>
      </c>
      <c r="BN110" s="70">
        <v>114</v>
      </c>
      <c r="BO110" s="70">
        <v>1123</v>
      </c>
      <c r="BP110" s="73">
        <v>38</v>
      </c>
      <c r="BQ110" s="48">
        <v>1313</v>
      </c>
      <c r="BR110" s="63">
        <v>330</v>
      </c>
      <c r="BS110" s="50">
        <v>103</v>
      </c>
      <c r="BT110" s="76">
        <v>80.993411049163711</v>
      </c>
      <c r="BU110" s="77">
        <v>19.006588950836289</v>
      </c>
      <c r="BV110" s="78">
        <v>1598</v>
      </c>
      <c r="BW110" s="79">
        <v>375</v>
      </c>
      <c r="BX110" s="62">
        <v>944</v>
      </c>
      <c r="BY110" s="63">
        <v>180</v>
      </c>
      <c r="BZ110" s="63">
        <v>175</v>
      </c>
      <c r="CA110" s="63">
        <v>474</v>
      </c>
      <c r="CB110" s="63">
        <v>4</v>
      </c>
      <c r="CC110" s="63">
        <v>171</v>
      </c>
      <c r="CD110" s="63">
        <v>12</v>
      </c>
      <c r="CE110" s="50">
        <v>13</v>
      </c>
    </row>
    <row r="111" spans="2:83" x14ac:dyDescent="0.3">
      <c r="B111" s="46">
        <v>21</v>
      </c>
      <c r="C111" s="47">
        <v>43606</v>
      </c>
      <c r="D111" s="48">
        <v>3</v>
      </c>
      <c r="E111" s="49">
        <v>1508</v>
      </c>
      <c r="F111" s="50">
        <v>456</v>
      </c>
      <c r="G111" s="51">
        <v>3.7264870360955769</v>
      </c>
      <c r="H111" s="52">
        <v>6.0829875518672196</v>
      </c>
      <c r="I111" s="53">
        <v>1205</v>
      </c>
      <c r="J111" s="54">
        <v>1967</v>
      </c>
      <c r="K111" s="54">
        <v>7330</v>
      </c>
      <c r="L111" s="55">
        <v>6084.3</v>
      </c>
      <c r="M111" s="56">
        <v>653.76599999999996</v>
      </c>
      <c r="N111" s="57">
        <v>1099.5</v>
      </c>
      <c r="O111" s="58">
        <v>541.04</v>
      </c>
      <c r="P111" s="59">
        <v>13.547981664941595</v>
      </c>
      <c r="Q111" s="60">
        <v>721.75</v>
      </c>
      <c r="R111" s="61">
        <v>10.155871146518878</v>
      </c>
      <c r="S111" s="48"/>
      <c r="T111" s="50"/>
      <c r="U111" s="62">
        <v>0</v>
      </c>
      <c r="V111" s="63">
        <v>124</v>
      </c>
      <c r="W111" s="50">
        <v>84</v>
      </c>
      <c r="X111" s="48">
        <v>52</v>
      </c>
      <c r="Y111" s="63">
        <v>111</v>
      </c>
      <c r="Z111" s="63">
        <v>413</v>
      </c>
      <c r="AA111" s="64">
        <v>764.1</v>
      </c>
      <c r="AB111" s="65">
        <v>48.116</v>
      </c>
      <c r="AC111" s="66"/>
      <c r="AD111" s="67"/>
      <c r="AE111" s="68"/>
      <c r="AF111" s="48">
        <v>115</v>
      </c>
      <c r="AG111" s="63">
        <v>204</v>
      </c>
      <c r="AH111" s="63">
        <v>41</v>
      </c>
      <c r="AI111" s="63">
        <v>73</v>
      </c>
      <c r="AJ111" s="63">
        <v>51</v>
      </c>
      <c r="AK111" s="63">
        <v>176</v>
      </c>
      <c r="AL111" s="63">
        <v>106</v>
      </c>
      <c r="AM111" s="63">
        <v>91</v>
      </c>
      <c r="AN111" s="63">
        <v>308</v>
      </c>
      <c r="AO111" s="63">
        <v>58</v>
      </c>
      <c r="AP111" s="63">
        <v>132</v>
      </c>
      <c r="AQ111" s="63">
        <v>142</v>
      </c>
      <c r="AR111" s="63">
        <v>0</v>
      </c>
      <c r="AS111" s="63">
        <v>0</v>
      </c>
      <c r="AT111" s="63">
        <v>8</v>
      </c>
      <c r="AU111" s="63">
        <v>96</v>
      </c>
      <c r="AV111" s="63">
        <v>327</v>
      </c>
      <c r="AW111" s="50">
        <v>31</v>
      </c>
      <c r="AX111" s="69">
        <v>3680</v>
      </c>
      <c r="AY111" s="69">
        <v>21618</v>
      </c>
      <c r="AZ111" s="54">
        <v>285</v>
      </c>
      <c r="BA111" s="54">
        <v>1221</v>
      </c>
      <c r="BB111" s="54">
        <v>271</v>
      </c>
      <c r="BC111" s="54">
        <v>514</v>
      </c>
      <c r="BD111" s="54">
        <v>974</v>
      </c>
      <c r="BE111" s="70">
        <v>586</v>
      </c>
      <c r="BF111" s="63">
        <v>143</v>
      </c>
      <c r="BG111" s="71">
        <v>1703</v>
      </c>
      <c r="BH111" s="67"/>
      <c r="BI111" s="68"/>
      <c r="BJ111" s="72">
        <v>1855</v>
      </c>
      <c r="BK111" s="62"/>
      <c r="BL111" s="70">
        <v>2496</v>
      </c>
      <c r="BM111" s="70">
        <v>216</v>
      </c>
      <c r="BN111" s="70">
        <v>214</v>
      </c>
      <c r="BO111" s="70">
        <v>1291</v>
      </c>
      <c r="BP111" s="73">
        <v>134</v>
      </c>
      <c r="BQ111" s="48">
        <v>657</v>
      </c>
      <c r="BR111" s="63">
        <v>235</v>
      </c>
      <c r="BS111" s="50">
        <v>163</v>
      </c>
      <c r="BT111" s="76">
        <v>74.252491694352159</v>
      </c>
      <c r="BU111" s="77">
        <v>25.747508305647841</v>
      </c>
      <c r="BV111" s="78">
        <v>894</v>
      </c>
      <c r="BW111" s="79">
        <v>310</v>
      </c>
      <c r="BX111" s="62">
        <v>460</v>
      </c>
      <c r="BY111" s="63">
        <v>112</v>
      </c>
      <c r="BZ111" s="63">
        <v>159</v>
      </c>
      <c r="CA111" s="63">
        <v>322</v>
      </c>
      <c r="CB111" s="63">
        <v>9</v>
      </c>
      <c r="CC111" s="63">
        <v>113</v>
      </c>
      <c r="CD111" s="63">
        <v>4</v>
      </c>
      <c r="CE111" s="50">
        <v>25</v>
      </c>
    </row>
    <row r="112" spans="2:83" x14ac:dyDescent="0.3">
      <c r="B112" s="46">
        <v>21</v>
      </c>
      <c r="C112" s="47">
        <v>43607</v>
      </c>
      <c r="D112" s="48">
        <v>7</v>
      </c>
      <c r="E112" s="49">
        <v>2041</v>
      </c>
      <c r="F112" s="50">
        <v>300</v>
      </c>
      <c r="G112" s="51">
        <v>2.9041737649063033</v>
      </c>
      <c r="H112" s="52">
        <v>5.0139705882352938</v>
      </c>
      <c r="I112" s="53">
        <v>1360</v>
      </c>
      <c r="J112" s="54">
        <v>2348</v>
      </c>
      <c r="K112" s="54">
        <v>6819</v>
      </c>
      <c r="L112" s="55">
        <v>4939.7</v>
      </c>
      <c r="M112" s="56">
        <v>475.57</v>
      </c>
      <c r="N112" s="57">
        <v>1022.85</v>
      </c>
      <c r="O112" s="58">
        <v>522.09999999999991</v>
      </c>
      <c r="P112" s="59">
        <v>13.060716337866312</v>
      </c>
      <c r="Q112" s="60">
        <v>696.65000000000009</v>
      </c>
      <c r="R112" s="61">
        <v>9.7882724467092501</v>
      </c>
      <c r="S112" s="48"/>
      <c r="T112" s="50"/>
      <c r="U112" s="62">
        <v>0</v>
      </c>
      <c r="V112" s="63">
        <v>492</v>
      </c>
      <c r="W112" s="50">
        <v>69</v>
      </c>
      <c r="X112" s="48">
        <v>183</v>
      </c>
      <c r="Y112" s="63">
        <v>269</v>
      </c>
      <c r="Z112" s="63">
        <v>391</v>
      </c>
      <c r="AA112" s="64">
        <v>1005.3</v>
      </c>
      <c r="AB112" s="65">
        <v>99.56</v>
      </c>
      <c r="AC112" s="66"/>
      <c r="AD112" s="67"/>
      <c r="AE112" s="68"/>
      <c r="AF112" s="48">
        <v>126</v>
      </c>
      <c r="AG112" s="63">
        <v>171</v>
      </c>
      <c r="AH112" s="63">
        <v>34</v>
      </c>
      <c r="AI112" s="63">
        <v>72</v>
      </c>
      <c r="AJ112" s="63">
        <v>78</v>
      </c>
      <c r="AK112" s="63">
        <v>191</v>
      </c>
      <c r="AL112" s="63">
        <v>86</v>
      </c>
      <c r="AM112" s="63">
        <v>84</v>
      </c>
      <c r="AN112" s="63">
        <v>305</v>
      </c>
      <c r="AO112" s="63">
        <v>79</v>
      </c>
      <c r="AP112" s="63">
        <v>152</v>
      </c>
      <c r="AQ112" s="63">
        <v>413</v>
      </c>
      <c r="AR112" s="63">
        <v>2</v>
      </c>
      <c r="AS112" s="63">
        <v>2</v>
      </c>
      <c r="AT112" s="63">
        <v>17</v>
      </c>
      <c r="AU112" s="63">
        <v>79</v>
      </c>
      <c r="AV112" s="63">
        <v>203</v>
      </c>
      <c r="AW112" s="50">
        <v>18</v>
      </c>
      <c r="AX112" s="69">
        <v>5563</v>
      </c>
      <c r="AY112" s="69">
        <v>31736</v>
      </c>
      <c r="AZ112" s="54">
        <v>210</v>
      </c>
      <c r="BA112" s="54">
        <v>1062</v>
      </c>
      <c r="BB112" s="54">
        <v>660</v>
      </c>
      <c r="BC112" s="54">
        <v>1883</v>
      </c>
      <c r="BD112" s="54">
        <v>1448</v>
      </c>
      <c r="BE112" s="70">
        <v>618</v>
      </c>
      <c r="BF112" s="63">
        <v>296</v>
      </c>
      <c r="BG112" s="71">
        <v>2362</v>
      </c>
      <c r="BH112" s="67"/>
      <c r="BI112" s="68"/>
      <c r="BJ112" s="72">
        <v>1432</v>
      </c>
      <c r="BK112" s="62"/>
      <c r="BL112" s="70">
        <v>2615</v>
      </c>
      <c r="BM112" s="70">
        <v>251</v>
      </c>
      <c r="BN112" s="70">
        <v>147</v>
      </c>
      <c r="BO112" s="70">
        <v>1022</v>
      </c>
      <c r="BP112" s="73">
        <v>12</v>
      </c>
      <c r="BQ112" s="48">
        <v>701</v>
      </c>
      <c r="BR112" s="63">
        <v>250</v>
      </c>
      <c r="BS112" s="50">
        <v>65</v>
      </c>
      <c r="BT112" s="76">
        <v>62.030905077262695</v>
      </c>
      <c r="BU112" s="77">
        <v>37.969094922737305</v>
      </c>
      <c r="BV112" s="78">
        <v>843</v>
      </c>
      <c r="BW112" s="79">
        <v>516</v>
      </c>
      <c r="BX112" s="62">
        <v>474</v>
      </c>
      <c r="BY112" s="63">
        <v>84</v>
      </c>
      <c r="BZ112" s="63">
        <v>169</v>
      </c>
      <c r="CA112" s="63">
        <v>285</v>
      </c>
      <c r="CB112" s="63">
        <v>17</v>
      </c>
      <c r="CC112" s="63">
        <v>188</v>
      </c>
      <c r="CD112" s="63">
        <v>128</v>
      </c>
      <c r="CE112" s="50">
        <v>14</v>
      </c>
    </row>
    <row r="113" spans="2:83" x14ac:dyDescent="0.3">
      <c r="B113" s="46">
        <v>21</v>
      </c>
      <c r="C113" s="47">
        <v>43608</v>
      </c>
      <c r="D113" s="48">
        <v>3</v>
      </c>
      <c r="E113" s="49">
        <v>1741</v>
      </c>
      <c r="F113" s="50">
        <v>187</v>
      </c>
      <c r="G113" s="51">
        <v>3.6525116519937857</v>
      </c>
      <c r="H113" s="52">
        <v>5.669614147909968</v>
      </c>
      <c r="I113" s="53">
        <v>1244</v>
      </c>
      <c r="J113" s="54">
        <v>1931</v>
      </c>
      <c r="K113" s="54">
        <v>7053</v>
      </c>
      <c r="L113" s="55">
        <v>5298.3</v>
      </c>
      <c r="M113" s="56">
        <v>337.03100000000001</v>
      </c>
      <c r="N113" s="57">
        <v>1057.95</v>
      </c>
      <c r="O113" s="58">
        <v>418.93</v>
      </c>
      <c r="P113" s="59">
        <v>16.835748215692359</v>
      </c>
      <c r="Q113" s="60">
        <v>574.73</v>
      </c>
      <c r="R113" s="61">
        <v>12.271849390148416</v>
      </c>
      <c r="S113" s="48"/>
      <c r="T113" s="50"/>
      <c r="U113" s="62">
        <v>0</v>
      </c>
      <c r="V113" s="63">
        <v>223</v>
      </c>
      <c r="W113" s="50">
        <v>73</v>
      </c>
      <c r="X113" s="48">
        <v>45</v>
      </c>
      <c r="Y113" s="63">
        <v>80</v>
      </c>
      <c r="Z113" s="63">
        <v>321</v>
      </c>
      <c r="AA113" s="64">
        <v>524.70000000000005</v>
      </c>
      <c r="AB113" s="65">
        <v>41.308</v>
      </c>
      <c r="AC113" s="66"/>
      <c r="AD113" s="67"/>
      <c r="AE113" s="68"/>
      <c r="AF113" s="48">
        <v>116</v>
      </c>
      <c r="AG113" s="63">
        <v>181</v>
      </c>
      <c r="AH113" s="63">
        <v>32</v>
      </c>
      <c r="AI113" s="63">
        <v>68</v>
      </c>
      <c r="AJ113" s="63">
        <v>57</v>
      </c>
      <c r="AK113" s="63">
        <v>430</v>
      </c>
      <c r="AL113" s="63">
        <v>90</v>
      </c>
      <c r="AM113" s="63">
        <v>84</v>
      </c>
      <c r="AN113" s="63">
        <v>360</v>
      </c>
      <c r="AO113" s="63">
        <v>77</v>
      </c>
      <c r="AP113" s="63">
        <v>121</v>
      </c>
      <c r="AQ113" s="63">
        <v>101</v>
      </c>
      <c r="AR113" s="63">
        <v>3</v>
      </c>
      <c r="AS113" s="63">
        <v>1</v>
      </c>
      <c r="AT113" s="63">
        <v>6</v>
      </c>
      <c r="AU113" s="63">
        <v>59</v>
      </c>
      <c r="AV113" s="63">
        <v>120</v>
      </c>
      <c r="AW113" s="50">
        <v>7</v>
      </c>
      <c r="AX113" s="69">
        <v>5116</v>
      </c>
      <c r="AY113" s="69">
        <v>33122</v>
      </c>
      <c r="AZ113" s="54">
        <v>129</v>
      </c>
      <c r="BA113" s="54">
        <v>490</v>
      </c>
      <c r="BB113" s="54">
        <v>272</v>
      </c>
      <c r="BC113" s="54">
        <v>520</v>
      </c>
      <c r="BD113" s="54">
        <v>1282</v>
      </c>
      <c r="BE113" s="70">
        <v>656</v>
      </c>
      <c r="BF113" s="63">
        <v>103</v>
      </c>
      <c r="BG113" s="71">
        <v>2041</v>
      </c>
      <c r="BH113" s="67"/>
      <c r="BI113" s="68"/>
      <c r="BJ113" s="72">
        <v>1410</v>
      </c>
      <c r="BK113" s="62"/>
      <c r="BL113" s="70">
        <v>2104</v>
      </c>
      <c r="BM113" s="70">
        <v>253</v>
      </c>
      <c r="BN113" s="70">
        <v>91</v>
      </c>
      <c r="BO113" s="70">
        <v>1060</v>
      </c>
      <c r="BP113" s="73">
        <v>6</v>
      </c>
      <c r="BQ113" s="48">
        <v>765</v>
      </c>
      <c r="BR113" s="63">
        <v>267</v>
      </c>
      <c r="BS113" s="50">
        <v>99</v>
      </c>
      <c r="BT113" s="76">
        <v>78.11993517017828</v>
      </c>
      <c r="BU113" s="77">
        <v>21.88006482982172</v>
      </c>
      <c r="BV113" s="78">
        <v>964</v>
      </c>
      <c r="BW113" s="79">
        <v>270</v>
      </c>
      <c r="BX113" s="62">
        <v>494</v>
      </c>
      <c r="BY113" s="63">
        <v>112</v>
      </c>
      <c r="BZ113" s="63">
        <v>171</v>
      </c>
      <c r="CA113" s="63">
        <v>358</v>
      </c>
      <c r="CB113" s="63">
        <v>11</v>
      </c>
      <c r="CC113" s="63">
        <v>76</v>
      </c>
      <c r="CD113" s="63">
        <v>12</v>
      </c>
      <c r="CE113" s="50">
        <v>0</v>
      </c>
    </row>
    <row r="114" spans="2:83" x14ac:dyDescent="0.3">
      <c r="B114" s="46">
        <v>21</v>
      </c>
      <c r="C114" s="47">
        <v>43609</v>
      </c>
      <c r="D114" s="48">
        <v>13</v>
      </c>
      <c r="E114" s="49">
        <v>1945</v>
      </c>
      <c r="F114" s="50">
        <v>268</v>
      </c>
      <c r="G114" s="51">
        <v>3.6298098186643077</v>
      </c>
      <c r="H114" s="52">
        <v>5.5080536912751681</v>
      </c>
      <c r="I114" s="53">
        <v>1490</v>
      </c>
      <c r="J114" s="54">
        <v>2261</v>
      </c>
      <c r="K114" s="54">
        <v>8207</v>
      </c>
      <c r="L114" s="55">
        <v>7878.1</v>
      </c>
      <c r="M114" s="56">
        <v>501.18</v>
      </c>
      <c r="N114" s="57">
        <v>1231.0500000000002</v>
      </c>
      <c r="O114" s="58">
        <v>518.01</v>
      </c>
      <c r="P114" s="59">
        <v>15.843323487963554</v>
      </c>
      <c r="Q114" s="60">
        <v>682.64</v>
      </c>
      <c r="R114" s="61">
        <v>12.022442282901675</v>
      </c>
      <c r="S114" s="48"/>
      <c r="T114" s="50"/>
      <c r="U114" s="62">
        <v>0</v>
      </c>
      <c r="V114" s="63">
        <v>51</v>
      </c>
      <c r="W114" s="50">
        <v>48</v>
      </c>
      <c r="X114" s="48">
        <v>47</v>
      </c>
      <c r="Y114" s="63">
        <v>158</v>
      </c>
      <c r="Z114" s="63">
        <v>1728</v>
      </c>
      <c r="AA114" s="64">
        <v>1181.2</v>
      </c>
      <c r="AB114" s="65">
        <v>74.7</v>
      </c>
      <c r="AC114" s="66"/>
      <c r="AD114" s="67"/>
      <c r="AE114" s="68"/>
      <c r="AF114" s="48">
        <v>171</v>
      </c>
      <c r="AG114" s="63">
        <v>200</v>
      </c>
      <c r="AH114" s="63">
        <v>32</v>
      </c>
      <c r="AI114" s="63">
        <v>83</v>
      </c>
      <c r="AJ114" s="63">
        <v>62</v>
      </c>
      <c r="AK114" s="63">
        <v>304</v>
      </c>
      <c r="AL114" s="63">
        <v>115</v>
      </c>
      <c r="AM114" s="63">
        <v>139</v>
      </c>
      <c r="AN114" s="63">
        <v>385</v>
      </c>
      <c r="AO114" s="63">
        <v>77</v>
      </c>
      <c r="AP114" s="63">
        <v>158</v>
      </c>
      <c r="AQ114" s="63">
        <v>192</v>
      </c>
      <c r="AR114" s="63">
        <v>4</v>
      </c>
      <c r="AS114" s="63">
        <v>1</v>
      </c>
      <c r="AT114" s="63">
        <v>16</v>
      </c>
      <c r="AU114" s="63">
        <v>108</v>
      </c>
      <c r="AV114" s="63">
        <v>153</v>
      </c>
      <c r="AW114" s="50">
        <v>7</v>
      </c>
      <c r="AX114" s="69">
        <v>4764</v>
      </c>
      <c r="AY114" s="69">
        <v>25937</v>
      </c>
      <c r="AZ114" s="54">
        <v>118</v>
      </c>
      <c r="BA114" s="54">
        <v>692</v>
      </c>
      <c r="BB114" s="54">
        <v>338</v>
      </c>
      <c r="BC114" s="54">
        <v>664</v>
      </c>
      <c r="BD114" s="54">
        <v>1204</v>
      </c>
      <c r="BE114" s="70">
        <v>516</v>
      </c>
      <c r="BF114" s="63">
        <v>173</v>
      </c>
      <c r="BG114" s="71">
        <v>1893</v>
      </c>
      <c r="BH114" s="67"/>
      <c r="BI114" s="68"/>
      <c r="BJ114" s="72">
        <v>1407</v>
      </c>
      <c r="BK114" s="62"/>
      <c r="BL114" s="70">
        <v>2250</v>
      </c>
      <c r="BM114" s="70">
        <v>324</v>
      </c>
      <c r="BN114" s="70">
        <v>87</v>
      </c>
      <c r="BO114" s="70">
        <v>985</v>
      </c>
      <c r="BP114" s="73">
        <v>11</v>
      </c>
      <c r="BQ114" s="48">
        <v>922</v>
      </c>
      <c r="BR114" s="63">
        <v>289</v>
      </c>
      <c r="BS114" s="50">
        <v>117</v>
      </c>
      <c r="BT114" s="76">
        <v>76.180836707152494</v>
      </c>
      <c r="BU114" s="77">
        <v>23.819163292847502</v>
      </c>
      <c r="BV114" s="78">
        <v>1129</v>
      </c>
      <c r="BW114" s="79">
        <v>353</v>
      </c>
      <c r="BX114" s="62">
        <v>642</v>
      </c>
      <c r="BY114" s="63">
        <v>112</v>
      </c>
      <c r="BZ114" s="63">
        <v>172</v>
      </c>
      <c r="CA114" s="63">
        <v>375</v>
      </c>
      <c r="CB114" s="63">
        <v>23</v>
      </c>
      <c r="CC114" s="63">
        <v>148</v>
      </c>
      <c r="CD114" s="63">
        <v>10</v>
      </c>
      <c r="CE114" s="50">
        <v>0</v>
      </c>
    </row>
    <row r="115" spans="2:83" x14ac:dyDescent="0.3">
      <c r="B115" s="46">
        <v>22</v>
      </c>
      <c r="C115" s="47">
        <v>43612</v>
      </c>
      <c r="D115" s="48">
        <v>4</v>
      </c>
      <c r="E115" s="49">
        <v>2568</v>
      </c>
      <c r="F115" s="50">
        <v>215</v>
      </c>
      <c r="G115" s="51">
        <v>2.3249370277078087</v>
      </c>
      <c r="H115" s="52">
        <v>2.8715555555555556</v>
      </c>
      <c r="I115" s="54">
        <v>2250</v>
      </c>
      <c r="J115" s="54">
        <v>2779</v>
      </c>
      <c r="K115" s="54">
        <v>6461</v>
      </c>
      <c r="L115" s="55">
        <v>5163.3999999999996</v>
      </c>
      <c r="M115" s="56">
        <v>370.53199999999998</v>
      </c>
      <c r="N115" s="57">
        <v>969.15000000000009</v>
      </c>
      <c r="O115" s="58">
        <v>485.23999999999995</v>
      </c>
      <c r="P115" s="59">
        <v>13.315060588574728</v>
      </c>
      <c r="Q115" s="60">
        <v>665.37999999999988</v>
      </c>
      <c r="R115" s="61">
        <v>9.7102407646758255</v>
      </c>
      <c r="S115" s="48"/>
      <c r="T115" s="50"/>
      <c r="U115" s="62">
        <v>0</v>
      </c>
      <c r="V115" s="63">
        <v>139</v>
      </c>
      <c r="W115" s="50">
        <v>81</v>
      </c>
      <c r="X115" s="48">
        <v>68</v>
      </c>
      <c r="Y115" s="63">
        <v>250</v>
      </c>
      <c r="Z115" s="63">
        <v>265</v>
      </c>
      <c r="AA115" s="64">
        <v>1137.2</v>
      </c>
      <c r="AB115" s="65">
        <v>132.041</v>
      </c>
      <c r="AC115" s="66"/>
      <c r="AD115" s="67"/>
      <c r="AE115" s="68"/>
      <c r="AF115" s="48">
        <v>258</v>
      </c>
      <c r="AG115" s="63">
        <v>440</v>
      </c>
      <c r="AH115" s="63">
        <v>74</v>
      </c>
      <c r="AI115" s="63">
        <v>164</v>
      </c>
      <c r="AJ115" s="63">
        <v>118</v>
      </c>
      <c r="AK115" s="63">
        <v>451</v>
      </c>
      <c r="AL115" s="63">
        <v>196</v>
      </c>
      <c r="AM115" s="63">
        <v>157</v>
      </c>
      <c r="AN115" s="63">
        <v>364</v>
      </c>
      <c r="AO115" s="63">
        <v>82</v>
      </c>
      <c r="AP115" s="63">
        <v>82</v>
      </c>
      <c r="AQ115" s="63">
        <v>100</v>
      </c>
      <c r="AR115" s="63">
        <v>28</v>
      </c>
      <c r="AS115" s="63">
        <v>5</v>
      </c>
      <c r="AT115" s="63">
        <v>40</v>
      </c>
      <c r="AU115" s="63">
        <v>53</v>
      </c>
      <c r="AV115" s="63">
        <v>159</v>
      </c>
      <c r="AW115" s="50">
        <v>3</v>
      </c>
      <c r="AX115" s="69">
        <v>3698</v>
      </c>
      <c r="AY115" s="69">
        <v>24728</v>
      </c>
      <c r="AZ115" s="54">
        <v>396</v>
      </c>
      <c r="BA115" s="54">
        <v>638</v>
      </c>
      <c r="BB115" s="54">
        <v>430</v>
      </c>
      <c r="BC115" s="54">
        <v>603</v>
      </c>
      <c r="BD115" s="54">
        <v>1377</v>
      </c>
      <c r="BE115" s="70">
        <v>818</v>
      </c>
      <c r="BF115" s="63">
        <v>574</v>
      </c>
      <c r="BG115" s="71">
        <v>2769</v>
      </c>
      <c r="BH115" s="67"/>
      <c r="BI115" s="68"/>
      <c r="BJ115" s="72">
        <v>1376</v>
      </c>
      <c r="BK115" s="62"/>
      <c r="BL115" s="70">
        <v>2602</v>
      </c>
      <c r="BM115" s="70">
        <v>199</v>
      </c>
      <c r="BN115" s="70">
        <v>84</v>
      </c>
      <c r="BO115" s="70">
        <v>1080</v>
      </c>
      <c r="BP115" s="73">
        <v>13</v>
      </c>
      <c r="BQ115" s="48">
        <v>1636</v>
      </c>
      <c r="BR115" s="63">
        <v>292</v>
      </c>
      <c r="BS115" s="50">
        <v>50</v>
      </c>
      <c r="BT115" s="76">
        <v>84.395898350423536</v>
      </c>
      <c r="BU115" s="77">
        <v>15.60410164957646</v>
      </c>
      <c r="BV115" s="78">
        <v>1893</v>
      </c>
      <c r="BW115" s="79">
        <v>350</v>
      </c>
      <c r="BX115" s="62">
        <v>1190</v>
      </c>
      <c r="BY115" s="63">
        <v>162</v>
      </c>
      <c r="BZ115" s="63">
        <v>139</v>
      </c>
      <c r="CA115" s="63">
        <v>541</v>
      </c>
      <c r="CB115" s="63">
        <v>8</v>
      </c>
      <c r="CC115" s="63">
        <v>199</v>
      </c>
      <c r="CD115" s="63">
        <v>4</v>
      </c>
      <c r="CE115" s="50">
        <v>0</v>
      </c>
    </row>
    <row r="116" spans="2:83" x14ac:dyDescent="0.3">
      <c r="B116" s="46">
        <v>22</v>
      </c>
      <c r="C116" s="47">
        <v>43613</v>
      </c>
      <c r="D116" s="48">
        <v>0</v>
      </c>
      <c r="E116" s="49">
        <v>1431</v>
      </c>
      <c r="F116" s="50">
        <v>266</v>
      </c>
      <c r="G116" s="51">
        <v>3.714025500910747</v>
      </c>
      <c r="H116" s="52">
        <v>5.9158607350096712</v>
      </c>
      <c r="I116" s="54">
        <v>1034</v>
      </c>
      <c r="J116" s="54">
        <v>1647</v>
      </c>
      <c r="K116" s="54">
        <v>6117</v>
      </c>
      <c r="L116" s="55">
        <v>5162.5</v>
      </c>
      <c r="M116" s="56">
        <v>402.42500000000001</v>
      </c>
      <c r="N116" s="57">
        <v>917.55</v>
      </c>
      <c r="O116" s="58">
        <v>462.17</v>
      </c>
      <c r="P116" s="59">
        <v>13.235389575264513</v>
      </c>
      <c r="Q116" s="60">
        <v>635.27</v>
      </c>
      <c r="R116" s="61">
        <v>9.6289766555952596</v>
      </c>
      <c r="S116" s="48"/>
      <c r="T116" s="50"/>
      <c r="U116" s="62">
        <v>0</v>
      </c>
      <c r="V116" s="63">
        <v>117</v>
      </c>
      <c r="W116" s="50">
        <v>91</v>
      </c>
      <c r="X116" s="48">
        <v>76</v>
      </c>
      <c r="Y116" s="63">
        <v>181</v>
      </c>
      <c r="Z116" s="63">
        <v>352</v>
      </c>
      <c r="AA116" s="64">
        <v>1157.2</v>
      </c>
      <c r="AB116" s="65">
        <v>114.011</v>
      </c>
      <c r="AC116" s="66"/>
      <c r="AD116" s="67"/>
      <c r="AE116" s="68"/>
      <c r="AF116" s="48">
        <v>86</v>
      </c>
      <c r="AG116" s="63">
        <v>117</v>
      </c>
      <c r="AH116" s="63">
        <v>29</v>
      </c>
      <c r="AI116" s="63">
        <v>65</v>
      </c>
      <c r="AJ116" s="63">
        <v>49</v>
      </c>
      <c r="AK116" s="63">
        <v>168</v>
      </c>
      <c r="AL116" s="63">
        <v>93</v>
      </c>
      <c r="AM116" s="63">
        <v>75</v>
      </c>
      <c r="AN116" s="63">
        <v>239</v>
      </c>
      <c r="AO116" s="63">
        <v>71</v>
      </c>
      <c r="AP116" s="63">
        <v>102</v>
      </c>
      <c r="AQ116" s="63">
        <v>292</v>
      </c>
      <c r="AR116" s="63">
        <v>12</v>
      </c>
      <c r="AS116" s="63">
        <v>0</v>
      </c>
      <c r="AT116" s="63">
        <v>10</v>
      </c>
      <c r="AU116" s="63">
        <v>64</v>
      </c>
      <c r="AV116" s="63">
        <v>185</v>
      </c>
      <c r="AW116" s="50">
        <v>12</v>
      </c>
      <c r="AX116" s="69">
        <v>3659</v>
      </c>
      <c r="AY116" s="69">
        <v>29063</v>
      </c>
      <c r="AZ116" s="54">
        <v>310</v>
      </c>
      <c r="BA116" s="54">
        <v>932</v>
      </c>
      <c r="BB116" s="54">
        <v>88</v>
      </c>
      <c r="BC116" s="54">
        <v>348</v>
      </c>
      <c r="BD116" s="54">
        <v>878</v>
      </c>
      <c r="BE116" s="70">
        <v>470</v>
      </c>
      <c r="BF116" s="63">
        <v>81</v>
      </c>
      <c r="BG116" s="71">
        <v>1429</v>
      </c>
      <c r="BH116" s="67"/>
      <c r="BI116" s="68"/>
      <c r="BJ116" s="72">
        <v>1586</v>
      </c>
      <c r="BK116" s="62"/>
      <c r="BL116" s="70">
        <v>2012</v>
      </c>
      <c r="BM116" s="70">
        <v>378</v>
      </c>
      <c r="BN116" s="70">
        <v>146</v>
      </c>
      <c r="BO116" s="70">
        <v>1048</v>
      </c>
      <c r="BP116" s="73">
        <v>14</v>
      </c>
      <c r="BQ116" s="48">
        <v>571</v>
      </c>
      <c r="BR116" s="63">
        <v>217</v>
      </c>
      <c r="BS116" s="50">
        <v>65</v>
      </c>
      <c r="BT116" s="76">
        <v>65.875370919881306</v>
      </c>
      <c r="BU116" s="77">
        <v>34.124629080118694</v>
      </c>
      <c r="BV116" s="78">
        <v>666</v>
      </c>
      <c r="BW116" s="79">
        <v>345</v>
      </c>
      <c r="BX116" s="62">
        <v>289</v>
      </c>
      <c r="BY116" s="63">
        <v>39</v>
      </c>
      <c r="BZ116" s="63">
        <v>193</v>
      </c>
      <c r="CA116" s="63">
        <v>338</v>
      </c>
      <c r="CB116" s="63">
        <v>13</v>
      </c>
      <c r="CC116" s="63">
        <v>133</v>
      </c>
      <c r="CD116" s="63">
        <v>6</v>
      </c>
      <c r="CE116" s="50">
        <v>0</v>
      </c>
    </row>
    <row r="117" spans="2:83" x14ac:dyDescent="0.3">
      <c r="B117" s="46">
        <v>22</v>
      </c>
      <c r="C117" s="47">
        <v>43614</v>
      </c>
      <c r="D117" s="48">
        <v>6</v>
      </c>
      <c r="E117" s="49">
        <v>1642</v>
      </c>
      <c r="F117" s="50">
        <v>363</v>
      </c>
      <c r="G117" s="51">
        <v>3.1966731898238749</v>
      </c>
      <c r="H117" s="52">
        <v>5.0377794911333851</v>
      </c>
      <c r="I117" s="54">
        <v>1297</v>
      </c>
      <c r="J117" s="54">
        <v>2044</v>
      </c>
      <c r="K117" s="54">
        <v>6534</v>
      </c>
      <c r="L117" s="55">
        <v>8561.1</v>
      </c>
      <c r="M117" s="56">
        <v>593.50800000000004</v>
      </c>
      <c r="N117" s="57">
        <v>980.1</v>
      </c>
      <c r="O117" s="58">
        <v>482.57000000000005</v>
      </c>
      <c r="P117" s="59">
        <v>13.540004558924092</v>
      </c>
      <c r="Q117" s="60">
        <v>658.55</v>
      </c>
      <c r="R117" s="61">
        <v>9.9217978893022565</v>
      </c>
      <c r="S117" s="48"/>
      <c r="T117" s="50"/>
      <c r="U117" s="62">
        <v>0</v>
      </c>
      <c r="V117" s="63">
        <v>128</v>
      </c>
      <c r="W117" s="50">
        <v>133</v>
      </c>
      <c r="X117" s="48">
        <v>70</v>
      </c>
      <c r="Y117" s="63">
        <v>285</v>
      </c>
      <c r="Z117" s="63">
        <v>407</v>
      </c>
      <c r="AA117" s="64">
        <v>1629.6</v>
      </c>
      <c r="AB117" s="65">
        <v>169.203</v>
      </c>
      <c r="AC117" s="66"/>
      <c r="AD117" s="67"/>
      <c r="AE117" s="68"/>
      <c r="AF117" s="48">
        <v>159</v>
      </c>
      <c r="AG117" s="63">
        <v>216</v>
      </c>
      <c r="AH117" s="63">
        <v>35</v>
      </c>
      <c r="AI117" s="63">
        <v>74</v>
      </c>
      <c r="AJ117" s="63">
        <v>69</v>
      </c>
      <c r="AK117" s="63">
        <v>205</v>
      </c>
      <c r="AL117" s="63">
        <v>120</v>
      </c>
      <c r="AM117" s="63">
        <v>99</v>
      </c>
      <c r="AN117" s="63">
        <v>309</v>
      </c>
      <c r="AO117" s="63">
        <v>67</v>
      </c>
      <c r="AP117" s="63">
        <v>107</v>
      </c>
      <c r="AQ117" s="63">
        <v>165</v>
      </c>
      <c r="AR117" s="63">
        <v>3</v>
      </c>
      <c r="AS117" s="63">
        <v>1</v>
      </c>
      <c r="AT117" s="63">
        <v>11</v>
      </c>
      <c r="AU117" s="63">
        <v>103</v>
      </c>
      <c r="AV117" s="63">
        <v>248</v>
      </c>
      <c r="AW117" s="50">
        <v>9</v>
      </c>
      <c r="AX117" s="69">
        <v>4734</v>
      </c>
      <c r="AY117" s="69">
        <v>34448</v>
      </c>
      <c r="AZ117" s="54">
        <v>423</v>
      </c>
      <c r="BA117" s="54">
        <v>1324</v>
      </c>
      <c r="BB117" s="54">
        <v>301</v>
      </c>
      <c r="BC117" s="54">
        <v>610</v>
      </c>
      <c r="BD117" s="54">
        <v>1242</v>
      </c>
      <c r="BE117" s="70">
        <v>568</v>
      </c>
      <c r="BF117" s="63">
        <v>263</v>
      </c>
      <c r="BG117" s="71">
        <v>2073</v>
      </c>
      <c r="BH117" s="67"/>
      <c r="BI117" s="68"/>
      <c r="BJ117" s="72">
        <v>1540</v>
      </c>
      <c r="BK117" s="62"/>
      <c r="BL117" s="70">
        <v>2029</v>
      </c>
      <c r="BM117" s="70">
        <v>208</v>
      </c>
      <c r="BN117" s="70">
        <v>127</v>
      </c>
      <c r="BO117" s="70">
        <v>1200</v>
      </c>
      <c r="BP117" s="73">
        <v>5</v>
      </c>
      <c r="BQ117" s="48">
        <v>791</v>
      </c>
      <c r="BR117" s="63">
        <v>260</v>
      </c>
      <c r="BS117" s="50">
        <v>75</v>
      </c>
      <c r="BT117" s="76">
        <v>75.351014040561623</v>
      </c>
      <c r="BU117" s="77">
        <v>24.648985959438377</v>
      </c>
      <c r="BV117" s="78">
        <v>966</v>
      </c>
      <c r="BW117" s="79">
        <v>316</v>
      </c>
      <c r="BX117" s="62">
        <v>576</v>
      </c>
      <c r="BY117" s="63">
        <v>111</v>
      </c>
      <c r="BZ117" s="63">
        <v>165</v>
      </c>
      <c r="CA117" s="63">
        <v>279</v>
      </c>
      <c r="CB117" s="63">
        <v>9</v>
      </c>
      <c r="CC117" s="63">
        <v>132</v>
      </c>
      <c r="CD117" s="63">
        <v>10</v>
      </c>
      <c r="CE117" s="50">
        <v>0</v>
      </c>
    </row>
    <row r="118" spans="2:83" x14ac:dyDescent="0.3">
      <c r="B118" s="46">
        <v>22</v>
      </c>
      <c r="C118" s="47">
        <v>43616</v>
      </c>
      <c r="D118" s="48">
        <v>0</v>
      </c>
      <c r="E118" s="49">
        <v>1919</v>
      </c>
      <c r="F118" s="50">
        <v>167</v>
      </c>
      <c r="G118" s="51">
        <v>3.156777616980222</v>
      </c>
      <c r="H118" s="52">
        <v>4.3919463087248323</v>
      </c>
      <c r="I118" s="53">
        <v>1490</v>
      </c>
      <c r="J118" s="54">
        <v>2073</v>
      </c>
      <c r="K118" s="54">
        <v>6544</v>
      </c>
      <c r="L118" s="55">
        <v>4156.5</v>
      </c>
      <c r="M118" s="56">
        <v>316.36700000000002</v>
      </c>
      <c r="N118" s="57">
        <v>981.59999999999991</v>
      </c>
      <c r="O118" s="58">
        <v>373.38</v>
      </c>
      <c r="P118" s="59">
        <v>17.526380630992556</v>
      </c>
      <c r="Q118" s="60">
        <v>500.52</v>
      </c>
      <c r="R118" s="61">
        <v>13.074402621273876</v>
      </c>
      <c r="S118" s="48"/>
      <c r="T118" s="50"/>
      <c r="U118" s="62">
        <v>0</v>
      </c>
      <c r="V118" s="63">
        <v>73</v>
      </c>
      <c r="W118" s="50">
        <v>34</v>
      </c>
      <c r="X118" s="48">
        <v>40</v>
      </c>
      <c r="Y118" s="63">
        <v>104</v>
      </c>
      <c r="Z118" s="63">
        <v>479</v>
      </c>
      <c r="AA118" s="64">
        <v>667.7</v>
      </c>
      <c r="AB118" s="65">
        <v>48.689</v>
      </c>
      <c r="AC118" s="66"/>
      <c r="AD118" s="67"/>
      <c r="AE118" s="68"/>
      <c r="AF118" s="48">
        <v>155</v>
      </c>
      <c r="AG118" s="63">
        <v>287</v>
      </c>
      <c r="AH118" s="63">
        <v>33</v>
      </c>
      <c r="AI118" s="63">
        <v>81</v>
      </c>
      <c r="AJ118" s="63">
        <v>66</v>
      </c>
      <c r="AK118" s="63">
        <v>244</v>
      </c>
      <c r="AL118" s="63">
        <v>128</v>
      </c>
      <c r="AM118" s="63">
        <v>156</v>
      </c>
      <c r="AN118" s="63">
        <v>372</v>
      </c>
      <c r="AO118" s="63">
        <v>52</v>
      </c>
      <c r="AP118" s="63">
        <v>107</v>
      </c>
      <c r="AQ118" s="63">
        <v>200</v>
      </c>
      <c r="AR118" s="63">
        <v>4</v>
      </c>
      <c r="AS118" s="63">
        <v>2</v>
      </c>
      <c r="AT118" s="63">
        <v>20</v>
      </c>
      <c r="AU118" s="63">
        <v>27</v>
      </c>
      <c r="AV118" s="63">
        <v>137</v>
      </c>
      <c r="AW118" s="50">
        <v>3</v>
      </c>
      <c r="AX118" s="69">
        <v>4909</v>
      </c>
      <c r="AY118" s="69">
        <v>19866</v>
      </c>
      <c r="AZ118" s="54">
        <v>150</v>
      </c>
      <c r="BA118" s="54">
        <v>462</v>
      </c>
      <c r="BB118" s="54">
        <v>349</v>
      </c>
      <c r="BC118" s="54">
        <v>771</v>
      </c>
      <c r="BD118" s="54">
        <v>1340</v>
      </c>
      <c r="BE118" s="70">
        <v>420</v>
      </c>
      <c r="BF118" s="63">
        <v>118</v>
      </c>
      <c r="BG118" s="71">
        <v>1878</v>
      </c>
      <c r="BH118" s="67"/>
      <c r="BI118" s="68"/>
      <c r="BJ118" s="72">
        <v>1136</v>
      </c>
      <c r="BK118" s="62"/>
      <c r="BL118" s="70">
        <v>2026</v>
      </c>
      <c r="BM118" s="70">
        <v>375</v>
      </c>
      <c r="BN118" s="70">
        <v>35</v>
      </c>
      <c r="BO118" s="70">
        <v>718</v>
      </c>
      <c r="BP118" s="73">
        <v>8</v>
      </c>
      <c r="BQ118" s="48">
        <v>956</v>
      </c>
      <c r="BR118" s="63">
        <v>313</v>
      </c>
      <c r="BS118" s="50">
        <v>49</v>
      </c>
      <c r="BT118" s="76">
        <v>76.648721399730817</v>
      </c>
      <c r="BU118" s="77">
        <v>23.351278600269179</v>
      </c>
      <c r="BV118" s="78">
        <v>1139</v>
      </c>
      <c r="BW118" s="79">
        <v>347</v>
      </c>
      <c r="BX118" s="62">
        <v>613</v>
      </c>
      <c r="BY118" s="63">
        <v>168</v>
      </c>
      <c r="BZ118" s="63">
        <v>140</v>
      </c>
      <c r="CA118" s="63">
        <v>358</v>
      </c>
      <c r="CB118" s="63">
        <v>9</v>
      </c>
      <c r="CC118" s="63">
        <v>182</v>
      </c>
      <c r="CD118" s="63">
        <v>4</v>
      </c>
      <c r="CE118" s="50">
        <v>12</v>
      </c>
    </row>
    <row r="119" spans="2:83" x14ac:dyDescent="0.3">
      <c r="B119" s="46">
        <v>23</v>
      </c>
      <c r="C119" s="47">
        <v>43619</v>
      </c>
      <c r="D119" s="48">
        <v>0</v>
      </c>
      <c r="E119" s="49">
        <v>2341</v>
      </c>
      <c r="F119" s="50">
        <v>243</v>
      </c>
      <c r="G119" s="51">
        <v>3.0482115085536545</v>
      </c>
      <c r="H119" s="52">
        <v>4.0163934426229506</v>
      </c>
      <c r="I119" s="53">
        <v>1952</v>
      </c>
      <c r="J119" s="54">
        <v>2572</v>
      </c>
      <c r="K119" s="54">
        <v>7840</v>
      </c>
      <c r="L119" s="55">
        <v>4708.5</v>
      </c>
      <c r="M119" s="56">
        <v>410.80500000000001</v>
      </c>
      <c r="N119" s="57">
        <v>1176</v>
      </c>
      <c r="O119" s="58">
        <v>521.94000000000005</v>
      </c>
      <c r="P119" s="59">
        <v>15.020883626470473</v>
      </c>
      <c r="Q119" s="60">
        <v>668.47</v>
      </c>
      <c r="R119" s="61">
        <v>11.728275016081499</v>
      </c>
      <c r="S119" s="48"/>
      <c r="T119" s="50"/>
      <c r="U119" s="62">
        <v>0</v>
      </c>
      <c r="V119" s="63">
        <v>120</v>
      </c>
      <c r="W119" s="50">
        <v>65</v>
      </c>
      <c r="X119" s="48">
        <v>61</v>
      </c>
      <c r="Y119" s="63">
        <v>187</v>
      </c>
      <c r="Z119" s="63">
        <v>388</v>
      </c>
      <c r="AA119" s="64">
        <v>541.29999999999995</v>
      </c>
      <c r="AB119" s="65">
        <v>71.798000000000002</v>
      </c>
      <c r="AC119" s="66"/>
      <c r="AD119" s="67"/>
      <c r="AE119" s="68"/>
      <c r="AF119" s="48">
        <v>212</v>
      </c>
      <c r="AG119" s="63">
        <v>322</v>
      </c>
      <c r="AH119" s="63">
        <v>55</v>
      </c>
      <c r="AI119" s="63">
        <v>121</v>
      </c>
      <c r="AJ119" s="63">
        <v>101</v>
      </c>
      <c r="AK119" s="63">
        <v>347</v>
      </c>
      <c r="AL119" s="63">
        <v>223</v>
      </c>
      <c r="AM119" s="63">
        <v>157</v>
      </c>
      <c r="AN119" s="63">
        <v>414</v>
      </c>
      <c r="AO119" s="63">
        <v>83</v>
      </c>
      <c r="AP119" s="63">
        <v>106</v>
      </c>
      <c r="AQ119" s="63">
        <v>148</v>
      </c>
      <c r="AR119" s="63">
        <v>6</v>
      </c>
      <c r="AS119" s="63">
        <v>0</v>
      </c>
      <c r="AT119" s="63">
        <v>26</v>
      </c>
      <c r="AU119" s="63">
        <v>49</v>
      </c>
      <c r="AV119" s="63">
        <v>175</v>
      </c>
      <c r="AW119" s="50">
        <v>16</v>
      </c>
      <c r="AX119" s="69">
        <v>5577</v>
      </c>
      <c r="AY119" s="69">
        <v>30260</v>
      </c>
      <c r="AZ119" s="54">
        <v>1146</v>
      </c>
      <c r="BA119" s="54">
        <v>2790</v>
      </c>
      <c r="BB119" s="54">
        <v>277</v>
      </c>
      <c r="BC119" s="54">
        <v>663</v>
      </c>
      <c r="BD119" s="54">
        <v>1477</v>
      </c>
      <c r="BE119" s="70">
        <v>1021</v>
      </c>
      <c r="BF119" s="63">
        <v>342</v>
      </c>
      <c r="BG119" s="71">
        <v>2840</v>
      </c>
      <c r="BH119" s="67"/>
      <c r="BI119" s="68"/>
      <c r="BJ119" s="72">
        <v>1643</v>
      </c>
      <c r="BK119" s="62"/>
      <c r="BL119" s="70">
        <v>2549</v>
      </c>
      <c r="BM119" s="70">
        <v>452</v>
      </c>
      <c r="BN119" s="70">
        <v>81</v>
      </c>
      <c r="BO119" s="70">
        <v>1087</v>
      </c>
      <c r="BP119" s="73">
        <v>23</v>
      </c>
      <c r="BQ119" s="80">
        <v>1258</v>
      </c>
      <c r="BR119" s="63">
        <v>348</v>
      </c>
      <c r="BS119" s="50">
        <v>51</v>
      </c>
      <c r="BT119" s="76">
        <v>81.884057971014499</v>
      </c>
      <c r="BU119" s="77">
        <v>18.115942028985508</v>
      </c>
      <c r="BV119" s="78">
        <v>1582</v>
      </c>
      <c r="BW119" s="79">
        <v>350</v>
      </c>
      <c r="BX119" s="62">
        <v>844</v>
      </c>
      <c r="BY119" s="63">
        <v>234</v>
      </c>
      <c r="BZ119" s="63">
        <v>138</v>
      </c>
      <c r="CA119" s="63">
        <v>504</v>
      </c>
      <c r="CB119" s="63">
        <v>4</v>
      </c>
      <c r="CC119" s="63">
        <v>205</v>
      </c>
      <c r="CD119" s="63">
        <v>3</v>
      </c>
      <c r="CE119" s="50">
        <v>0</v>
      </c>
    </row>
    <row r="120" spans="2:83" x14ac:dyDescent="0.3">
      <c r="B120" s="46">
        <v>23</v>
      </c>
      <c r="C120" s="47">
        <v>43620</v>
      </c>
      <c r="D120" s="48">
        <v>0</v>
      </c>
      <c r="E120" s="49">
        <v>1381</v>
      </c>
      <c r="F120" s="50">
        <v>311</v>
      </c>
      <c r="G120" s="51">
        <v>4.3431066749844041</v>
      </c>
      <c r="H120" s="52">
        <v>6.643129770992366</v>
      </c>
      <c r="I120" s="53">
        <v>1048</v>
      </c>
      <c r="J120" s="54">
        <v>1603</v>
      </c>
      <c r="K120" s="54">
        <v>6962</v>
      </c>
      <c r="L120" s="55">
        <v>4643.3</v>
      </c>
      <c r="M120" s="56">
        <v>448.03199999999998</v>
      </c>
      <c r="N120" s="57">
        <v>1044.3</v>
      </c>
      <c r="O120" s="58">
        <v>439.98</v>
      </c>
      <c r="P120" s="59">
        <v>15.823446520296377</v>
      </c>
      <c r="Q120" s="60">
        <v>600.89</v>
      </c>
      <c r="R120" s="61">
        <v>11.58614721496447</v>
      </c>
      <c r="S120" s="48"/>
      <c r="T120" s="50"/>
      <c r="U120" s="62">
        <v>0</v>
      </c>
      <c r="V120" s="63">
        <v>75</v>
      </c>
      <c r="W120" s="50">
        <v>26</v>
      </c>
      <c r="X120" s="48">
        <v>21</v>
      </c>
      <c r="Y120" s="63">
        <v>58</v>
      </c>
      <c r="Z120" s="63">
        <v>184</v>
      </c>
      <c r="AA120" s="64">
        <v>143.19999999999999</v>
      </c>
      <c r="AB120" s="65">
        <v>15.724</v>
      </c>
      <c r="AC120" s="66"/>
      <c r="AD120" s="67"/>
      <c r="AE120" s="68"/>
      <c r="AF120" s="48">
        <v>114</v>
      </c>
      <c r="AG120" s="63">
        <v>133</v>
      </c>
      <c r="AH120" s="63">
        <v>11</v>
      </c>
      <c r="AI120" s="63">
        <v>50</v>
      </c>
      <c r="AJ120" s="63">
        <v>46</v>
      </c>
      <c r="AK120" s="63">
        <v>161</v>
      </c>
      <c r="AL120" s="63">
        <v>115</v>
      </c>
      <c r="AM120" s="63">
        <v>769</v>
      </c>
      <c r="AN120" s="63">
        <v>267</v>
      </c>
      <c r="AO120" s="63">
        <v>84</v>
      </c>
      <c r="AP120" s="63">
        <v>116</v>
      </c>
      <c r="AQ120" s="63">
        <v>166</v>
      </c>
      <c r="AR120" s="63">
        <v>5</v>
      </c>
      <c r="AS120" s="63">
        <v>0</v>
      </c>
      <c r="AT120" s="63">
        <v>6</v>
      </c>
      <c r="AU120" s="63">
        <v>77</v>
      </c>
      <c r="AV120" s="63">
        <v>222</v>
      </c>
      <c r="AW120" s="50">
        <v>12</v>
      </c>
      <c r="AX120" s="69">
        <v>3784</v>
      </c>
      <c r="AY120" s="69">
        <v>25440</v>
      </c>
      <c r="AZ120" s="54">
        <v>333</v>
      </c>
      <c r="BA120" s="54">
        <v>867</v>
      </c>
      <c r="BB120" s="54">
        <v>122</v>
      </c>
      <c r="BC120" s="54">
        <v>432</v>
      </c>
      <c r="BD120" s="54">
        <v>1015</v>
      </c>
      <c r="BE120" s="70">
        <v>766</v>
      </c>
      <c r="BF120" s="63">
        <v>148</v>
      </c>
      <c r="BG120" s="71">
        <v>1929</v>
      </c>
      <c r="BH120" s="67"/>
      <c r="BI120" s="68"/>
      <c r="BJ120" s="72">
        <v>1755</v>
      </c>
      <c r="BK120" s="62"/>
      <c r="BL120" s="70">
        <v>1875</v>
      </c>
      <c r="BM120" s="70">
        <v>537</v>
      </c>
      <c r="BN120" s="70">
        <v>118</v>
      </c>
      <c r="BO120" s="70">
        <v>1068</v>
      </c>
      <c r="BP120" s="73">
        <v>32</v>
      </c>
      <c r="BQ120" s="48">
        <v>550</v>
      </c>
      <c r="BR120" s="63">
        <v>231</v>
      </c>
      <c r="BS120" s="50">
        <v>70</v>
      </c>
      <c r="BT120" s="76">
        <v>67.473378509196522</v>
      </c>
      <c r="BU120" s="77">
        <v>32.526621490803485</v>
      </c>
      <c r="BV120" s="78">
        <v>697</v>
      </c>
      <c r="BW120" s="79">
        <v>336</v>
      </c>
      <c r="BX120" s="62">
        <v>360</v>
      </c>
      <c r="BY120" s="63">
        <v>112</v>
      </c>
      <c r="BZ120" s="63">
        <v>173</v>
      </c>
      <c r="CA120" s="63">
        <v>225</v>
      </c>
      <c r="CB120" s="63">
        <v>7</v>
      </c>
      <c r="CC120" s="63">
        <v>153</v>
      </c>
      <c r="CD120" s="63">
        <v>3</v>
      </c>
      <c r="CE120" s="50">
        <v>0</v>
      </c>
    </row>
    <row r="121" spans="2:83" x14ac:dyDescent="0.3">
      <c r="B121" s="46">
        <v>23</v>
      </c>
      <c r="C121" s="47">
        <v>43621</v>
      </c>
      <c r="D121" s="48">
        <v>10</v>
      </c>
      <c r="E121" s="49">
        <v>1053</v>
      </c>
      <c r="F121" s="50">
        <v>294</v>
      </c>
      <c r="G121" s="51">
        <v>4.0453547915142645</v>
      </c>
      <c r="H121" s="52">
        <v>6.7936117936117935</v>
      </c>
      <c r="I121" s="53">
        <v>814</v>
      </c>
      <c r="J121" s="54">
        <v>1367</v>
      </c>
      <c r="K121" s="54">
        <v>5530</v>
      </c>
      <c r="L121" s="55">
        <v>5626.9</v>
      </c>
      <c r="M121" s="56">
        <v>485.95299999999997</v>
      </c>
      <c r="N121" s="57">
        <v>829.5</v>
      </c>
      <c r="O121" s="58">
        <v>480.99</v>
      </c>
      <c r="P121" s="59">
        <v>11.49712052225618</v>
      </c>
      <c r="Q121" s="60">
        <v>635.94000000000005</v>
      </c>
      <c r="R121" s="61">
        <v>8.6957889109035431</v>
      </c>
      <c r="S121" s="48"/>
      <c r="T121" s="50"/>
      <c r="U121" s="62">
        <v>10</v>
      </c>
      <c r="V121" s="63">
        <v>78</v>
      </c>
      <c r="W121" s="50">
        <v>64</v>
      </c>
      <c r="X121" s="48">
        <v>55</v>
      </c>
      <c r="Y121" s="63">
        <v>132</v>
      </c>
      <c r="Z121" s="63">
        <v>634</v>
      </c>
      <c r="AA121" s="64">
        <v>744.8</v>
      </c>
      <c r="AB121" s="65">
        <v>72.66</v>
      </c>
      <c r="AC121" s="66"/>
      <c r="AD121" s="67"/>
      <c r="AE121" s="68"/>
      <c r="AF121" s="48">
        <v>55</v>
      </c>
      <c r="AG121" s="63">
        <v>101</v>
      </c>
      <c r="AH121" s="63">
        <v>22</v>
      </c>
      <c r="AI121" s="63">
        <v>47</v>
      </c>
      <c r="AJ121" s="63">
        <v>31</v>
      </c>
      <c r="AK121" s="63">
        <v>128</v>
      </c>
      <c r="AL121" s="63">
        <v>73</v>
      </c>
      <c r="AM121" s="63">
        <v>81</v>
      </c>
      <c r="AN121" s="63">
        <v>260</v>
      </c>
      <c r="AO121" s="63">
        <v>51</v>
      </c>
      <c r="AP121" s="63">
        <v>93</v>
      </c>
      <c r="AQ121" s="63">
        <v>86</v>
      </c>
      <c r="AR121" s="63">
        <v>1</v>
      </c>
      <c r="AS121" s="63">
        <v>0</v>
      </c>
      <c r="AT121" s="63">
        <v>3</v>
      </c>
      <c r="AU121" s="63">
        <v>59</v>
      </c>
      <c r="AV121" s="63">
        <v>200</v>
      </c>
      <c r="AW121" s="50">
        <v>34</v>
      </c>
      <c r="AX121" s="69">
        <v>4827</v>
      </c>
      <c r="AY121" s="69">
        <v>33408</v>
      </c>
      <c r="AZ121" s="54">
        <v>125</v>
      </c>
      <c r="BA121" s="54">
        <v>997</v>
      </c>
      <c r="BB121" s="54">
        <v>442</v>
      </c>
      <c r="BC121" s="54">
        <v>1547</v>
      </c>
      <c r="BD121" s="54">
        <v>1149</v>
      </c>
      <c r="BE121" s="70">
        <v>693</v>
      </c>
      <c r="BF121" s="63">
        <v>240</v>
      </c>
      <c r="BG121" s="71">
        <v>2082</v>
      </c>
      <c r="BH121" s="67"/>
      <c r="BI121" s="68"/>
      <c r="BJ121" s="72">
        <v>1560</v>
      </c>
      <c r="BK121" s="62"/>
      <c r="BL121" s="70">
        <v>2090</v>
      </c>
      <c r="BM121" s="70">
        <v>341</v>
      </c>
      <c r="BN121" s="70">
        <v>29</v>
      </c>
      <c r="BO121" s="70">
        <v>1149</v>
      </c>
      <c r="BP121" s="73">
        <v>41</v>
      </c>
      <c r="BQ121" s="48">
        <v>405</v>
      </c>
      <c r="BR121" s="63">
        <v>150</v>
      </c>
      <c r="BS121" s="50">
        <v>118</v>
      </c>
      <c r="BT121" s="76">
        <v>69.825436408977552</v>
      </c>
      <c r="BU121" s="77">
        <v>30.174563591022444</v>
      </c>
      <c r="BV121" s="78">
        <v>560</v>
      </c>
      <c r="BW121" s="79">
        <v>242</v>
      </c>
      <c r="BX121" s="62">
        <v>266</v>
      </c>
      <c r="BY121" s="63">
        <v>99</v>
      </c>
      <c r="BZ121" s="63">
        <v>119</v>
      </c>
      <c r="CA121" s="63">
        <v>195</v>
      </c>
      <c r="CB121" s="63">
        <v>8</v>
      </c>
      <c r="CC121" s="63">
        <v>103</v>
      </c>
      <c r="CD121" s="63">
        <v>12</v>
      </c>
      <c r="CE121" s="50">
        <v>0</v>
      </c>
    </row>
    <row r="122" spans="2:83" x14ac:dyDescent="0.3">
      <c r="B122" s="46">
        <v>23</v>
      </c>
      <c r="C122" s="47">
        <v>43622</v>
      </c>
      <c r="D122" s="48">
        <v>5</v>
      </c>
      <c r="E122" s="49">
        <v>1327</v>
      </c>
      <c r="F122" s="50">
        <v>400</v>
      </c>
      <c r="G122" s="51">
        <v>4.2706019871420224</v>
      </c>
      <c r="H122" s="52">
        <v>7.2061143984220903</v>
      </c>
      <c r="I122" s="53">
        <v>1014</v>
      </c>
      <c r="J122" s="54">
        <v>1711</v>
      </c>
      <c r="K122" s="54">
        <v>7307</v>
      </c>
      <c r="L122" s="55">
        <v>6993.2</v>
      </c>
      <c r="M122" s="56">
        <v>599.6</v>
      </c>
      <c r="N122" s="57">
        <v>1096.05</v>
      </c>
      <c r="O122" s="58">
        <v>505.46000000000004</v>
      </c>
      <c r="P122" s="59">
        <v>14.456138962529181</v>
      </c>
      <c r="Q122" s="60">
        <v>649.16</v>
      </c>
      <c r="R122" s="61">
        <v>11.256084786493314</v>
      </c>
      <c r="S122" s="48"/>
      <c r="T122" s="50"/>
      <c r="U122" s="62">
        <v>0</v>
      </c>
      <c r="V122" s="63">
        <v>84</v>
      </c>
      <c r="W122" s="50">
        <v>61</v>
      </c>
      <c r="X122" s="48">
        <v>29</v>
      </c>
      <c r="Y122" s="63">
        <v>149</v>
      </c>
      <c r="Z122" s="63">
        <v>537</v>
      </c>
      <c r="AA122" s="64">
        <v>830.6</v>
      </c>
      <c r="AB122" s="65">
        <v>86.34</v>
      </c>
      <c r="AC122" s="66"/>
      <c r="AD122" s="67"/>
      <c r="AE122" s="68"/>
      <c r="AF122" s="48">
        <v>101</v>
      </c>
      <c r="AG122" s="63">
        <v>138</v>
      </c>
      <c r="AH122" s="63">
        <v>41</v>
      </c>
      <c r="AI122" s="63">
        <v>67</v>
      </c>
      <c r="AJ122" s="63">
        <v>34</v>
      </c>
      <c r="AK122" s="63">
        <v>157</v>
      </c>
      <c r="AL122" s="63">
        <v>129</v>
      </c>
      <c r="AM122" s="63">
        <v>75</v>
      </c>
      <c r="AN122" s="63">
        <v>277</v>
      </c>
      <c r="AO122" s="63">
        <v>59</v>
      </c>
      <c r="AP122" s="63">
        <v>89</v>
      </c>
      <c r="AQ122" s="63">
        <v>157</v>
      </c>
      <c r="AR122" s="63">
        <v>1</v>
      </c>
      <c r="AS122" s="63">
        <v>0</v>
      </c>
      <c r="AT122" s="63">
        <v>1</v>
      </c>
      <c r="AU122" s="63">
        <v>85</v>
      </c>
      <c r="AV122" s="63">
        <v>290</v>
      </c>
      <c r="AW122" s="50">
        <v>24</v>
      </c>
      <c r="AX122" s="69"/>
      <c r="AY122" s="69"/>
      <c r="AZ122" s="54"/>
      <c r="BA122" s="54"/>
      <c r="BB122" s="54"/>
      <c r="BC122" s="54"/>
      <c r="BD122" s="54"/>
      <c r="BE122" s="70"/>
      <c r="BF122" s="63"/>
      <c r="BG122" s="71">
        <v>0</v>
      </c>
      <c r="BH122" s="67"/>
      <c r="BI122" s="68"/>
      <c r="BJ122" s="72">
        <v>0</v>
      </c>
      <c r="BK122" s="62"/>
      <c r="BL122" s="70"/>
      <c r="BM122" s="70"/>
      <c r="BN122" s="70"/>
      <c r="BO122" s="70"/>
      <c r="BP122" s="73"/>
      <c r="BQ122" s="48"/>
      <c r="BR122" s="63"/>
      <c r="BS122" s="50"/>
      <c r="BT122" s="76" t="e">
        <v>#DIV/0!</v>
      </c>
      <c r="BU122" s="77" t="e">
        <v>#DIV/0!</v>
      </c>
      <c r="BV122" s="78">
        <v>0</v>
      </c>
      <c r="BW122" s="79">
        <v>0</v>
      </c>
      <c r="BX122" s="62"/>
      <c r="BY122" s="63"/>
      <c r="BZ122" s="63"/>
      <c r="CA122" s="63"/>
      <c r="CB122" s="63"/>
      <c r="CC122" s="63"/>
      <c r="CD122" s="63"/>
      <c r="CE122" s="50"/>
    </row>
    <row r="123" spans="2:83" x14ac:dyDescent="0.3">
      <c r="B123" s="46">
        <v>23</v>
      </c>
      <c r="C123" s="47">
        <v>43623</v>
      </c>
      <c r="D123" s="48">
        <v>7</v>
      </c>
      <c r="E123" s="49">
        <v>1756</v>
      </c>
      <c r="F123" s="50">
        <v>474</v>
      </c>
      <c r="G123" s="51">
        <v>3.5117133670188334</v>
      </c>
      <c r="H123" s="52">
        <v>6.6885389326334206</v>
      </c>
      <c r="I123" s="53">
        <v>1143</v>
      </c>
      <c r="J123" s="54">
        <v>2177</v>
      </c>
      <c r="K123" s="54">
        <v>7645</v>
      </c>
      <c r="L123" s="55">
        <v>5013.6000000000004</v>
      </c>
      <c r="M123" s="56">
        <v>582.83600000000001</v>
      </c>
      <c r="N123" s="57">
        <v>1146.75</v>
      </c>
      <c r="O123" s="58">
        <v>500.14</v>
      </c>
      <c r="P123" s="59">
        <v>15.285719998400449</v>
      </c>
      <c r="Q123" s="60">
        <v>648.34</v>
      </c>
      <c r="R123" s="61">
        <v>11.79165252799457</v>
      </c>
      <c r="S123" s="48"/>
      <c r="T123" s="50"/>
      <c r="U123" s="62">
        <v>0</v>
      </c>
      <c r="V123" s="63">
        <v>109</v>
      </c>
      <c r="W123" s="50">
        <v>139</v>
      </c>
      <c r="X123" s="48">
        <v>51</v>
      </c>
      <c r="Y123" s="63">
        <v>262</v>
      </c>
      <c r="Z123" s="63">
        <v>312</v>
      </c>
      <c r="AA123" s="64">
        <v>954.8</v>
      </c>
      <c r="AB123" s="65">
        <v>141.41399999999999</v>
      </c>
      <c r="AC123" s="66"/>
      <c r="AD123" s="67"/>
      <c r="AE123" s="68"/>
      <c r="AF123" s="48">
        <v>141</v>
      </c>
      <c r="AG123" s="63">
        <v>179</v>
      </c>
      <c r="AH123" s="63">
        <v>45</v>
      </c>
      <c r="AI123" s="63">
        <v>63</v>
      </c>
      <c r="AJ123" s="63">
        <v>61</v>
      </c>
      <c r="AK123" s="63">
        <v>159</v>
      </c>
      <c r="AL123" s="63">
        <v>102</v>
      </c>
      <c r="AM123" s="63">
        <v>56</v>
      </c>
      <c r="AN123" s="63">
        <v>322</v>
      </c>
      <c r="AO123" s="63">
        <v>76</v>
      </c>
      <c r="AP123" s="63">
        <v>98</v>
      </c>
      <c r="AQ123" s="63">
        <v>436</v>
      </c>
      <c r="AR123" s="63">
        <v>0</v>
      </c>
      <c r="AS123" s="63">
        <v>1</v>
      </c>
      <c r="AT123" s="63">
        <v>6</v>
      </c>
      <c r="AU123" s="63">
        <v>100</v>
      </c>
      <c r="AV123" s="63">
        <v>355</v>
      </c>
      <c r="AW123" s="50">
        <v>17</v>
      </c>
      <c r="AX123" s="69"/>
      <c r="AY123" s="69"/>
      <c r="AZ123" s="54"/>
      <c r="BA123" s="54"/>
      <c r="BB123" s="54"/>
      <c r="BC123" s="54"/>
      <c r="BD123" s="54"/>
      <c r="BE123" s="70"/>
      <c r="BF123" s="63"/>
      <c r="BG123" s="71">
        <v>0</v>
      </c>
      <c r="BH123" s="67"/>
      <c r="BI123" s="68"/>
      <c r="BJ123" s="72">
        <v>0</v>
      </c>
      <c r="BK123" s="62"/>
      <c r="BL123" s="70"/>
      <c r="BM123" s="70"/>
      <c r="BN123" s="70"/>
      <c r="BO123" s="70"/>
      <c r="BP123" s="73"/>
      <c r="BQ123" s="48"/>
      <c r="BR123" s="63"/>
      <c r="BS123" s="50"/>
      <c r="BT123" s="76" t="e">
        <v>#DIV/0!</v>
      </c>
      <c r="BU123" s="77" t="e">
        <v>#DIV/0!</v>
      </c>
      <c r="BV123" s="78">
        <v>0</v>
      </c>
      <c r="BW123" s="79">
        <v>0</v>
      </c>
      <c r="BX123" s="62"/>
      <c r="BY123" s="63"/>
      <c r="BZ123" s="63"/>
      <c r="CA123" s="63"/>
      <c r="CB123" s="63"/>
      <c r="CC123" s="63"/>
      <c r="CD123" s="63"/>
      <c r="CE123" s="50"/>
    </row>
    <row r="124" spans="2:83" x14ac:dyDescent="0.3">
      <c r="B124" s="46">
        <v>24</v>
      </c>
      <c r="C124" s="47">
        <v>43627</v>
      </c>
      <c r="D124" s="48">
        <v>19</v>
      </c>
      <c r="E124" s="49">
        <v>3104</v>
      </c>
      <c r="F124" s="50">
        <v>261</v>
      </c>
      <c r="G124" s="51">
        <v>2.5174349881796689</v>
      </c>
      <c r="H124" s="52">
        <v>3.4062375049980007</v>
      </c>
      <c r="I124" s="53">
        <v>2501</v>
      </c>
      <c r="J124" s="54">
        <v>3384</v>
      </c>
      <c r="K124" s="54">
        <v>8519</v>
      </c>
      <c r="L124" s="55">
        <v>5646.5</v>
      </c>
      <c r="M124" s="56">
        <v>588.899</v>
      </c>
      <c r="N124" s="57">
        <v>1277.8499999999999</v>
      </c>
      <c r="O124" s="58">
        <v>534.06999999999994</v>
      </c>
      <c r="P124" s="59">
        <v>15.951092553410604</v>
      </c>
      <c r="Q124" s="60">
        <v>696.04</v>
      </c>
      <c r="R124" s="61">
        <v>12.239239124188266</v>
      </c>
      <c r="S124" s="48"/>
      <c r="T124" s="50"/>
      <c r="U124" s="62"/>
      <c r="V124" s="63"/>
      <c r="W124" s="50"/>
      <c r="X124" s="48">
        <v>24</v>
      </c>
      <c r="Y124" s="63">
        <v>153</v>
      </c>
      <c r="Z124" s="63">
        <v>106</v>
      </c>
      <c r="AA124" s="64">
        <v>405.1</v>
      </c>
      <c r="AB124" s="65">
        <v>97.206000000000003</v>
      </c>
      <c r="AC124" s="66"/>
      <c r="AD124" s="67"/>
      <c r="AE124" s="68"/>
      <c r="AF124" s="48">
        <v>287</v>
      </c>
      <c r="AG124" s="63">
        <v>478</v>
      </c>
      <c r="AH124" s="63">
        <v>92</v>
      </c>
      <c r="AI124" s="63">
        <v>162</v>
      </c>
      <c r="AJ124" s="63">
        <v>148</v>
      </c>
      <c r="AK124" s="63">
        <v>432</v>
      </c>
      <c r="AL124" s="63">
        <v>243</v>
      </c>
      <c r="AM124" s="63">
        <v>159</v>
      </c>
      <c r="AN124" s="63">
        <v>480</v>
      </c>
      <c r="AO124" s="63">
        <v>110</v>
      </c>
      <c r="AP124" s="63">
        <v>133</v>
      </c>
      <c r="AQ124" s="63">
        <v>325</v>
      </c>
      <c r="AR124" s="63">
        <v>17</v>
      </c>
      <c r="AS124" s="63">
        <v>0</v>
      </c>
      <c r="AT124" s="63">
        <v>32</v>
      </c>
      <c r="AU124" s="63">
        <v>79</v>
      </c>
      <c r="AV124" s="63">
        <v>178</v>
      </c>
      <c r="AW124" s="50">
        <v>3</v>
      </c>
      <c r="AX124" s="69"/>
      <c r="AY124" s="69"/>
      <c r="AZ124" s="54"/>
      <c r="BA124" s="54"/>
      <c r="BB124" s="54"/>
      <c r="BC124" s="54"/>
      <c r="BD124" s="54"/>
      <c r="BE124" s="70"/>
      <c r="BF124" s="63"/>
      <c r="BG124" s="71">
        <v>0</v>
      </c>
      <c r="BH124" s="67"/>
      <c r="BI124" s="68"/>
      <c r="BJ124" s="72">
        <v>0</v>
      </c>
      <c r="BK124" s="62"/>
      <c r="BL124" s="70"/>
      <c r="BM124" s="70"/>
      <c r="BN124" s="70"/>
      <c r="BO124" s="70"/>
      <c r="BP124" s="73"/>
      <c r="BQ124" s="48"/>
      <c r="BR124" s="63"/>
      <c r="BS124" s="50"/>
      <c r="BT124" s="76" t="e">
        <v>#DIV/0!</v>
      </c>
      <c r="BU124" s="77" t="e">
        <v>#DIV/0!</v>
      </c>
      <c r="BV124" s="78">
        <v>0</v>
      </c>
      <c r="BW124" s="79">
        <v>0</v>
      </c>
      <c r="BX124" s="62"/>
      <c r="BY124" s="63"/>
      <c r="BZ124" s="63"/>
      <c r="CA124" s="63"/>
      <c r="CB124" s="63"/>
      <c r="CC124" s="63"/>
      <c r="CD124" s="63"/>
      <c r="CE124" s="50"/>
    </row>
    <row r="125" spans="2:83" x14ac:dyDescent="0.3">
      <c r="B125" s="46">
        <v>24</v>
      </c>
      <c r="C125" s="47">
        <v>43628</v>
      </c>
      <c r="D125" s="48">
        <v>13</v>
      </c>
      <c r="E125" s="49">
        <v>1859</v>
      </c>
      <c r="F125" s="50">
        <v>532</v>
      </c>
      <c r="G125" s="51">
        <v>3.2579034941763729</v>
      </c>
      <c r="H125" s="52">
        <v>5.4616457461645744</v>
      </c>
      <c r="I125" s="53">
        <v>1434</v>
      </c>
      <c r="J125" s="54">
        <v>2404</v>
      </c>
      <c r="K125" s="54">
        <v>7832</v>
      </c>
      <c r="L125" s="55">
        <v>7668.9</v>
      </c>
      <c r="M125" s="56">
        <v>803</v>
      </c>
      <c r="N125" s="57">
        <v>1174.8</v>
      </c>
      <c r="O125" s="58">
        <v>608.01</v>
      </c>
      <c r="P125" s="59">
        <v>12.881367082778244</v>
      </c>
      <c r="Q125" s="60">
        <v>773.48</v>
      </c>
      <c r="R125" s="61">
        <v>10.125665821999275</v>
      </c>
      <c r="S125" s="48"/>
      <c r="T125" s="50"/>
      <c r="U125" s="62"/>
      <c r="V125" s="63"/>
      <c r="W125" s="50"/>
      <c r="X125" s="48">
        <v>50</v>
      </c>
      <c r="Y125" s="63">
        <v>240</v>
      </c>
      <c r="Z125" s="63">
        <v>267</v>
      </c>
      <c r="AA125" s="64">
        <v>1061.5</v>
      </c>
      <c r="AB125" s="65">
        <v>182.31200000000001</v>
      </c>
      <c r="AC125" s="66"/>
      <c r="AD125" s="67"/>
      <c r="AE125" s="68"/>
      <c r="AF125" s="48">
        <v>141</v>
      </c>
      <c r="AG125" s="63">
        <v>221</v>
      </c>
      <c r="AH125" s="63">
        <v>56</v>
      </c>
      <c r="AI125" s="63">
        <v>59</v>
      </c>
      <c r="AJ125" s="63">
        <v>74</v>
      </c>
      <c r="AK125" s="63">
        <v>199</v>
      </c>
      <c r="AL125" s="63">
        <v>161</v>
      </c>
      <c r="AM125" s="63">
        <v>117</v>
      </c>
      <c r="AN125" s="63">
        <v>448</v>
      </c>
      <c r="AO125" s="63">
        <v>70</v>
      </c>
      <c r="AP125" s="63">
        <v>155</v>
      </c>
      <c r="AQ125" s="63">
        <v>143</v>
      </c>
      <c r="AR125" s="63">
        <v>2</v>
      </c>
      <c r="AS125" s="63">
        <v>0</v>
      </c>
      <c r="AT125" s="63">
        <v>10</v>
      </c>
      <c r="AU125" s="63">
        <v>101</v>
      </c>
      <c r="AV125" s="63">
        <v>431</v>
      </c>
      <c r="AW125" s="50">
        <v>0</v>
      </c>
      <c r="AX125" s="69"/>
      <c r="AY125" s="69"/>
      <c r="AZ125" s="54"/>
      <c r="BA125" s="54"/>
      <c r="BB125" s="54"/>
      <c r="BC125" s="54"/>
      <c r="BD125" s="54"/>
      <c r="BE125" s="70"/>
      <c r="BF125" s="63"/>
      <c r="BG125" s="71">
        <v>0</v>
      </c>
      <c r="BH125" s="67"/>
      <c r="BI125" s="68"/>
      <c r="BJ125" s="72">
        <v>0</v>
      </c>
      <c r="BK125" s="62"/>
      <c r="BL125" s="70"/>
      <c r="BM125" s="70"/>
      <c r="BN125" s="70"/>
      <c r="BO125" s="70"/>
      <c r="BP125" s="73"/>
      <c r="BQ125" s="48"/>
      <c r="BR125" s="63"/>
      <c r="BS125" s="50"/>
      <c r="BT125" s="76" t="e">
        <v>#DIV/0!</v>
      </c>
      <c r="BU125" s="77" t="e">
        <v>#DIV/0!</v>
      </c>
      <c r="BV125" s="78">
        <v>0</v>
      </c>
      <c r="BW125" s="79">
        <v>0</v>
      </c>
      <c r="BX125" s="62"/>
      <c r="BY125" s="63"/>
      <c r="BZ125" s="63"/>
      <c r="CA125" s="63"/>
      <c r="CB125" s="63"/>
      <c r="CC125" s="63"/>
      <c r="CD125" s="63"/>
      <c r="CE125" s="50"/>
    </row>
    <row r="126" spans="2:83" x14ac:dyDescent="0.3">
      <c r="B126" s="46">
        <v>24</v>
      </c>
      <c r="C126" s="47">
        <v>43629</v>
      </c>
      <c r="D126" s="48">
        <v>17</v>
      </c>
      <c r="E126" s="49">
        <v>1846</v>
      </c>
      <c r="F126" s="50">
        <v>280</v>
      </c>
      <c r="G126" s="51">
        <v>4.7545496966868876</v>
      </c>
      <c r="H126" s="52">
        <v>7.5251107828655837</v>
      </c>
      <c r="I126" s="53">
        <v>1354</v>
      </c>
      <c r="J126" s="54">
        <v>2143</v>
      </c>
      <c r="K126" s="54">
        <v>10189</v>
      </c>
      <c r="L126" s="55">
        <v>6394.4</v>
      </c>
      <c r="M126" s="56">
        <v>596.92399999999998</v>
      </c>
      <c r="N126" s="57">
        <v>1528.35</v>
      </c>
      <c r="O126" s="58"/>
      <c r="P126" s="59"/>
      <c r="Q126" s="81"/>
      <c r="R126" s="82"/>
      <c r="S126" s="48"/>
      <c r="T126" s="50"/>
      <c r="U126" s="62"/>
      <c r="V126" s="63"/>
      <c r="W126" s="50"/>
      <c r="X126" s="48">
        <v>20</v>
      </c>
      <c r="Y126" s="63">
        <v>102</v>
      </c>
      <c r="Z126" s="63">
        <v>324</v>
      </c>
      <c r="AA126" s="64">
        <v>694.2</v>
      </c>
      <c r="AB126" s="65">
        <v>82.837000000000003</v>
      </c>
      <c r="AC126" s="66"/>
      <c r="AD126" s="67"/>
      <c r="AE126" s="68"/>
      <c r="AF126" s="48"/>
      <c r="AG126" s="63"/>
      <c r="AH126" s="63"/>
      <c r="AI126" s="63"/>
      <c r="AJ126" s="63"/>
      <c r="AK126" s="63"/>
      <c r="AL126" s="63"/>
      <c r="AM126" s="63"/>
      <c r="AN126" s="63"/>
      <c r="AO126" s="63"/>
      <c r="AP126" s="63"/>
      <c r="AQ126" s="63"/>
      <c r="AR126" s="63"/>
      <c r="AS126" s="63"/>
      <c r="AT126" s="63"/>
      <c r="AU126" s="63"/>
      <c r="AV126" s="63"/>
      <c r="AW126" s="50"/>
      <c r="AX126" s="69"/>
      <c r="AY126" s="69"/>
      <c r="AZ126" s="54"/>
      <c r="BA126" s="54"/>
      <c r="BB126" s="54"/>
      <c r="BC126" s="54"/>
      <c r="BD126" s="54"/>
      <c r="BE126" s="70"/>
      <c r="BF126" s="63"/>
      <c r="BG126" s="71">
        <v>0</v>
      </c>
      <c r="BH126" s="67"/>
      <c r="BI126" s="68"/>
      <c r="BJ126" s="72">
        <v>0</v>
      </c>
      <c r="BK126" s="62"/>
      <c r="BL126" s="70"/>
      <c r="BM126" s="70"/>
      <c r="BN126" s="70"/>
      <c r="BO126" s="70"/>
      <c r="BP126" s="73"/>
      <c r="BQ126" s="48"/>
      <c r="BR126" s="63"/>
      <c r="BS126" s="50"/>
      <c r="BT126" s="76" t="e">
        <v>#DIV/0!</v>
      </c>
      <c r="BU126" s="77" t="e">
        <v>#DIV/0!</v>
      </c>
      <c r="BV126" s="78">
        <v>0</v>
      </c>
      <c r="BW126" s="79">
        <v>0</v>
      </c>
      <c r="BX126" s="62"/>
      <c r="BY126" s="63"/>
      <c r="BZ126" s="63"/>
      <c r="CA126" s="63"/>
      <c r="CB126" s="63"/>
      <c r="CC126" s="63"/>
      <c r="CD126" s="63"/>
      <c r="CE126" s="50"/>
    </row>
    <row r="127" spans="2:83" x14ac:dyDescent="0.3">
      <c r="B127" s="46">
        <v>24</v>
      </c>
      <c r="C127" s="47">
        <v>43630</v>
      </c>
      <c r="D127" s="48">
        <v>14</v>
      </c>
      <c r="E127" s="49">
        <v>2629</v>
      </c>
      <c r="F127" s="50">
        <v>361</v>
      </c>
      <c r="G127" s="51">
        <v>3.5053262316910785</v>
      </c>
      <c r="H127" s="52">
        <v>5.2128712871287126</v>
      </c>
      <c r="I127" s="53">
        <v>2020</v>
      </c>
      <c r="J127" s="54">
        <v>3004</v>
      </c>
      <c r="K127" s="54">
        <v>10530</v>
      </c>
      <c r="L127" s="55">
        <v>6757.8</v>
      </c>
      <c r="M127" s="56">
        <v>670</v>
      </c>
      <c r="N127" s="57">
        <v>1579.5</v>
      </c>
      <c r="O127" s="58"/>
      <c r="P127" s="59"/>
      <c r="Q127" s="81"/>
      <c r="R127" s="82"/>
      <c r="S127" s="48"/>
      <c r="T127" s="50"/>
      <c r="U127" s="62"/>
      <c r="V127" s="63"/>
      <c r="W127" s="50"/>
      <c r="X127" s="48">
        <v>63</v>
      </c>
      <c r="Y127" s="63">
        <v>192</v>
      </c>
      <c r="Z127" s="63">
        <v>418</v>
      </c>
      <c r="AA127" s="64">
        <v>913.9</v>
      </c>
      <c r="AB127" s="65">
        <v>160</v>
      </c>
      <c r="AC127" s="66"/>
      <c r="AD127" s="67"/>
      <c r="AE127" s="68"/>
      <c r="AF127" s="48"/>
      <c r="AG127" s="63"/>
      <c r="AH127" s="63"/>
      <c r="AI127" s="63"/>
      <c r="AJ127" s="63"/>
      <c r="AK127" s="63"/>
      <c r="AL127" s="63"/>
      <c r="AM127" s="63"/>
      <c r="AN127" s="63"/>
      <c r="AO127" s="63"/>
      <c r="AP127" s="63"/>
      <c r="AQ127" s="63"/>
      <c r="AR127" s="63"/>
      <c r="AS127" s="63"/>
      <c r="AT127" s="63"/>
      <c r="AU127" s="63"/>
      <c r="AV127" s="63"/>
      <c r="AW127" s="50"/>
      <c r="AX127" s="69"/>
      <c r="AY127" s="69"/>
      <c r="AZ127" s="54"/>
      <c r="BA127" s="54"/>
      <c r="BB127" s="54"/>
      <c r="BC127" s="54"/>
      <c r="BD127" s="54"/>
      <c r="BE127" s="70"/>
      <c r="BF127" s="63"/>
      <c r="BG127" s="71">
        <v>0</v>
      </c>
      <c r="BH127" s="67"/>
      <c r="BI127" s="68"/>
      <c r="BJ127" s="72">
        <v>0</v>
      </c>
      <c r="BK127" s="62"/>
      <c r="BL127" s="70"/>
      <c r="BM127" s="70"/>
      <c r="BN127" s="70"/>
      <c r="BO127" s="70"/>
      <c r="BP127" s="73"/>
      <c r="BQ127" s="48"/>
      <c r="BR127" s="63"/>
      <c r="BS127" s="50"/>
      <c r="BT127" s="76" t="e">
        <v>#DIV/0!</v>
      </c>
      <c r="BU127" s="77" t="e">
        <v>#DIV/0!</v>
      </c>
      <c r="BV127" s="78">
        <v>0</v>
      </c>
      <c r="BW127" s="79">
        <v>0</v>
      </c>
      <c r="BX127" s="62"/>
      <c r="BY127" s="63"/>
      <c r="BZ127" s="63"/>
      <c r="CA127" s="63"/>
      <c r="CB127" s="63"/>
      <c r="CC127" s="63"/>
      <c r="CD127" s="63"/>
      <c r="CE127" s="50"/>
    </row>
    <row r="128" spans="2:83" x14ac:dyDescent="0.3">
      <c r="B128" s="46">
        <v>24</v>
      </c>
      <c r="C128" s="47">
        <v>43631</v>
      </c>
      <c r="D128" s="48">
        <v>0</v>
      </c>
      <c r="E128" s="49">
        <v>1870</v>
      </c>
      <c r="F128" s="50">
        <v>147</v>
      </c>
      <c r="G128" s="51">
        <v>2.8760535448686166</v>
      </c>
      <c r="H128" s="52">
        <v>3.9382213170400542</v>
      </c>
      <c r="I128" s="53">
        <v>1473</v>
      </c>
      <c r="J128" s="54">
        <v>2017</v>
      </c>
      <c r="K128" s="54">
        <v>5801</v>
      </c>
      <c r="L128" s="55">
        <v>4427.3</v>
      </c>
      <c r="M128" s="56">
        <v>268</v>
      </c>
      <c r="N128" s="57">
        <v>870.15</v>
      </c>
      <c r="O128" s="58"/>
      <c r="P128" s="59"/>
      <c r="Q128" s="81"/>
      <c r="R128" s="82"/>
      <c r="S128" s="48"/>
      <c r="T128" s="50"/>
      <c r="U128" s="62"/>
      <c r="V128" s="63"/>
      <c r="W128" s="50"/>
      <c r="X128" s="48">
        <v>45</v>
      </c>
      <c r="Y128" s="63">
        <v>88</v>
      </c>
      <c r="Z128" s="63">
        <v>154</v>
      </c>
      <c r="AA128" s="64">
        <v>164.7</v>
      </c>
      <c r="AB128" s="65">
        <v>14.907999999999999</v>
      </c>
      <c r="AC128" s="66"/>
      <c r="AD128" s="67"/>
      <c r="AE128" s="68"/>
      <c r="AF128" s="48"/>
      <c r="AG128" s="63"/>
      <c r="AH128" s="63"/>
      <c r="AI128" s="63"/>
      <c r="AJ128" s="63"/>
      <c r="AK128" s="63"/>
      <c r="AL128" s="63"/>
      <c r="AM128" s="63"/>
      <c r="AN128" s="63"/>
      <c r="AO128" s="63"/>
      <c r="AP128" s="63"/>
      <c r="AQ128" s="63"/>
      <c r="AR128" s="63"/>
      <c r="AS128" s="63"/>
      <c r="AT128" s="63"/>
      <c r="AU128" s="63"/>
      <c r="AV128" s="63"/>
      <c r="AW128" s="50"/>
      <c r="AX128" s="69"/>
      <c r="AY128" s="69"/>
      <c r="AZ128" s="54"/>
      <c r="BA128" s="54"/>
      <c r="BB128" s="54"/>
      <c r="BC128" s="54"/>
      <c r="BD128" s="54"/>
      <c r="BE128" s="70"/>
      <c r="BF128" s="63"/>
      <c r="BG128" s="71">
        <v>0</v>
      </c>
      <c r="BH128" s="67"/>
      <c r="BI128" s="68"/>
      <c r="BJ128" s="72">
        <v>0</v>
      </c>
      <c r="BK128" s="62"/>
      <c r="BL128" s="70"/>
      <c r="BM128" s="70"/>
      <c r="BN128" s="70"/>
      <c r="BO128" s="70"/>
      <c r="BP128" s="73"/>
      <c r="BQ128" s="48"/>
      <c r="BR128" s="63"/>
      <c r="BS128" s="50"/>
      <c r="BT128" s="76" t="e">
        <v>#DIV/0!</v>
      </c>
      <c r="BU128" s="77" t="e">
        <v>#DIV/0!</v>
      </c>
      <c r="BV128" s="78">
        <v>0</v>
      </c>
      <c r="BW128" s="79">
        <v>0</v>
      </c>
      <c r="BX128" s="62"/>
      <c r="BY128" s="63"/>
      <c r="BZ128" s="63"/>
      <c r="CA128" s="63"/>
      <c r="CB128" s="63"/>
      <c r="CC128" s="63"/>
      <c r="CD128" s="63"/>
      <c r="CE128" s="50"/>
    </row>
    <row r="129" spans="2:83" x14ac:dyDescent="0.3">
      <c r="B129" s="46">
        <v>0</v>
      </c>
      <c r="C129" s="47"/>
      <c r="D129" s="48"/>
      <c r="E129" s="49"/>
      <c r="F129" s="50"/>
      <c r="G129" s="51" t="e">
        <v>#DIV/0!</v>
      </c>
      <c r="H129" s="52" t="e">
        <v>#DIV/0!</v>
      </c>
      <c r="I129" s="53"/>
      <c r="J129" s="54"/>
      <c r="K129" s="54"/>
      <c r="L129" s="55"/>
      <c r="M129" s="56"/>
      <c r="N129" s="57">
        <v>0</v>
      </c>
      <c r="O129" s="58"/>
      <c r="P129" s="59"/>
      <c r="Q129" s="81"/>
      <c r="R129" s="82"/>
      <c r="S129" s="48"/>
      <c r="T129" s="50"/>
      <c r="U129" s="62"/>
      <c r="V129" s="63"/>
      <c r="W129" s="50"/>
      <c r="X129" s="48"/>
      <c r="Y129" s="63"/>
      <c r="Z129" s="63"/>
      <c r="AA129" s="64"/>
      <c r="AB129" s="65"/>
      <c r="AC129" s="66"/>
      <c r="AD129" s="67"/>
      <c r="AE129" s="68"/>
      <c r="AF129" s="48"/>
      <c r="AG129" s="63"/>
      <c r="AH129" s="63"/>
      <c r="AI129" s="63"/>
      <c r="AJ129" s="63"/>
      <c r="AK129" s="63"/>
      <c r="AL129" s="63"/>
      <c r="AM129" s="63"/>
      <c r="AN129" s="63"/>
      <c r="AO129" s="63"/>
      <c r="AP129" s="63"/>
      <c r="AQ129" s="63"/>
      <c r="AR129" s="63"/>
      <c r="AS129" s="63"/>
      <c r="AT129" s="63"/>
      <c r="AU129" s="63"/>
      <c r="AV129" s="63"/>
      <c r="AW129" s="50"/>
      <c r="AX129" s="69"/>
      <c r="AY129" s="69"/>
      <c r="AZ129" s="54"/>
      <c r="BA129" s="54"/>
      <c r="BB129" s="54"/>
      <c r="BC129" s="54"/>
      <c r="BD129" s="54"/>
      <c r="BE129" s="70"/>
      <c r="BF129" s="63"/>
      <c r="BG129" s="71">
        <v>0</v>
      </c>
      <c r="BH129" s="67"/>
      <c r="BI129" s="68"/>
      <c r="BJ129" s="72">
        <v>0</v>
      </c>
      <c r="BK129" s="62"/>
      <c r="BL129" s="70"/>
      <c r="BM129" s="70"/>
      <c r="BN129" s="70"/>
      <c r="BO129" s="70"/>
      <c r="BP129" s="73"/>
      <c r="BQ129" s="48"/>
      <c r="BR129" s="63"/>
      <c r="BS129" s="50"/>
      <c r="BT129" s="76" t="e">
        <v>#DIV/0!</v>
      </c>
      <c r="BU129" s="77" t="e">
        <v>#DIV/0!</v>
      </c>
      <c r="BV129" s="78">
        <v>0</v>
      </c>
      <c r="BW129" s="79">
        <v>0</v>
      </c>
      <c r="BX129" s="62"/>
      <c r="BY129" s="63"/>
      <c r="BZ129" s="63"/>
      <c r="CA129" s="63"/>
      <c r="CB129" s="63"/>
      <c r="CC129" s="63"/>
      <c r="CD129" s="63"/>
      <c r="CE129" s="50"/>
    </row>
    <row r="130" spans="2:83" x14ac:dyDescent="0.3">
      <c r="B130" s="46">
        <v>0</v>
      </c>
      <c r="C130" s="47"/>
      <c r="D130" s="48"/>
      <c r="E130" s="49"/>
      <c r="F130" s="50"/>
      <c r="G130" s="51" t="e">
        <v>#DIV/0!</v>
      </c>
      <c r="H130" s="52" t="e">
        <v>#DIV/0!</v>
      </c>
      <c r="I130" s="53"/>
      <c r="J130" s="54"/>
      <c r="K130" s="54"/>
      <c r="L130" s="55"/>
      <c r="M130" s="56"/>
      <c r="N130" s="57">
        <v>0</v>
      </c>
      <c r="O130" s="58"/>
      <c r="P130" s="59"/>
      <c r="Q130" s="81"/>
      <c r="R130" s="82"/>
      <c r="S130" s="48"/>
      <c r="T130" s="50"/>
      <c r="U130" s="62"/>
      <c r="V130" s="63"/>
      <c r="W130" s="50"/>
      <c r="X130" s="48"/>
      <c r="Y130" s="63"/>
      <c r="Z130" s="63"/>
      <c r="AA130" s="64"/>
      <c r="AB130" s="65"/>
      <c r="AC130" s="66"/>
      <c r="AD130" s="67"/>
      <c r="AE130" s="68"/>
      <c r="AF130" s="48"/>
      <c r="AG130" s="63"/>
      <c r="AH130" s="63"/>
      <c r="AI130" s="63"/>
      <c r="AJ130" s="63"/>
      <c r="AK130" s="63"/>
      <c r="AL130" s="63"/>
      <c r="AM130" s="63"/>
      <c r="AN130" s="63"/>
      <c r="AO130" s="63"/>
      <c r="AP130" s="63"/>
      <c r="AQ130" s="63"/>
      <c r="AR130" s="63"/>
      <c r="AS130" s="63"/>
      <c r="AT130" s="63"/>
      <c r="AU130" s="63"/>
      <c r="AV130" s="63"/>
      <c r="AW130" s="50"/>
      <c r="AX130" s="69"/>
      <c r="AY130" s="69"/>
      <c r="AZ130" s="54"/>
      <c r="BA130" s="54"/>
      <c r="BB130" s="54"/>
      <c r="BC130" s="54"/>
      <c r="BD130" s="54"/>
      <c r="BE130" s="70"/>
      <c r="BF130" s="63"/>
      <c r="BG130" s="71">
        <v>0</v>
      </c>
      <c r="BH130" s="67"/>
      <c r="BI130" s="68"/>
      <c r="BJ130" s="72">
        <v>0</v>
      </c>
      <c r="BK130" s="62"/>
      <c r="BL130" s="70"/>
      <c r="BM130" s="70"/>
      <c r="BN130" s="70"/>
      <c r="BO130" s="70"/>
      <c r="BP130" s="73"/>
      <c r="BQ130" s="48"/>
      <c r="BR130" s="63"/>
      <c r="BS130" s="50"/>
      <c r="BT130" s="76" t="e">
        <v>#DIV/0!</v>
      </c>
      <c r="BU130" s="77" t="e">
        <v>#DIV/0!</v>
      </c>
      <c r="BV130" s="78">
        <v>0</v>
      </c>
      <c r="BW130" s="79">
        <v>0</v>
      </c>
      <c r="BX130" s="62"/>
      <c r="BY130" s="63"/>
      <c r="BZ130" s="63"/>
      <c r="CA130" s="63"/>
      <c r="CB130" s="63"/>
      <c r="CC130" s="63"/>
      <c r="CD130" s="63"/>
      <c r="CE130" s="50"/>
    </row>
    <row r="131" spans="2:83" x14ac:dyDescent="0.3">
      <c r="B131" s="46">
        <v>0</v>
      </c>
      <c r="C131" s="47"/>
      <c r="D131" s="48"/>
      <c r="E131" s="49"/>
      <c r="F131" s="50"/>
      <c r="G131" s="51" t="e">
        <v>#DIV/0!</v>
      </c>
      <c r="H131" s="52" t="e">
        <v>#DIV/0!</v>
      </c>
      <c r="I131" s="53"/>
      <c r="J131" s="54"/>
      <c r="K131" s="54"/>
      <c r="L131" s="55"/>
      <c r="M131" s="56"/>
      <c r="N131" s="57">
        <v>0</v>
      </c>
      <c r="O131" s="58"/>
      <c r="P131" s="59"/>
      <c r="Q131" s="81"/>
      <c r="R131" s="82"/>
      <c r="S131" s="48"/>
      <c r="T131" s="50"/>
      <c r="U131" s="62"/>
      <c r="V131" s="63"/>
      <c r="W131" s="50"/>
      <c r="X131" s="48"/>
      <c r="Y131" s="63"/>
      <c r="Z131" s="63"/>
      <c r="AA131" s="64"/>
      <c r="AB131" s="65"/>
      <c r="AC131" s="66"/>
      <c r="AD131" s="67"/>
      <c r="AE131" s="68"/>
      <c r="AF131" s="48"/>
      <c r="AG131" s="63"/>
      <c r="AH131" s="63"/>
      <c r="AI131" s="63"/>
      <c r="AJ131" s="63"/>
      <c r="AK131" s="63"/>
      <c r="AL131" s="63"/>
      <c r="AM131" s="63"/>
      <c r="AN131" s="63"/>
      <c r="AO131" s="63"/>
      <c r="AP131" s="63"/>
      <c r="AQ131" s="63"/>
      <c r="AR131" s="63"/>
      <c r="AS131" s="63"/>
      <c r="AT131" s="63"/>
      <c r="AU131" s="63"/>
      <c r="AV131" s="63"/>
      <c r="AW131" s="50"/>
      <c r="AX131" s="69"/>
      <c r="AY131" s="69"/>
      <c r="AZ131" s="54"/>
      <c r="BA131" s="54"/>
      <c r="BB131" s="54"/>
      <c r="BC131" s="54"/>
      <c r="BD131" s="54"/>
      <c r="BE131" s="70"/>
      <c r="BF131" s="63"/>
      <c r="BG131" s="71">
        <v>0</v>
      </c>
      <c r="BH131" s="67"/>
      <c r="BI131" s="68"/>
      <c r="BJ131" s="72">
        <v>0</v>
      </c>
      <c r="BK131" s="62"/>
      <c r="BL131" s="70"/>
      <c r="BM131" s="70"/>
      <c r="BN131" s="70"/>
      <c r="BO131" s="70"/>
      <c r="BP131" s="73"/>
      <c r="BQ131" s="48"/>
      <c r="BR131" s="63"/>
      <c r="BS131" s="50"/>
      <c r="BT131" s="76" t="e">
        <v>#DIV/0!</v>
      </c>
      <c r="BU131" s="77" t="e">
        <v>#DIV/0!</v>
      </c>
      <c r="BV131" s="78">
        <v>0</v>
      </c>
      <c r="BW131" s="79">
        <v>0</v>
      </c>
      <c r="BX131" s="62"/>
      <c r="BY131" s="63"/>
      <c r="BZ131" s="63"/>
      <c r="CA131" s="63"/>
      <c r="CB131" s="63"/>
      <c r="CC131" s="63"/>
      <c r="CD131" s="63"/>
      <c r="CE131" s="50"/>
    </row>
    <row r="132" spans="2:83" x14ac:dyDescent="0.3">
      <c r="B132" s="46">
        <v>0</v>
      </c>
      <c r="C132" s="47"/>
      <c r="D132" s="48"/>
      <c r="E132" s="49"/>
      <c r="F132" s="50"/>
      <c r="G132" s="51" t="e">
        <v>#DIV/0!</v>
      </c>
      <c r="H132" s="52" t="e">
        <v>#DIV/0!</v>
      </c>
      <c r="I132" s="53"/>
      <c r="J132" s="54"/>
      <c r="K132" s="54"/>
      <c r="L132" s="55"/>
      <c r="M132" s="56"/>
      <c r="N132" s="57">
        <v>0</v>
      </c>
      <c r="O132" s="58"/>
      <c r="P132" s="59"/>
      <c r="Q132" s="81"/>
      <c r="R132" s="82"/>
      <c r="S132" s="48"/>
      <c r="T132" s="50"/>
      <c r="U132" s="62"/>
      <c r="V132" s="63"/>
      <c r="W132" s="50"/>
      <c r="X132" s="48"/>
      <c r="Y132" s="63"/>
      <c r="Z132" s="63"/>
      <c r="AA132" s="64"/>
      <c r="AB132" s="65"/>
      <c r="AC132" s="66"/>
      <c r="AD132" s="67"/>
      <c r="AE132" s="68"/>
      <c r="AF132" s="48"/>
      <c r="AG132" s="63"/>
      <c r="AH132" s="63"/>
      <c r="AI132" s="63"/>
      <c r="AJ132" s="63"/>
      <c r="AK132" s="63"/>
      <c r="AL132" s="63"/>
      <c r="AM132" s="63"/>
      <c r="AN132" s="63"/>
      <c r="AO132" s="63"/>
      <c r="AP132" s="63"/>
      <c r="AQ132" s="63"/>
      <c r="AR132" s="63"/>
      <c r="AS132" s="63"/>
      <c r="AT132" s="63"/>
      <c r="AU132" s="63"/>
      <c r="AV132" s="63"/>
      <c r="AW132" s="50"/>
      <c r="AX132" s="69"/>
      <c r="AY132" s="69"/>
      <c r="AZ132" s="54"/>
      <c r="BA132" s="54"/>
      <c r="BB132" s="54"/>
      <c r="BC132" s="54"/>
      <c r="BD132" s="54"/>
      <c r="BE132" s="70"/>
      <c r="BF132" s="63"/>
      <c r="BG132" s="71">
        <v>0</v>
      </c>
      <c r="BH132" s="67"/>
      <c r="BI132" s="68"/>
      <c r="BJ132" s="72">
        <v>0</v>
      </c>
      <c r="BK132" s="62"/>
      <c r="BL132" s="70"/>
      <c r="BM132" s="70"/>
      <c r="BN132" s="70"/>
      <c r="BO132" s="70"/>
      <c r="BP132" s="73"/>
      <c r="BQ132" s="48"/>
      <c r="BR132" s="63"/>
      <c r="BS132" s="50"/>
      <c r="BT132" s="76" t="e">
        <v>#DIV/0!</v>
      </c>
      <c r="BU132" s="77" t="e">
        <v>#DIV/0!</v>
      </c>
      <c r="BV132" s="78">
        <v>0</v>
      </c>
      <c r="BW132" s="79">
        <v>0</v>
      </c>
      <c r="BX132" s="62"/>
      <c r="BY132" s="63"/>
      <c r="BZ132" s="63"/>
      <c r="CA132" s="63"/>
      <c r="CB132" s="63"/>
      <c r="CC132" s="63"/>
      <c r="CD132" s="63"/>
      <c r="CE132" s="50"/>
    </row>
    <row r="133" spans="2:83" x14ac:dyDescent="0.3">
      <c r="B133" s="46">
        <v>0</v>
      </c>
      <c r="C133" s="47"/>
      <c r="D133" s="48"/>
      <c r="E133" s="49"/>
      <c r="F133" s="50"/>
      <c r="G133" s="51" t="e">
        <v>#DIV/0!</v>
      </c>
      <c r="H133" s="52" t="e">
        <v>#DIV/0!</v>
      </c>
      <c r="I133" s="53"/>
      <c r="J133" s="54"/>
      <c r="K133" s="54"/>
      <c r="L133" s="55"/>
      <c r="M133" s="56"/>
      <c r="N133" s="57">
        <v>0</v>
      </c>
      <c r="O133" s="58"/>
      <c r="P133" s="59"/>
      <c r="Q133" s="81"/>
      <c r="R133" s="82"/>
      <c r="S133" s="48"/>
      <c r="T133" s="50"/>
      <c r="U133" s="62"/>
      <c r="V133" s="63"/>
      <c r="W133" s="50"/>
      <c r="X133" s="48"/>
      <c r="Y133" s="63"/>
      <c r="Z133" s="63"/>
      <c r="AA133" s="64"/>
      <c r="AB133" s="65"/>
      <c r="AC133" s="66"/>
      <c r="AD133" s="67"/>
      <c r="AE133" s="68"/>
      <c r="AF133" s="48"/>
      <c r="AG133" s="63"/>
      <c r="AH133" s="63"/>
      <c r="AI133" s="63"/>
      <c r="AJ133" s="63"/>
      <c r="AK133" s="63"/>
      <c r="AL133" s="63"/>
      <c r="AM133" s="63"/>
      <c r="AN133" s="63"/>
      <c r="AO133" s="63"/>
      <c r="AP133" s="63"/>
      <c r="AQ133" s="63"/>
      <c r="AR133" s="63"/>
      <c r="AS133" s="63"/>
      <c r="AT133" s="63"/>
      <c r="AU133" s="63"/>
      <c r="AV133" s="63"/>
      <c r="AW133" s="50"/>
      <c r="AX133" s="69"/>
      <c r="AY133" s="69"/>
      <c r="AZ133" s="54"/>
      <c r="BA133" s="54"/>
      <c r="BB133" s="54"/>
      <c r="BC133" s="54"/>
      <c r="BD133" s="54"/>
      <c r="BE133" s="70"/>
      <c r="BF133" s="63"/>
      <c r="BG133" s="71">
        <v>0</v>
      </c>
      <c r="BH133" s="67"/>
      <c r="BI133" s="68"/>
      <c r="BJ133" s="72">
        <v>0</v>
      </c>
      <c r="BK133" s="62"/>
      <c r="BL133" s="70"/>
      <c r="BM133" s="70"/>
      <c r="BN133" s="70"/>
      <c r="BO133" s="70"/>
      <c r="BP133" s="73"/>
      <c r="BQ133" s="48"/>
      <c r="BR133" s="63"/>
      <c r="BS133" s="50"/>
      <c r="BT133" s="76" t="e">
        <v>#DIV/0!</v>
      </c>
      <c r="BU133" s="77" t="e">
        <v>#DIV/0!</v>
      </c>
      <c r="BV133" s="78">
        <v>0</v>
      </c>
      <c r="BW133" s="79">
        <v>0</v>
      </c>
      <c r="BX133" s="62"/>
      <c r="BY133" s="63"/>
      <c r="BZ133" s="63"/>
      <c r="CA133" s="63"/>
      <c r="CB133" s="63"/>
      <c r="CC133" s="63"/>
      <c r="CD133" s="63"/>
      <c r="CE133" s="50"/>
    </row>
    <row r="134" spans="2:83" x14ac:dyDescent="0.3">
      <c r="B134" s="46">
        <v>0</v>
      </c>
      <c r="C134" s="47"/>
      <c r="D134" s="48"/>
      <c r="E134" s="49"/>
      <c r="F134" s="50"/>
      <c r="G134" s="51" t="e">
        <v>#DIV/0!</v>
      </c>
      <c r="H134" s="52" t="e">
        <v>#DIV/0!</v>
      </c>
      <c r="I134" s="53"/>
      <c r="J134" s="54"/>
      <c r="K134" s="54"/>
      <c r="L134" s="55"/>
      <c r="M134" s="56"/>
      <c r="N134" s="57">
        <v>0</v>
      </c>
      <c r="O134" s="58"/>
      <c r="P134" s="59"/>
      <c r="Q134" s="81"/>
      <c r="R134" s="82"/>
      <c r="S134" s="48"/>
      <c r="T134" s="50"/>
      <c r="U134" s="62"/>
      <c r="V134" s="63"/>
      <c r="W134" s="50"/>
      <c r="X134" s="48"/>
      <c r="Y134" s="63"/>
      <c r="Z134" s="63"/>
      <c r="AA134" s="64"/>
      <c r="AB134" s="65"/>
      <c r="AC134" s="66"/>
      <c r="AD134" s="67"/>
      <c r="AE134" s="68"/>
      <c r="AF134" s="48"/>
      <c r="AG134" s="63"/>
      <c r="AH134" s="63"/>
      <c r="AI134" s="63"/>
      <c r="AJ134" s="63"/>
      <c r="AK134" s="63"/>
      <c r="AL134" s="63"/>
      <c r="AM134" s="63"/>
      <c r="AN134" s="63"/>
      <c r="AO134" s="63"/>
      <c r="AP134" s="63"/>
      <c r="AQ134" s="63"/>
      <c r="AR134" s="63"/>
      <c r="AS134" s="63"/>
      <c r="AT134" s="63"/>
      <c r="AU134" s="63"/>
      <c r="AV134" s="63"/>
      <c r="AW134" s="50"/>
      <c r="AX134" s="69"/>
      <c r="AY134" s="69"/>
      <c r="AZ134" s="54"/>
      <c r="BA134" s="54"/>
      <c r="BB134" s="54"/>
      <c r="BC134" s="54"/>
      <c r="BD134" s="54"/>
      <c r="BE134" s="70"/>
      <c r="BF134" s="63"/>
      <c r="BG134" s="71">
        <v>0</v>
      </c>
      <c r="BH134" s="67"/>
      <c r="BI134" s="68"/>
      <c r="BJ134" s="72">
        <v>0</v>
      </c>
      <c r="BK134" s="62"/>
      <c r="BL134" s="70"/>
      <c r="BM134" s="70"/>
      <c r="BN134" s="70"/>
      <c r="BO134" s="70"/>
      <c r="BP134" s="73"/>
      <c r="BQ134" s="48"/>
      <c r="BR134" s="63"/>
      <c r="BS134" s="50"/>
      <c r="BT134" s="76" t="e">
        <v>#DIV/0!</v>
      </c>
      <c r="BU134" s="77" t="e">
        <v>#DIV/0!</v>
      </c>
      <c r="BV134" s="78">
        <v>0</v>
      </c>
      <c r="BW134" s="79">
        <v>0</v>
      </c>
      <c r="BX134" s="62"/>
      <c r="BY134" s="63"/>
      <c r="BZ134" s="63"/>
      <c r="CA134" s="63"/>
      <c r="CB134" s="63"/>
      <c r="CC134" s="63"/>
      <c r="CD134" s="63"/>
      <c r="CE134" s="50"/>
    </row>
    <row r="135" spans="2:83" x14ac:dyDescent="0.3">
      <c r="B135" s="46">
        <v>0</v>
      </c>
      <c r="C135" s="47"/>
      <c r="D135" s="48"/>
      <c r="E135" s="49"/>
      <c r="F135" s="50"/>
      <c r="G135" s="51" t="e">
        <v>#DIV/0!</v>
      </c>
      <c r="H135" s="52" t="e">
        <v>#DIV/0!</v>
      </c>
      <c r="I135" s="53"/>
      <c r="J135" s="54"/>
      <c r="K135" s="54"/>
      <c r="L135" s="55"/>
      <c r="M135" s="56"/>
      <c r="N135" s="57">
        <v>0</v>
      </c>
      <c r="O135" s="58"/>
      <c r="P135" s="59"/>
      <c r="Q135" s="81"/>
      <c r="R135" s="82"/>
      <c r="S135" s="48"/>
      <c r="T135" s="50"/>
      <c r="U135" s="62"/>
      <c r="V135" s="63"/>
      <c r="W135" s="50"/>
      <c r="X135" s="48"/>
      <c r="Y135" s="63"/>
      <c r="Z135" s="63"/>
      <c r="AA135" s="64"/>
      <c r="AB135" s="65"/>
      <c r="AC135" s="66"/>
      <c r="AD135" s="67"/>
      <c r="AE135" s="68"/>
      <c r="AF135" s="48"/>
      <c r="AG135" s="63"/>
      <c r="AH135" s="63"/>
      <c r="AI135" s="63"/>
      <c r="AJ135" s="63"/>
      <c r="AK135" s="63"/>
      <c r="AL135" s="63"/>
      <c r="AM135" s="63"/>
      <c r="AN135" s="63"/>
      <c r="AO135" s="63"/>
      <c r="AP135" s="63"/>
      <c r="AQ135" s="63"/>
      <c r="AR135" s="63"/>
      <c r="AS135" s="63"/>
      <c r="AT135" s="63"/>
      <c r="AU135" s="63"/>
      <c r="AV135" s="63"/>
      <c r="AW135" s="50"/>
      <c r="AX135" s="69"/>
      <c r="AY135" s="69"/>
      <c r="AZ135" s="54"/>
      <c r="BA135" s="54"/>
      <c r="BB135" s="54"/>
      <c r="BC135" s="54"/>
      <c r="BD135" s="54"/>
      <c r="BE135" s="70"/>
      <c r="BF135" s="63"/>
      <c r="BG135" s="71">
        <v>0</v>
      </c>
      <c r="BH135" s="67"/>
      <c r="BI135" s="68"/>
      <c r="BJ135" s="72">
        <v>0</v>
      </c>
      <c r="BK135" s="62"/>
      <c r="BL135" s="70"/>
      <c r="BM135" s="70"/>
      <c r="BN135" s="70"/>
      <c r="BO135" s="70"/>
      <c r="BP135" s="73"/>
      <c r="BQ135" s="48"/>
      <c r="BR135" s="63"/>
      <c r="BS135" s="50"/>
      <c r="BT135" s="76" t="e">
        <v>#DIV/0!</v>
      </c>
      <c r="BU135" s="77" t="e">
        <v>#DIV/0!</v>
      </c>
      <c r="BV135" s="78">
        <v>0</v>
      </c>
      <c r="BW135" s="79">
        <v>0</v>
      </c>
      <c r="BX135" s="62"/>
      <c r="BY135" s="63"/>
      <c r="BZ135" s="63"/>
      <c r="CA135" s="63"/>
      <c r="CB135" s="63"/>
      <c r="CC135" s="63"/>
      <c r="CD135" s="63"/>
      <c r="CE135" s="50"/>
    </row>
    <row r="136" spans="2:83" x14ac:dyDescent="0.3">
      <c r="B136" s="46">
        <v>0</v>
      </c>
      <c r="C136" s="47"/>
      <c r="D136" s="48"/>
      <c r="E136" s="49"/>
      <c r="F136" s="50"/>
      <c r="G136" s="51" t="e">
        <v>#DIV/0!</v>
      </c>
      <c r="H136" s="52" t="e">
        <v>#DIV/0!</v>
      </c>
      <c r="I136" s="53"/>
      <c r="J136" s="54"/>
      <c r="K136" s="54"/>
      <c r="L136" s="55"/>
      <c r="M136" s="56"/>
      <c r="N136" s="57">
        <v>0</v>
      </c>
      <c r="O136" s="58"/>
      <c r="P136" s="59"/>
      <c r="Q136" s="81"/>
      <c r="R136" s="82"/>
      <c r="S136" s="48"/>
      <c r="T136" s="50"/>
      <c r="U136" s="62"/>
      <c r="V136" s="63"/>
      <c r="W136" s="50"/>
      <c r="X136" s="48"/>
      <c r="Y136" s="63"/>
      <c r="Z136" s="63"/>
      <c r="AA136" s="64"/>
      <c r="AB136" s="65"/>
      <c r="AC136" s="66"/>
      <c r="AD136" s="67"/>
      <c r="AE136" s="68"/>
      <c r="AF136" s="48"/>
      <c r="AG136" s="63"/>
      <c r="AH136" s="63"/>
      <c r="AI136" s="63"/>
      <c r="AJ136" s="63"/>
      <c r="AK136" s="63"/>
      <c r="AL136" s="63"/>
      <c r="AM136" s="63"/>
      <c r="AN136" s="63"/>
      <c r="AO136" s="63"/>
      <c r="AP136" s="63"/>
      <c r="AQ136" s="63"/>
      <c r="AR136" s="63"/>
      <c r="AS136" s="63"/>
      <c r="AT136" s="63"/>
      <c r="AU136" s="63"/>
      <c r="AV136" s="63"/>
      <c r="AW136" s="50"/>
      <c r="AX136" s="69"/>
      <c r="AY136" s="69"/>
      <c r="AZ136" s="54"/>
      <c r="BA136" s="54"/>
      <c r="BB136" s="54"/>
      <c r="BC136" s="54"/>
      <c r="BD136" s="54"/>
      <c r="BE136" s="70"/>
      <c r="BF136" s="63"/>
      <c r="BG136" s="71">
        <v>0</v>
      </c>
      <c r="BH136" s="67"/>
      <c r="BI136" s="68"/>
      <c r="BJ136" s="72">
        <v>0</v>
      </c>
      <c r="BK136" s="62"/>
      <c r="BL136" s="70"/>
      <c r="BM136" s="70"/>
      <c r="BN136" s="70"/>
      <c r="BO136" s="70"/>
      <c r="BP136" s="73"/>
      <c r="BQ136" s="48"/>
      <c r="BR136" s="63"/>
      <c r="BS136" s="50"/>
      <c r="BT136" s="76" t="e">
        <v>#DIV/0!</v>
      </c>
      <c r="BU136" s="77" t="e">
        <v>#DIV/0!</v>
      </c>
      <c r="BV136" s="78">
        <v>0</v>
      </c>
      <c r="BW136" s="79">
        <v>0</v>
      </c>
      <c r="BX136" s="62"/>
      <c r="BY136" s="63"/>
      <c r="BZ136" s="63"/>
      <c r="CA136" s="63"/>
      <c r="CB136" s="63"/>
      <c r="CC136" s="63"/>
      <c r="CD136" s="63"/>
      <c r="CE136" s="50"/>
    </row>
    <row r="137" spans="2:83" x14ac:dyDescent="0.3">
      <c r="B137" s="46">
        <v>0</v>
      </c>
      <c r="C137" s="47"/>
      <c r="D137" s="48"/>
      <c r="E137" s="49"/>
      <c r="F137" s="50"/>
      <c r="G137" s="51" t="e">
        <v>#DIV/0!</v>
      </c>
      <c r="H137" s="52" t="e">
        <v>#DIV/0!</v>
      </c>
      <c r="I137" s="53"/>
      <c r="J137" s="54"/>
      <c r="K137" s="54"/>
      <c r="L137" s="55"/>
      <c r="M137" s="56"/>
      <c r="N137" s="57">
        <v>0</v>
      </c>
      <c r="O137" s="58"/>
      <c r="P137" s="59"/>
      <c r="Q137" s="81"/>
      <c r="R137" s="82"/>
      <c r="S137" s="48"/>
      <c r="T137" s="50"/>
      <c r="U137" s="62"/>
      <c r="V137" s="63"/>
      <c r="W137" s="50"/>
      <c r="X137" s="48"/>
      <c r="Y137" s="63"/>
      <c r="Z137" s="63"/>
      <c r="AA137" s="64"/>
      <c r="AB137" s="65"/>
      <c r="AC137" s="66"/>
      <c r="AD137" s="67"/>
      <c r="AE137" s="68"/>
      <c r="AF137" s="48"/>
      <c r="AG137" s="63"/>
      <c r="AH137" s="63"/>
      <c r="AI137" s="63"/>
      <c r="AJ137" s="63"/>
      <c r="AK137" s="63"/>
      <c r="AL137" s="63"/>
      <c r="AM137" s="63"/>
      <c r="AN137" s="63"/>
      <c r="AO137" s="63"/>
      <c r="AP137" s="63"/>
      <c r="AQ137" s="63"/>
      <c r="AR137" s="63"/>
      <c r="AS137" s="63"/>
      <c r="AT137" s="63"/>
      <c r="AU137" s="63"/>
      <c r="AV137" s="63"/>
      <c r="AW137" s="50"/>
      <c r="AX137" s="69"/>
      <c r="AY137" s="69"/>
      <c r="AZ137" s="54"/>
      <c r="BA137" s="54"/>
      <c r="BB137" s="54"/>
      <c r="BC137" s="54"/>
      <c r="BD137" s="54"/>
      <c r="BE137" s="70"/>
      <c r="BF137" s="63"/>
      <c r="BG137" s="71">
        <v>0</v>
      </c>
      <c r="BH137" s="67"/>
      <c r="BI137" s="68"/>
      <c r="BJ137" s="72">
        <v>0</v>
      </c>
      <c r="BK137" s="62"/>
      <c r="BL137" s="70"/>
      <c r="BM137" s="70"/>
      <c r="BN137" s="70"/>
      <c r="BO137" s="70"/>
      <c r="BP137" s="73"/>
      <c r="BQ137" s="48"/>
      <c r="BR137" s="63"/>
      <c r="BS137" s="50"/>
      <c r="BT137" s="76" t="e">
        <v>#DIV/0!</v>
      </c>
      <c r="BU137" s="77" t="e">
        <v>#DIV/0!</v>
      </c>
      <c r="BV137" s="78">
        <v>0</v>
      </c>
      <c r="BW137" s="79">
        <v>0</v>
      </c>
      <c r="BX137" s="62"/>
      <c r="BY137" s="63"/>
      <c r="BZ137" s="63"/>
      <c r="CA137" s="63"/>
      <c r="CB137" s="63"/>
      <c r="CC137" s="63"/>
      <c r="CD137" s="63"/>
      <c r="CE137" s="50"/>
    </row>
    <row r="138" spans="2:83" x14ac:dyDescent="0.3">
      <c r="B138" s="46">
        <v>0</v>
      </c>
      <c r="C138" s="47"/>
      <c r="D138" s="48"/>
      <c r="E138" s="49"/>
      <c r="F138" s="50"/>
      <c r="G138" s="51" t="e">
        <v>#DIV/0!</v>
      </c>
      <c r="H138" s="52" t="e">
        <v>#DIV/0!</v>
      </c>
      <c r="I138" s="53"/>
      <c r="J138" s="54"/>
      <c r="K138" s="54"/>
      <c r="L138" s="55"/>
      <c r="M138" s="56"/>
      <c r="N138" s="57">
        <v>0</v>
      </c>
      <c r="O138" s="58"/>
      <c r="P138" s="59"/>
      <c r="Q138" s="81"/>
      <c r="R138" s="82"/>
      <c r="S138" s="48"/>
      <c r="T138" s="50"/>
      <c r="U138" s="62"/>
      <c r="V138" s="63"/>
      <c r="W138" s="50"/>
      <c r="X138" s="48"/>
      <c r="Y138" s="63"/>
      <c r="Z138" s="63"/>
      <c r="AA138" s="64"/>
      <c r="AB138" s="65"/>
      <c r="AC138" s="66"/>
      <c r="AD138" s="67"/>
      <c r="AE138" s="68"/>
      <c r="AF138" s="48"/>
      <c r="AG138" s="63"/>
      <c r="AH138" s="63"/>
      <c r="AI138" s="63"/>
      <c r="AJ138" s="63"/>
      <c r="AK138" s="63"/>
      <c r="AL138" s="63"/>
      <c r="AM138" s="63"/>
      <c r="AN138" s="63"/>
      <c r="AO138" s="63"/>
      <c r="AP138" s="63"/>
      <c r="AQ138" s="63"/>
      <c r="AR138" s="63"/>
      <c r="AS138" s="63"/>
      <c r="AT138" s="63"/>
      <c r="AU138" s="63"/>
      <c r="AV138" s="63"/>
      <c r="AW138" s="50"/>
      <c r="AX138" s="69"/>
      <c r="AY138" s="69"/>
      <c r="AZ138" s="54"/>
      <c r="BA138" s="54"/>
      <c r="BB138" s="54"/>
      <c r="BC138" s="54"/>
      <c r="BD138" s="54"/>
      <c r="BE138" s="70"/>
      <c r="BF138" s="63"/>
      <c r="BG138" s="71">
        <v>0</v>
      </c>
      <c r="BH138" s="67"/>
      <c r="BI138" s="68"/>
      <c r="BJ138" s="72">
        <v>0</v>
      </c>
      <c r="BK138" s="62"/>
      <c r="BL138" s="70"/>
      <c r="BM138" s="70"/>
      <c r="BN138" s="70"/>
      <c r="BO138" s="70"/>
      <c r="BP138" s="73"/>
      <c r="BQ138" s="48"/>
      <c r="BR138" s="63"/>
      <c r="BS138" s="50"/>
      <c r="BT138" s="76" t="e">
        <v>#DIV/0!</v>
      </c>
      <c r="BU138" s="77" t="e">
        <v>#DIV/0!</v>
      </c>
      <c r="BV138" s="78">
        <v>0</v>
      </c>
      <c r="BW138" s="79">
        <v>0</v>
      </c>
      <c r="BX138" s="62"/>
      <c r="BY138" s="63"/>
      <c r="BZ138" s="63"/>
      <c r="CA138" s="63"/>
      <c r="CB138" s="63"/>
      <c r="CC138" s="63"/>
      <c r="CD138" s="63"/>
      <c r="CE138" s="50"/>
    </row>
    <row r="139" spans="2:83" x14ac:dyDescent="0.3">
      <c r="B139" s="46">
        <v>0</v>
      </c>
      <c r="C139" s="47"/>
      <c r="D139" s="48"/>
      <c r="E139" s="49"/>
      <c r="F139" s="50"/>
      <c r="G139" s="51" t="e">
        <v>#DIV/0!</v>
      </c>
      <c r="H139" s="52" t="e">
        <v>#DIV/0!</v>
      </c>
      <c r="I139" s="53"/>
      <c r="J139" s="54"/>
      <c r="K139" s="54"/>
      <c r="L139" s="55"/>
      <c r="M139" s="56"/>
      <c r="N139" s="57">
        <v>0</v>
      </c>
      <c r="O139" s="58"/>
      <c r="P139" s="59"/>
      <c r="Q139" s="81"/>
      <c r="R139" s="82"/>
      <c r="S139" s="48"/>
      <c r="T139" s="50"/>
      <c r="U139" s="62"/>
      <c r="V139" s="63"/>
      <c r="W139" s="50"/>
      <c r="X139" s="48"/>
      <c r="Y139" s="63"/>
      <c r="Z139" s="63"/>
      <c r="AA139" s="64"/>
      <c r="AB139" s="65"/>
      <c r="AC139" s="66"/>
      <c r="AD139" s="67"/>
      <c r="AE139" s="68"/>
      <c r="AF139" s="48"/>
      <c r="AG139" s="63"/>
      <c r="AH139" s="63"/>
      <c r="AI139" s="63"/>
      <c r="AJ139" s="63"/>
      <c r="AK139" s="63"/>
      <c r="AL139" s="63"/>
      <c r="AM139" s="63"/>
      <c r="AN139" s="63"/>
      <c r="AO139" s="63"/>
      <c r="AP139" s="63"/>
      <c r="AQ139" s="63"/>
      <c r="AR139" s="63"/>
      <c r="AS139" s="63"/>
      <c r="AT139" s="63"/>
      <c r="AU139" s="63"/>
      <c r="AV139" s="63"/>
      <c r="AW139" s="50"/>
      <c r="AX139" s="69"/>
      <c r="AY139" s="69"/>
      <c r="AZ139" s="54"/>
      <c r="BA139" s="54"/>
      <c r="BB139" s="54"/>
      <c r="BC139" s="54"/>
      <c r="BD139" s="54"/>
      <c r="BE139" s="70"/>
      <c r="BF139" s="63"/>
      <c r="BG139" s="71">
        <v>0</v>
      </c>
      <c r="BH139" s="67"/>
      <c r="BI139" s="68"/>
      <c r="BJ139" s="72">
        <v>0</v>
      </c>
      <c r="BK139" s="62"/>
      <c r="BL139" s="70"/>
      <c r="BM139" s="70"/>
      <c r="BN139" s="70"/>
      <c r="BO139" s="70"/>
      <c r="BP139" s="73"/>
      <c r="BQ139" s="48"/>
      <c r="BR139" s="63"/>
      <c r="BS139" s="50"/>
      <c r="BT139" s="76" t="e">
        <v>#DIV/0!</v>
      </c>
      <c r="BU139" s="77" t="e">
        <v>#DIV/0!</v>
      </c>
      <c r="BV139" s="78">
        <v>0</v>
      </c>
      <c r="BW139" s="79">
        <v>0</v>
      </c>
      <c r="BX139" s="62"/>
      <c r="BY139" s="63"/>
      <c r="BZ139" s="63"/>
      <c r="CA139" s="63"/>
      <c r="CB139" s="63"/>
      <c r="CC139" s="63"/>
      <c r="CD139" s="63"/>
      <c r="CE139" s="50"/>
    </row>
    <row r="140" spans="2:83" x14ac:dyDescent="0.3">
      <c r="B140" s="46">
        <v>0</v>
      </c>
      <c r="C140" s="47"/>
      <c r="D140" s="48"/>
      <c r="E140" s="49"/>
      <c r="F140" s="50"/>
      <c r="G140" s="51" t="e">
        <v>#DIV/0!</v>
      </c>
      <c r="H140" s="52" t="e">
        <v>#DIV/0!</v>
      </c>
      <c r="I140" s="53"/>
      <c r="J140" s="54"/>
      <c r="K140" s="54"/>
      <c r="L140" s="55"/>
      <c r="M140" s="56"/>
      <c r="N140" s="57">
        <v>0</v>
      </c>
      <c r="O140" s="58"/>
      <c r="P140" s="59"/>
      <c r="Q140" s="81"/>
      <c r="R140" s="82"/>
      <c r="S140" s="48"/>
      <c r="T140" s="50"/>
      <c r="U140" s="62"/>
      <c r="V140" s="63"/>
      <c r="W140" s="50"/>
      <c r="X140" s="48"/>
      <c r="Y140" s="63"/>
      <c r="Z140" s="63"/>
      <c r="AA140" s="64"/>
      <c r="AB140" s="65"/>
      <c r="AC140" s="66"/>
      <c r="AD140" s="67"/>
      <c r="AE140" s="68"/>
      <c r="AF140" s="48"/>
      <c r="AG140" s="63"/>
      <c r="AH140" s="63"/>
      <c r="AI140" s="63"/>
      <c r="AJ140" s="63"/>
      <c r="AK140" s="63"/>
      <c r="AL140" s="63"/>
      <c r="AM140" s="63"/>
      <c r="AN140" s="63"/>
      <c r="AO140" s="63"/>
      <c r="AP140" s="63"/>
      <c r="AQ140" s="63"/>
      <c r="AR140" s="63"/>
      <c r="AS140" s="63"/>
      <c r="AT140" s="63"/>
      <c r="AU140" s="63"/>
      <c r="AV140" s="63"/>
      <c r="AW140" s="50"/>
      <c r="AX140" s="69"/>
      <c r="AY140" s="69"/>
      <c r="AZ140" s="54"/>
      <c r="BA140" s="54"/>
      <c r="BB140" s="54"/>
      <c r="BC140" s="54"/>
      <c r="BD140" s="54"/>
      <c r="BE140" s="70"/>
      <c r="BF140" s="63"/>
      <c r="BG140" s="71">
        <v>0</v>
      </c>
      <c r="BH140" s="67"/>
      <c r="BI140" s="68"/>
      <c r="BJ140" s="72">
        <v>0</v>
      </c>
      <c r="BK140" s="62"/>
      <c r="BL140" s="70"/>
      <c r="BM140" s="70"/>
      <c r="BN140" s="70"/>
      <c r="BO140" s="70"/>
      <c r="BP140" s="73"/>
      <c r="BQ140" s="48"/>
      <c r="BR140" s="63"/>
      <c r="BS140" s="50"/>
      <c r="BT140" s="76" t="e">
        <v>#DIV/0!</v>
      </c>
      <c r="BU140" s="77" t="e">
        <v>#DIV/0!</v>
      </c>
      <c r="BV140" s="78">
        <v>0</v>
      </c>
      <c r="BW140" s="79">
        <v>0</v>
      </c>
      <c r="BX140" s="62"/>
      <c r="BY140" s="63"/>
      <c r="BZ140" s="63"/>
      <c r="CA140" s="63"/>
      <c r="CB140" s="63"/>
      <c r="CC140" s="63"/>
      <c r="CD140" s="63"/>
      <c r="CE140" s="50"/>
    </row>
    <row r="141" spans="2:83" x14ac:dyDescent="0.3">
      <c r="B141" s="46">
        <v>0</v>
      </c>
      <c r="C141" s="47"/>
      <c r="D141" s="48"/>
      <c r="E141" s="49"/>
      <c r="F141" s="50"/>
      <c r="G141" s="51" t="e">
        <v>#DIV/0!</v>
      </c>
      <c r="H141" s="52" t="e">
        <v>#DIV/0!</v>
      </c>
      <c r="I141" s="53"/>
      <c r="J141" s="54"/>
      <c r="K141" s="54"/>
      <c r="L141" s="55"/>
      <c r="M141" s="56"/>
      <c r="N141" s="57">
        <v>0</v>
      </c>
      <c r="O141" s="58"/>
      <c r="P141" s="59"/>
      <c r="Q141" s="81"/>
      <c r="R141" s="82"/>
      <c r="S141" s="48"/>
      <c r="T141" s="50"/>
      <c r="U141" s="62"/>
      <c r="V141" s="63"/>
      <c r="W141" s="50"/>
      <c r="X141" s="48"/>
      <c r="Y141" s="63"/>
      <c r="Z141" s="63"/>
      <c r="AA141" s="64"/>
      <c r="AB141" s="65"/>
      <c r="AC141" s="66"/>
      <c r="AD141" s="67"/>
      <c r="AE141" s="68"/>
      <c r="AF141" s="48"/>
      <c r="AG141" s="63"/>
      <c r="AH141" s="63"/>
      <c r="AI141" s="63"/>
      <c r="AJ141" s="63"/>
      <c r="AK141" s="63"/>
      <c r="AL141" s="63"/>
      <c r="AM141" s="63"/>
      <c r="AN141" s="63"/>
      <c r="AO141" s="63"/>
      <c r="AP141" s="63"/>
      <c r="AQ141" s="63"/>
      <c r="AR141" s="63"/>
      <c r="AS141" s="63"/>
      <c r="AT141" s="63"/>
      <c r="AU141" s="63"/>
      <c r="AV141" s="63"/>
      <c r="AW141" s="50"/>
      <c r="AX141" s="69"/>
      <c r="AY141" s="69"/>
      <c r="AZ141" s="54"/>
      <c r="BA141" s="54"/>
      <c r="BB141" s="54"/>
      <c r="BC141" s="54"/>
      <c r="BD141" s="54"/>
      <c r="BE141" s="70"/>
      <c r="BF141" s="63"/>
      <c r="BG141" s="71">
        <v>0</v>
      </c>
      <c r="BH141" s="67"/>
      <c r="BI141" s="68"/>
      <c r="BJ141" s="72">
        <v>0</v>
      </c>
      <c r="BK141" s="62"/>
      <c r="BL141" s="70"/>
      <c r="BM141" s="70"/>
      <c r="BN141" s="70"/>
      <c r="BO141" s="70"/>
      <c r="BP141" s="73"/>
      <c r="BQ141" s="48"/>
      <c r="BR141" s="63"/>
      <c r="BS141" s="50"/>
      <c r="BT141" s="76" t="e">
        <v>#DIV/0!</v>
      </c>
      <c r="BU141" s="77" t="e">
        <v>#DIV/0!</v>
      </c>
      <c r="BV141" s="78">
        <v>0</v>
      </c>
      <c r="BW141" s="79">
        <v>0</v>
      </c>
      <c r="BX141" s="62"/>
      <c r="BY141" s="63"/>
      <c r="BZ141" s="63"/>
      <c r="CA141" s="63"/>
      <c r="CB141" s="63"/>
      <c r="CC141" s="63"/>
      <c r="CD141" s="63"/>
      <c r="CE141" s="50"/>
    </row>
    <row r="142" spans="2:83" x14ac:dyDescent="0.3">
      <c r="B142" s="46">
        <v>0</v>
      </c>
      <c r="C142" s="47"/>
      <c r="D142" s="48"/>
      <c r="E142" s="49"/>
      <c r="F142" s="50"/>
      <c r="G142" s="51" t="e">
        <v>#DIV/0!</v>
      </c>
      <c r="H142" s="52" t="e">
        <v>#DIV/0!</v>
      </c>
      <c r="I142" s="53"/>
      <c r="J142" s="54"/>
      <c r="K142" s="54"/>
      <c r="L142" s="55"/>
      <c r="M142" s="56"/>
      <c r="N142" s="57">
        <v>0</v>
      </c>
      <c r="O142" s="58"/>
      <c r="P142" s="59"/>
      <c r="Q142" s="81"/>
      <c r="R142" s="82"/>
      <c r="S142" s="48"/>
      <c r="T142" s="50"/>
      <c r="U142" s="62"/>
      <c r="V142" s="63"/>
      <c r="W142" s="50"/>
      <c r="X142" s="48"/>
      <c r="Y142" s="63"/>
      <c r="Z142" s="63"/>
      <c r="AA142" s="64"/>
      <c r="AB142" s="65"/>
      <c r="AC142" s="66"/>
      <c r="AD142" s="67"/>
      <c r="AE142" s="68"/>
      <c r="AF142" s="48"/>
      <c r="AG142" s="63"/>
      <c r="AH142" s="63"/>
      <c r="AI142" s="63"/>
      <c r="AJ142" s="63"/>
      <c r="AK142" s="63"/>
      <c r="AL142" s="63"/>
      <c r="AM142" s="63"/>
      <c r="AN142" s="63"/>
      <c r="AO142" s="63"/>
      <c r="AP142" s="63"/>
      <c r="AQ142" s="63"/>
      <c r="AR142" s="63"/>
      <c r="AS142" s="63"/>
      <c r="AT142" s="63"/>
      <c r="AU142" s="63"/>
      <c r="AV142" s="63"/>
      <c r="AW142" s="50"/>
      <c r="AX142" s="69"/>
      <c r="AY142" s="69"/>
      <c r="AZ142" s="54"/>
      <c r="BA142" s="54"/>
      <c r="BB142" s="54"/>
      <c r="BC142" s="54"/>
      <c r="BD142" s="54"/>
      <c r="BE142" s="70"/>
      <c r="BF142" s="63"/>
      <c r="BG142" s="71">
        <v>0</v>
      </c>
      <c r="BH142" s="67"/>
      <c r="BI142" s="68"/>
      <c r="BJ142" s="72">
        <v>0</v>
      </c>
      <c r="BK142" s="62"/>
      <c r="BL142" s="70"/>
      <c r="BM142" s="70"/>
      <c r="BN142" s="70"/>
      <c r="BO142" s="70"/>
      <c r="BP142" s="73"/>
      <c r="BQ142" s="48"/>
      <c r="BR142" s="63"/>
      <c r="BS142" s="50"/>
      <c r="BT142" s="76" t="e">
        <v>#DIV/0!</v>
      </c>
      <c r="BU142" s="77" t="e">
        <v>#DIV/0!</v>
      </c>
      <c r="BV142" s="78">
        <v>0</v>
      </c>
      <c r="BW142" s="79">
        <v>0</v>
      </c>
      <c r="BX142" s="62"/>
      <c r="BY142" s="63"/>
      <c r="BZ142" s="63"/>
      <c r="CA142" s="63"/>
      <c r="CB142" s="63"/>
      <c r="CC142" s="63"/>
      <c r="CD142" s="63"/>
      <c r="CE142" s="50"/>
    </row>
    <row r="143" spans="2:83" x14ac:dyDescent="0.3">
      <c r="B143" s="46">
        <v>0</v>
      </c>
      <c r="C143" s="47"/>
      <c r="D143" s="48"/>
      <c r="E143" s="49"/>
      <c r="F143" s="50"/>
      <c r="G143" s="51" t="e">
        <v>#DIV/0!</v>
      </c>
      <c r="H143" s="52" t="e">
        <v>#DIV/0!</v>
      </c>
      <c r="I143" s="53"/>
      <c r="J143" s="54"/>
      <c r="K143" s="54"/>
      <c r="L143" s="55"/>
      <c r="M143" s="56"/>
      <c r="N143" s="57">
        <v>0</v>
      </c>
      <c r="O143" s="58"/>
      <c r="P143" s="59"/>
      <c r="Q143" s="81"/>
      <c r="R143" s="82"/>
      <c r="S143" s="48"/>
      <c r="T143" s="50"/>
      <c r="U143" s="62"/>
      <c r="V143" s="63"/>
      <c r="W143" s="50"/>
      <c r="X143" s="48"/>
      <c r="Y143" s="63"/>
      <c r="Z143" s="63"/>
      <c r="AA143" s="64"/>
      <c r="AB143" s="65"/>
      <c r="AC143" s="66"/>
      <c r="AD143" s="67"/>
      <c r="AE143" s="68"/>
      <c r="AF143" s="48"/>
      <c r="AG143" s="63"/>
      <c r="AH143" s="63"/>
      <c r="AI143" s="63"/>
      <c r="AJ143" s="63"/>
      <c r="AK143" s="63"/>
      <c r="AL143" s="63"/>
      <c r="AM143" s="63"/>
      <c r="AN143" s="63"/>
      <c r="AO143" s="63"/>
      <c r="AP143" s="63"/>
      <c r="AQ143" s="63"/>
      <c r="AR143" s="63"/>
      <c r="AS143" s="63"/>
      <c r="AT143" s="63"/>
      <c r="AU143" s="63"/>
      <c r="AV143" s="63"/>
      <c r="AW143" s="50"/>
      <c r="AX143" s="69"/>
      <c r="AY143" s="69"/>
      <c r="AZ143" s="54"/>
      <c r="BA143" s="54"/>
      <c r="BB143" s="54"/>
      <c r="BC143" s="54"/>
      <c r="BD143" s="54"/>
      <c r="BE143" s="70"/>
      <c r="BF143" s="63"/>
      <c r="BG143" s="71">
        <v>0</v>
      </c>
      <c r="BH143" s="67"/>
      <c r="BI143" s="68"/>
      <c r="BJ143" s="72">
        <v>0</v>
      </c>
      <c r="BK143" s="62"/>
      <c r="BL143" s="70"/>
      <c r="BM143" s="70"/>
      <c r="BN143" s="70"/>
      <c r="BO143" s="70"/>
      <c r="BP143" s="73"/>
      <c r="BQ143" s="48"/>
      <c r="BR143" s="63"/>
      <c r="BS143" s="50"/>
      <c r="BT143" s="76" t="e">
        <v>#DIV/0!</v>
      </c>
      <c r="BU143" s="77" t="e">
        <v>#DIV/0!</v>
      </c>
      <c r="BV143" s="78">
        <v>0</v>
      </c>
      <c r="BW143" s="79">
        <v>0</v>
      </c>
      <c r="BX143" s="62"/>
      <c r="BY143" s="63"/>
      <c r="BZ143" s="63"/>
      <c r="CA143" s="63"/>
      <c r="CB143" s="63"/>
      <c r="CC143" s="63"/>
      <c r="CD143" s="63"/>
      <c r="CE143" s="50"/>
    </row>
    <row r="144" spans="2:83" x14ac:dyDescent="0.3">
      <c r="B144" s="46">
        <v>0</v>
      </c>
      <c r="C144" s="47"/>
      <c r="D144" s="48"/>
      <c r="E144" s="49"/>
      <c r="F144" s="50"/>
      <c r="G144" s="51" t="e">
        <v>#DIV/0!</v>
      </c>
      <c r="H144" s="52" t="e">
        <v>#DIV/0!</v>
      </c>
      <c r="I144" s="53"/>
      <c r="J144" s="54"/>
      <c r="K144" s="54"/>
      <c r="L144" s="55"/>
      <c r="M144" s="56"/>
      <c r="N144" s="57">
        <v>0</v>
      </c>
      <c r="O144" s="58"/>
      <c r="P144" s="59"/>
      <c r="Q144" s="81"/>
      <c r="R144" s="82"/>
      <c r="S144" s="48"/>
      <c r="T144" s="50"/>
      <c r="U144" s="62"/>
      <c r="V144" s="63"/>
      <c r="W144" s="50"/>
      <c r="X144" s="48"/>
      <c r="Y144" s="63"/>
      <c r="Z144" s="63"/>
      <c r="AA144" s="64"/>
      <c r="AB144" s="65"/>
      <c r="AC144" s="66"/>
      <c r="AD144" s="67"/>
      <c r="AE144" s="68"/>
      <c r="AF144" s="48"/>
      <c r="AG144" s="63"/>
      <c r="AH144" s="63"/>
      <c r="AI144" s="63"/>
      <c r="AJ144" s="63"/>
      <c r="AK144" s="63"/>
      <c r="AL144" s="63"/>
      <c r="AM144" s="63"/>
      <c r="AN144" s="63"/>
      <c r="AO144" s="63"/>
      <c r="AP144" s="63"/>
      <c r="AQ144" s="63"/>
      <c r="AR144" s="63"/>
      <c r="AS144" s="63"/>
      <c r="AT144" s="63"/>
      <c r="AU144" s="63"/>
      <c r="AV144" s="63"/>
      <c r="AW144" s="50"/>
      <c r="AX144" s="69"/>
      <c r="AY144" s="69"/>
      <c r="AZ144" s="54"/>
      <c r="BA144" s="54"/>
      <c r="BB144" s="54"/>
      <c r="BC144" s="54"/>
      <c r="BD144" s="54"/>
      <c r="BE144" s="70"/>
      <c r="BF144" s="63"/>
      <c r="BG144" s="71">
        <v>0</v>
      </c>
      <c r="BH144" s="67"/>
      <c r="BI144" s="68"/>
      <c r="BJ144" s="72">
        <v>0</v>
      </c>
      <c r="BK144" s="62"/>
      <c r="BL144" s="70"/>
      <c r="BM144" s="70"/>
      <c r="BN144" s="70"/>
      <c r="BO144" s="70"/>
      <c r="BP144" s="73"/>
      <c r="BQ144" s="48"/>
      <c r="BR144" s="63"/>
      <c r="BS144" s="50"/>
      <c r="BT144" s="76" t="e">
        <v>#DIV/0!</v>
      </c>
      <c r="BU144" s="77" t="e">
        <v>#DIV/0!</v>
      </c>
      <c r="BV144" s="78">
        <v>0</v>
      </c>
      <c r="BW144" s="79">
        <v>0</v>
      </c>
      <c r="BX144" s="62"/>
      <c r="BY144" s="63"/>
      <c r="BZ144" s="63"/>
      <c r="CA144" s="63"/>
      <c r="CB144" s="63"/>
      <c r="CC144" s="63"/>
      <c r="CD144" s="63"/>
      <c r="CE144" s="50"/>
    </row>
    <row r="145" spans="2:83" x14ac:dyDescent="0.3">
      <c r="B145" s="46">
        <v>0</v>
      </c>
      <c r="C145" s="47"/>
      <c r="D145" s="48"/>
      <c r="E145" s="49"/>
      <c r="F145" s="50"/>
      <c r="G145" s="51" t="e">
        <v>#DIV/0!</v>
      </c>
      <c r="H145" s="52" t="e">
        <v>#DIV/0!</v>
      </c>
      <c r="I145" s="53"/>
      <c r="J145" s="54"/>
      <c r="K145" s="54"/>
      <c r="L145" s="55"/>
      <c r="M145" s="56"/>
      <c r="N145" s="57">
        <v>0</v>
      </c>
      <c r="O145" s="58"/>
      <c r="P145" s="59"/>
      <c r="Q145" s="81"/>
      <c r="R145" s="82"/>
      <c r="S145" s="48"/>
      <c r="T145" s="50"/>
      <c r="U145" s="62"/>
      <c r="V145" s="63"/>
      <c r="W145" s="50"/>
      <c r="X145" s="48"/>
      <c r="Y145" s="63"/>
      <c r="Z145" s="63"/>
      <c r="AA145" s="64"/>
      <c r="AB145" s="65"/>
      <c r="AC145" s="66"/>
      <c r="AD145" s="67"/>
      <c r="AE145" s="68"/>
      <c r="AF145" s="48"/>
      <c r="AG145" s="63"/>
      <c r="AH145" s="63"/>
      <c r="AI145" s="63"/>
      <c r="AJ145" s="63"/>
      <c r="AK145" s="63"/>
      <c r="AL145" s="63"/>
      <c r="AM145" s="63"/>
      <c r="AN145" s="63"/>
      <c r="AO145" s="63"/>
      <c r="AP145" s="63"/>
      <c r="AQ145" s="63"/>
      <c r="AR145" s="63"/>
      <c r="AS145" s="63"/>
      <c r="AT145" s="63"/>
      <c r="AU145" s="63"/>
      <c r="AV145" s="63"/>
      <c r="AW145" s="50"/>
      <c r="AX145" s="69"/>
      <c r="AY145" s="69"/>
      <c r="AZ145" s="54"/>
      <c r="BA145" s="54"/>
      <c r="BB145" s="54"/>
      <c r="BC145" s="54"/>
      <c r="BD145" s="54"/>
      <c r="BE145" s="70"/>
      <c r="BF145" s="63"/>
      <c r="BG145" s="71">
        <v>0</v>
      </c>
      <c r="BH145" s="67"/>
      <c r="BI145" s="68"/>
      <c r="BJ145" s="72">
        <v>0</v>
      </c>
      <c r="BK145" s="62"/>
      <c r="BL145" s="70"/>
      <c r="BM145" s="70"/>
      <c r="BN145" s="70"/>
      <c r="BO145" s="70"/>
      <c r="BP145" s="73"/>
      <c r="BQ145" s="48"/>
      <c r="BR145" s="63"/>
      <c r="BS145" s="50"/>
      <c r="BT145" s="76" t="e">
        <v>#DIV/0!</v>
      </c>
      <c r="BU145" s="77" t="e">
        <v>#DIV/0!</v>
      </c>
      <c r="BV145" s="78">
        <v>0</v>
      </c>
      <c r="BW145" s="79">
        <v>0</v>
      </c>
      <c r="BX145" s="62"/>
      <c r="BY145" s="63"/>
      <c r="BZ145" s="63"/>
      <c r="CA145" s="63"/>
      <c r="CB145" s="63"/>
      <c r="CC145" s="63"/>
      <c r="CD145" s="63"/>
      <c r="CE145" s="50"/>
    </row>
    <row r="146" spans="2:83" x14ac:dyDescent="0.3">
      <c r="B146" s="46">
        <v>0</v>
      </c>
      <c r="C146" s="47"/>
      <c r="D146" s="48"/>
      <c r="E146" s="49"/>
      <c r="F146" s="50"/>
      <c r="G146" s="51" t="e">
        <v>#DIV/0!</v>
      </c>
      <c r="H146" s="52" t="e">
        <v>#DIV/0!</v>
      </c>
      <c r="I146" s="53"/>
      <c r="J146" s="54"/>
      <c r="K146" s="54"/>
      <c r="L146" s="55"/>
      <c r="M146" s="56"/>
      <c r="N146" s="57">
        <v>0</v>
      </c>
      <c r="O146" s="58"/>
      <c r="P146" s="59"/>
      <c r="Q146" s="81"/>
      <c r="R146" s="82"/>
      <c r="S146" s="48"/>
      <c r="T146" s="50"/>
      <c r="U146" s="62"/>
      <c r="V146" s="63"/>
      <c r="W146" s="50"/>
      <c r="X146" s="48"/>
      <c r="Y146" s="63"/>
      <c r="Z146" s="63"/>
      <c r="AA146" s="64"/>
      <c r="AB146" s="65"/>
      <c r="AC146" s="66"/>
      <c r="AD146" s="67"/>
      <c r="AE146" s="68"/>
      <c r="AF146" s="48"/>
      <c r="AG146" s="63"/>
      <c r="AH146" s="63"/>
      <c r="AI146" s="63"/>
      <c r="AJ146" s="63"/>
      <c r="AK146" s="63"/>
      <c r="AL146" s="63"/>
      <c r="AM146" s="63"/>
      <c r="AN146" s="63"/>
      <c r="AO146" s="63"/>
      <c r="AP146" s="63"/>
      <c r="AQ146" s="63"/>
      <c r="AR146" s="63"/>
      <c r="AS146" s="63"/>
      <c r="AT146" s="63"/>
      <c r="AU146" s="63"/>
      <c r="AV146" s="63"/>
      <c r="AW146" s="50"/>
      <c r="AX146" s="69"/>
      <c r="AY146" s="69"/>
      <c r="AZ146" s="54"/>
      <c r="BA146" s="54"/>
      <c r="BB146" s="54"/>
      <c r="BC146" s="54"/>
      <c r="BD146" s="54"/>
      <c r="BE146" s="70"/>
      <c r="BF146" s="63"/>
      <c r="BG146" s="71">
        <v>0</v>
      </c>
      <c r="BH146" s="67"/>
      <c r="BI146" s="68"/>
      <c r="BJ146" s="72">
        <v>0</v>
      </c>
      <c r="BK146" s="62"/>
      <c r="BL146" s="70"/>
      <c r="BM146" s="70"/>
      <c r="BN146" s="70"/>
      <c r="BO146" s="70"/>
      <c r="BP146" s="73"/>
      <c r="BQ146" s="48"/>
      <c r="BR146" s="63"/>
      <c r="BS146" s="50"/>
      <c r="BT146" s="76" t="e">
        <v>#DIV/0!</v>
      </c>
      <c r="BU146" s="77" t="e">
        <v>#DIV/0!</v>
      </c>
      <c r="BV146" s="78">
        <v>0</v>
      </c>
      <c r="BW146" s="79">
        <v>0</v>
      </c>
      <c r="BX146" s="62"/>
      <c r="BY146" s="63"/>
      <c r="BZ146" s="63"/>
      <c r="CA146" s="63"/>
      <c r="CB146" s="63"/>
      <c r="CC146" s="63"/>
      <c r="CD146" s="63"/>
      <c r="CE146" s="50"/>
    </row>
    <row r="147" spans="2:83" x14ac:dyDescent="0.3">
      <c r="B147" s="46">
        <v>0</v>
      </c>
      <c r="C147" s="47"/>
      <c r="D147" s="48"/>
      <c r="E147" s="49"/>
      <c r="F147" s="50"/>
      <c r="G147" s="51" t="e">
        <v>#DIV/0!</v>
      </c>
      <c r="H147" s="52" t="e">
        <v>#DIV/0!</v>
      </c>
      <c r="I147" s="53"/>
      <c r="J147" s="54"/>
      <c r="K147" s="54"/>
      <c r="L147" s="55"/>
      <c r="M147" s="56"/>
      <c r="N147" s="57">
        <v>0</v>
      </c>
      <c r="O147" s="58"/>
      <c r="P147" s="59"/>
      <c r="Q147" s="81"/>
      <c r="R147" s="82"/>
      <c r="S147" s="48"/>
      <c r="T147" s="50"/>
      <c r="U147" s="62"/>
      <c r="V147" s="63"/>
      <c r="W147" s="50"/>
      <c r="X147" s="48"/>
      <c r="Y147" s="63"/>
      <c r="Z147" s="63"/>
      <c r="AA147" s="64"/>
      <c r="AB147" s="65"/>
      <c r="AC147" s="66"/>
      <c r="AD147" s="67"/>
      <c r="AE147" s="68"/>
      <c r="AF147" s="48"/>
      <c r="AG147" s="63"/>
      <c r="AH147" s="63"/>
      <c r="AI147" s="63"/>
      <c r="AJ147" s="63"/>
      <c r="AK147" s="63"/>
      <c r="AL147" s="63"/>
      <c r="AM147" s="63"/>
      <c r="AN147" s="63"/>
      <c r="AO147" s="63"/>
      <c r="AP147" s="63"/>
      <c r="AQ147" s="63"/>
      <c r="AR147" s="63"/>
      <c r="AS147" s="63"/>
      <c r="AT147" s="63"/>
      <c r="AU147" s="63"/>
      <c r="AV147" s="63"/>
      <c r="AW147" s="50"/>
      <c r="AX147" s="69"/>
      <c r="AY147" s="69"/>
      <c r="AZ147" s="54"/>
      <c r="BA147" s="54"/>
      <c r="BB147" s="54"/>
      <c r="BC147" s="54"/>
      <c r="BD147" s="54"/>
      <c r="BE147" s="70"/>
      <c r="BF147" s="63"/>
      <c r="BG147" s="71">
        <v>0</v>
      </c>
      <c r="BH147" s="67"/>
      <c r="BI147" s="68"/>
      <c r="BJ147" s="72">
        <v>0</v>
      </c>
      <c r="BK147" s="62"/>
      <c r="BL147" s="70"/>
      <c r="BM147" s="70"/>
      <c r="BN147" s="70"/>
      <c r="BO147" s="70"/>
      <c r="BP147" s="73"/>
      <c r="BQ147" s="48"/>
      <c r="BR147" s="63"/>
      <c r="BS147" s="50"/>
      <c r="BT147" s="76" t="e">
        <v>#DIV/0!</v>
      </c>
      <c r="BU147" s="77" t="e">
        <v>#DIV/0!</v>
      </c>
      <c r="BV147" s="78">
        <v>0</v>
      </c>
      <c r="BW147" s="79">
        <v>0</v>
      </c>
      <c r="BX147" s="62"/>
      <c r="BY147" s="63"/>
      <c r="BZ147" s="63"/>
      <c r="CA147" s="63"/>
      <c r="CB147" s="63"/>
      <c r="CC147" s="63"/>
      <c r="CD147" s="63"/>
      <c r="CE147" s="50"/>
    </row>
    <row r="148" spans="2:83" x14ac:dyDescent="0.3">
      <c r="B148" s="46">
        <v>0</v>
      </c>
      <c r="C148" s="47"/>
      <c r="D148" s="48"/>
      <c r="E148" s="49"/>
      <c r="F148" s="50"/>
      <c r="G148" s="51" t="e">
        <v>#DIV/0!</v>
      </c>
      <c r="H148" s="52" t="e">
        <v>#DIV/0!</v>
      </c>
      <c r="I148" s="53"/>
      <c r="J148" s="54"/>
      <c r="K148" s="54"/>
      <c r="L148" s="55"/>
      <c r="M148" s="56"/>
      <c r="N148" s="57">
        <v>0</v>
      </c>
      <c r="O148" s="58"/>
      <c r="P148" s="59"/>
      <c r="Q148" s="81"/>
      <c r="R148" s="82"/>
      <c r="S148" s="48"/>
      <c r="T148" s="50"/>
      <c r="U148" s="62"/>
      <c r="V148" s="63"/>
      <c r="W148" s="50"/>
      <c r="X148" s="48"/>
      <c r="Y148" s="63"/>
      <c r="Z148" s="63"/>
      <c r="AA148" s="64"/>
      <c r="AB148" s="65"/>
      <c r="AC148" s="66"/>
      <c r="AD148" s="67"/>
      <c r="AE148" s="68"/>
      <c r="AF148" s="48"/>
      <c r="AG148" s="63"/>
      <c r="AH148" s="63"/>
      <c r="AI148" s="63"/>
      <c r="AJ148" s="63"/>
      <c r="AK148" s="63"/>
      <c r="AL148" s="63"/>
      <c r="AM148" s="63"/>
      <c r="AN148" s="63"/>
      <c r="AO148" s="63"/>
      <c r="AP148" s="63"/>
      <c r="AQ148" s="63"/>
      <c r="AR148" s="63"/>
      <c r="AS148" s="63"/>
      <c r="AT148" s="63"/>
      <c r="AU148" s="63"/>
      <c r="AV148" s="63"/>
      <c r="AW148" s="50"/>
      <c r="AX148" s="69"/>
      <c r="AY148" s="69"/>
      <c r="AZ148" s="54"/>
      <c r="BA148" s="54"/>
      <c r="BB148" s="54"/>
      <c r="BC148" s="54"/>
      <c r="BD148" s="54"/>
      <c r="BE148" s="70"/>
      <c r="BF148" s="63"/>
      <c r="BG148" s="71">
        <v>0</v>
      </c>
      <c r="BH148" s="67"/>
      <c r="BI148" s="68"/>
      <c r="BJ148" s="72">
        <v>0</v>
      </c>
      <c r="BK148" s="62"/>
      <c r="BL148" s="70"/>
      <c r="BM148" s="70"/>
      <c r="BN148" s="70"/>
      <c r="BO148" s="70"/>
      <c r="BP148" s="73"/>
      <c r="BQ148" s="48"/>
      <c r="BR148" s="63"/>
      <c r="BS148" s="50"/>
      <c r="BT148" s="76" t="e">
        <v>#DIV/0!</v>
      </c>
      <c r="BU148" s="77" t="e">
        <v>#DIV/0!</v>
      </c>
      <c r="BV148" s="78">
        <v>0</v>
      </c>
      <c r="BW148" s="79">
        <v>0</v>
      </c>
      <c r="BX148" s="62"/>
      <c r="BY148" s="63"/>
      <c r="BZ148" s="63"/>
      <c r="CA148" s="63"/>
      <c r="CB148" s="63"/>
      <c r="CC148" s="63"/>
      <c r="CD148" s="63"/>
      <c r="CE148" s="50"/>
    </row>
    <row r="149" spans="2:83" x14ac:dyDescent="0.3">
      <c r="B149" s="46">
        <v>0</v>
      </c>
      <c r="C149" s="47"/>
      <c r="D149" s="48"/>
      <c r="E149" s="49"/>
      <c r="F149" s="50"/>
      <c r="G149" s="51" t="e">
        <v>#DIV/0!</v>
      </c>
      <c r="H149" s="52" t="e">
        <v>#DIV/0!</v>
      </c>
      <c r="I149" s="53"/>
      <c r="J149" s="54"/>
      <c r="K149" s="54"/>
      <c r="L149" s="55"/>
      <c r="M149" s="56"/>
      <c r="N149" s="57">
        <v>0</v>
      </c>
      <c r="O149" s="58"/>
      <c r="P149" s="59"/>
      <c r="Q149" s="81"/>
      <c r="R149" s="82"/>
      <c r="S149" s="48"/>
      <c r="T149" s="50"/>
      <c r="U149" s="62"/>
      <c r="V149" s="63"/>
      <c r="W149" s="50"/>
      <c r="X149" s="48"/>
      <c r="Y149" s="63"/>
      <c r="Z149" s="63"/>
      <c r="AA149" s="64"/>
      <c r="AB149" s="65"/>
      <c r="AC149" s="66"/>
      <c r="AD149" s="67"/>
      <c r="AE149" s="68"/>
      <c r="AF149" s="48"/>
      <c r="AG149" s="63"/>
      <c r="AH149" s="63"/>
      <c r="AI149" s="63"/>
      <c r="AJ149" s="63"/>
      <c r="AK149" s="63"/>
      <c r="AL149" s="63"/>
      <c r="AM149" s="63"/>
      <c r="AN149" s="63"/>
      <c r="AO149" s="63"/>
      <c r="AP149" s="63"/>
      <c r="AQ149" s="63"/>
      <c r="AR149" s="63"/>
      <c r="AS149" s="63"/>
      <c r="AT149" s="63"/>
      <c r="AU149" s="63"/>
      <c r="AV149" s="63"/>
      <c r="AW149" s="50"/>
      <c r="AX149" s="69"/>
      <c r="AY149" s="69"/>
      <c r="AZ149" s="54"/>
      <c r="BA149" s="54"/>
      <c r="BB149" s="54"/>
      <c r="BC149" s="54"/>
      <c r="BD149" s="54"/>
      <c r="BE149" s="70"/>
      <c r="BF149" s="63"/>
      <c r="BG149" s="71">
        <v>0</v>
      </c>
      <c r="BH149" s="67"/>
      <c r="BI149" s="68"/>
      <c r="BJ149" s="72">
        <v>0</v>
      </c>
      <c r="BK149" s="62"/>
      <c r="BL149" s="70"/>
      <c r="BM149" s="70"/>
      <c r="BN149" s="70"/>
      <c r="BO149" s="70"/>
      <c r="BP149" s="73"/>
      <c r="BQ149" s="48"/>
      <c r="BR149" s="63"/>
      <c r="BS149" s="50"/>
      <c r="BT149" s="76" t="e">
        <v>#DIV/0!</v>
      </c>
      <c r="BU149" s="77" t="e">
        <v>#DIV/0!</v>
      </c>
      <c r="BV149" s="78">
        <v>0</v>
      </c>
      <c r="BW149" s="79">
        <v>0</v>
      </c>
      <c r="BX149" s="62"/>
      <c r="BY149" s="63"/>
      <c r="BZ149" s="63"/>
      <c r="CA149" s="63"/>
      <c r="CB149" s="63"/>
      <c r="CC149" s="63"/>
      <c r="CD149" s="63"/>
      <c r="CE149" s="50"/>
    </row>
    <row r="150" spans="2:83" x14ac:dyDescent="0.3">
      <c r="B150" s="46">
        <v>0</v>
      </c>
      <c r="C150" s="47"/>
      <c r="D150" s="48"/>
      <c r="E150" s="49"/>
      <c r="F150" s="50"/>
      <c r="G150" s="51" t="e">
        <v>#DIV/0!</v>
      </c>
      <c r="H150" s="52" t="e">
        <v>#DIV/0!</v>
      </c>
      <c r="I150" s="53"/>
      <c r="J150" s="54"/>
      <c r="K150" s="54"/>
      <c r="L150" s="55"/>
      <c r="M150" s="56"/>
      <c r="N150" s="57">
        <v>0</v>
      </c>
      <c r="O150" s="58"/>
      <c r="P150" s="59"/>
      <c r="Q150" s="81"/>
      <c r="R150" s="82"/>
      <c r="S150" s="48"/>
      <c r="T150" s="50"/>
      <c r="U150" s="62"/>
      <c r="V150" s="63"/>
      <c r="W150" s="50"/>
      <c r="X150" s="48"/>
      <c r="Y150" s="63"/>
      <c r="Z150" s="63"/>
      <c r="AA150" s="64"/>
      <c r="AB150" s="65"/>
      <c r="AC150" s="66"/>
      <c r="AD150" s="67"/>
      <c r="AE150" s="68"/>
      <c r="AF150" s="48"/>
      <c r="AG150" s="63"/>
      <c r="AH150" s="63"/>
      <c r="AI150" s="63"/>
      <c r="AJ150" s="63"/>
      <c r="AK150" s="63"/>
      <c r="AL150" s="63"/>
      <c r="AM150" s="63"/>
      <c r="AN150" s="63"/>
      <c r="AO150" s="63"/>
      <c r="AP150" s="63"/>
      <c r="AQ150" s="63"/>
      <c r="AR150" s="63"/>
      <c r="AS150" s="63"/>
      <c r="AT150" s="63"/>
      <c r="AU150" s="63"/>
      <c r="AV150" s="63"/>
      <c r="AW150" s="50"/>
      <c r="AX150" s="69"/>
      <c r="AY150" s="69"/>
      <c r="AZ150" s="54"/>
      <c r="BA150" s="54"/>
      <c r="BB150" s="54"/>
      <c r="BC150" s="54"/>
      <c r="BD150" s="54"/>
      <c r="BE150" s="70"/>
      <c r="BF150" s="63"/>
      <c r="BG150" s="71">
        <v>0</v>
      </c>
      <c r="BH150" s="67"/>
      <c r="BI150" s="68"/>
      <c r="BJ150" s="72">
        <v>0</v>
      </c>
      <c r="BK150" s="62"/>
      <c r="BL150" s="70"/>
      <c r="BM150" s="70"/>
      <c r="BN150" s="70"/>
      <c r="BO150" s="70"/>
      <c r="BP150" s="73"/>
      <c r="BQ150" s="48"/>
      <c r="BR150" s="63"/>
      <c r="BS150" s="50"/>
      <c r="BT150" s="76" t="e">
        <v>#DIV/0!</v>
      </c>
      <c r="BU150" s="77" t="e">
        <v>#DIV/0!</v>
      </c>
      <c r="BV150" s="78">
        <v>0</v>
      </c>
      <c r="BW150" s="79">
        <v>0</v>
      </c>
      <c r="BX150" s="62"/>
      <c r="BY150" s="63"/>
      <c r="BZ150" s="63"/>
      <c r="CA150" s="63"/>
      <c r="CB150" s="63"/>
      <c r="CC150" s="63"/>
      <c r="CD150" s="63"/>
      <c r="CE150" s="50"/>
    </row>
    <row r="151" spans="2:83" x14ac:dyDescent="0.3">
      <c r="B151" s="46">
        <v>0</v>
      </c>
      <c r="C151" s="47"/>
      <c r="D151" s="48"/>
      <c r="E151" s="49"/>
      <c r="F151" s="50"/>
      <c r="G151" s="51" t="e">
        <v>#DIV/0!</v>
      </c>
      <c r="H151" s="52" t="e">
        <v>#DIV/0!</v>
      </c>
      <c r="I151" s="53"/>
      <c r="J151" s="54"/>
      <c r="K151" s="54"/>
      <c r="L151" s="55"/>
      <c r="M151" s="56"/>
      <c r="N151" s="57">
        <v>0</v>
      </c>
      <c r="O151" s="58"/>
      <c r="P151" s="59"/>
      <c r="Q151" s="81"/>
      <c r="R151" s="82"/>
      <c r="S151" s="48"/>
      <c r="T151" s="50"/>
      <c r="U151" s="62"/>
      <c r="V151" s="63"/>
      <c r="W151" s="50"/>
      <c r="X151" s="48"/>
      <c r="Y151" s="63"/>
      <c r="Z151" s="63"/>
      <c r="AA151" s="64"/>
      <c r="AB151" s="65"/>
      <c r="AC151" s="66"/>
      <c r="AD151" s="67"/>
      <c r="AE151" s="68"/>
      <c r="AF151" s="48"/>
      <c r="AG151" s="63"/>
      <c r="AH151" s="63"/>
      <c r="AI151" s="63"/>
      <c r="AJ151" s="63"/>
      <c r="AK151" s="63"/>
      <c r="AL151" s="63"/>
      <c r="AM151" s="63"/>
      <c r="AN151" s="63"/>
      <c r="AO151" s="63"/>
      <c r="AP151" s="63"/>
      <c r="AQ151" s="63"/>
      <c r="AR151" s="63"/>
      <c r="AS151" s="63"/>
      <c r="AT151" s="63"/>
      <c r="AU151" s="63"/>
      <c r="AV151" s="63"/>
      <c r="AW151" s="50"/>
      <c r="AX151" s="69"/>
      <c r="AY151" s="69"/>
      <c r="AZ151" s="54"/>
      <c r="BA151" s="54"/>
      <c r="BB151" s="54"/>
      <c r="BC151" s="54"/>
      <c r="BD151" s="54"/>
      <c r="BE151" s="70"/>
      <c r="BF151" s="63"/>
      <c r="BG151" s="71">
        <v>0</v>
      </c>
      <c r="BH151" s="67"/>
      <c r="BI151" s="68"/>
      <c r="BJ151" s="72">
        <v>0</v>
      </c>
      <c r="BK151" s="62"/>
      <c r="BL151" s="70"/>
      <c r="BM151" s="70"/>
      <c r="BN151" s="70"/>
      <c r="BO151" s="70"/>
      <c r="BP151" s="73"/>
      <c r="BQ151" s="48"/>
      <c r="BR151" s="63"/>
      <c r="BS151" s="50"/>
      <c r="BT151" s="76" t="e">
        <v>#DIV/0!</v>
      </c>
      <c r="BU151" s="77" t="e">
        <v>#DIV/0!</v>
      </c>
      <c r="BV151" s="78">
        <v>0</v>
      </c>
      <c r="BW151" s="79">
        <v>0</v>
      </c>
      <c r="BX151" s="62"/>
      <c r="BY151" s="63"/>
      <c r="BZ151" s="63"/>
      <c r="CA151" s="63"/>
      <c r="CB151" s="63"/>
      <c r="CC151" s="63"/>
      <c r="CD151" s="63"/>
      <c r="CE151" s="50"/>
    </row>
    <row r="152" spans="2:83" x14ac:dyDescent="0.3">
      <c r="B152" s="46">
        <v>0</v>
      </c>
      <c r="C152" s="47"/>
      <c r="D152" s="48"/>
      <c r="E152" s="49"/>
      <c r="F152" s="50"/>
      <c r="G152" s="51" t="e">
        <v>#DIV/0!</v>
      </c>
      <c r="H152" s="52" t="e">
        <v>#DIV/0!</v>
      </c>
      <c r="I152" s="53"/>
      <c r="J152" s="54"/>
      <c r="K152" s="54"/>
      <c r="L152" s="55"/>
      <c r="M152" s="56"/>
      <c r="N152" s="57">
        <v>0</v>
      </c>
      <c r="O152" s="58"/>
      <c r="P152" s="59"/>
      <c r="Q152" s="81"/>
      <c r="R152" s="82"/>
      <c r="S152" s="48"/>
      <c r="T152" s="50"/>
      <c r="U152" s="62"/>
      <c r="V152" s="63"/>
      <c r="W152" s="50"/>
      <c r="X152" s="48"/>
      <c r="Y152" s="63"/>
      <c r="Z152" s="63"/>
      <c r="AA152" s="64"/>
      <c r="AB152" s="65"/>
      <c r="AC152" s="66"/>
      <c r="AD152" s="67"/>
      <c r="AE152" s="68"/>
      <c r="AF152" s="48"/>
      <c r="AG152" s="63"/>
      <c r="AH152" s="63"/>
      <c r="AI152" s="63"/>
      <c r="AJ152" s="63"/>
      <c r="AK152" s="63"/>
      <c r="AL152" s="63"/>
      <c r="AM152" s="63"/>
      <c r="AN152" s="63"/>
      <c r="AO152" s="63"/>
      <c r="AP152" s="63"/>
      <c r="AQ152" s="63"/>
      <c r="AR152" s="63"/>
      <c r="AS152" s="63"/>
      <c r="AT152" s="63"/>
      <c r="AU152" s="63"/>
      <c r="AV152" s="63"/>
      <c r="AW152" s="50"/>
      <c r="AX152" s="69"/>
      <c r="AY152" s="69"/>
      <c r="AZ152" s="54"/>
      <c r="BA152" s="54"/>
      <c r="BB152" s="54"/>
      <c r="BC152" s="54"/>
      <c r="BD152" s="54"/>
      <c r="BE152" s="70"/>
      <c r="BF152" s="63"/>
      <c r="BG152" s="71">
        <v>0</v>
      </c>
      <c r="BH152" s="67"/>
      <c r="BI152" s="68"/>
      <c r="BJ152" s="72">
        <v>0</v>
      </c>
      <c r="BK152" s="62"/>
      <c r="BL152" s="70"/>
      <c r="BM152" s="70"/>
      <c r="BN152" s="70"/>
      <c r="BO152" s="70"/>
      <c r="BP152" s="73"/>
      <c r="BQ152" s="48"/>
      <c r="BR152" s="63"/>
      <c r="BS152" s="50"/>
      <c r="BT152" s="76" t="e">
        <v>#DIV/0!</v>
      </c>
      <c r="BU152" s="77" t="e">
        <v>#DIV/0!</v>
      </c>
      <c r="BV152" s="78">
        <v>0</v>
      </c>
      <c r="BW152" s="79">
        <v>0</v>
      </c>
      <c r="BX152" s="62"/>
      <c r="BY152" s="63"/>
      <c r="BZ152" s="63"/>
      <c r="CA152" s="63"/>
      <c r="CB152" s="63"/>
      <c r="CC152" s="63"/>
      <c r="CD152" s="63"/>
      <c r="CE152" s="50"/>
    </row>
    <row r="153" spans="2:83" x14ac:dyDescent="0.3">
      <c r="B153" s="46">
        <v>0</v>
      </c>
      <c r="C153" s="47"/>
      <c r="D153" s="48"/>
      <c r="E153" s="49"/>
      <c r="F153" s="50"/>
      <c r="G153" s="51" t="e">
        <v>#DIV/0!</v>
      </c>
      <c r="H153" s="52" t="e">
        <v>#DIV/0!</v>
      </c>
      <c r="I153" s="53"/>
      <c r="J153" s="54"/>
      <c r="K153" s="54"/>
      <c r="L153" s="55"/>
      <c r="M153" s="56"/>
      <c r="N153" s="57">
        <v>0</v>
      </c>
      <c r="O153" s="58"/>
      <c r="P153" s="59"/>
      <c r="Q153" s="81"/>
      <c r="R153" s="82"/>
      <c r="S153" s="48"/>
      <c r="T153" s="50"/>
      <c r="U153" s="62"/>
      <c r="V153" s="63"/>
      <c r="W153" s="50"/>
      <c r="X153" s="48"/>
      <c r="Y153" s="63"/>
      <c r="Z153" s="63"/>
      <c r="AA153" s="64"/>
      <c r="AB153" s="65"/>
      <c r="AC153" s="66"/>
      <c r="AD153" s="67"/>
      <c r="AE153" s="68"/>
      <c r="AF153" s="48"/>
      <c r="AG153" s="63"/>
      <c r="AH153" s="63"/>
      <c r="AI153" s="63"/>
      <c r="AJ153" s="63"/>
      <c r="AK153" s="63"/>
      <c r="AL153" s="63"/>
      <c r="AM153" s="63"/>
      <c r="AN153" s="63"/>
      <c r="AO153" s="63"/>
      <c r="AP153" s="63"/>
      <c r="AQ153" s="63"/>
      <c r="AR153" s="63"/>
      <c r="AS153" s="63"/>
      <c r="AT153" s="63"/>
      <c r="AU153" s="63"/>
      <c r="AV153" s="63"/>
      <c r="AW153" s="50"/>
      <c r="AX153" s="69"/>
      <c r="AY153" s="69"/>
      <c r="AZ153" s="54"/>
      <c r="BA153" s="54"/>
      <c r="BB153" s="54"/>
      <c r="BC153" s="54"/>
      <c r="BD153" s="54"/>
      <c r="BE153" s="70"/>
      <c r="BF153" s="63"/>
      <c r="BG153" s="71">
        <v>0</v>
      </c>
      <c r="BH153" s="67"/>
      <c r="BI153" s="68"/>
      <c r="BJ153" s="72">
        <v>0</v>
      </c>
      <c r="BK153" s="62"/>
      <c r="BL153" s="70"/>
      <c r="BM153" s="70"/>
      <c r="BN153" s="70"/>
      <c r="BO153" s="70"/>
      <c r="BP153" s="73"/>
      <c r="BQ153" s="48"/>
      <c r="BR153" s="63"/>
      <c r="BS153" s="50"/>
      <c r="BT153" s="76" t="e">
        <v>#DIV/0!</v>
      </c>
      <c r="BU153" s="77" t="e">
        <v>#DIV/0!</v>
      </c>
      <c r="BV153" s="78">
        <v>0</v>
      </c>
      <c r="BW153" s="79">
        <v>0</v>
      </c>
      <c r="BX153" s="62"/>
      <c r="BY153" s="63"/>
      <c r="BZ153" s="63"/>
      <c r="CA153" s="63"/>
      <c r="CB153" s="63"/>
      <c r="CC153" s="63"/>
      <c r="CD153" s="63"/>
      <c r="CE153" s="50"/>
    </row>
    <row r="154" spans="2:83" x14ac:dyDescent="0.3">
      <c r="B154" s="46">
        <v>0</v>
      </c>
      <c r="C154" s="47"/>
      <c r="D154" s="48"/>
      <c r="E154" s="49"/>
      <c r="F154" s="50"/>
      <c r="G154" s="51" t="e">
        <v>#DIV/0!</v>
      </c>
      <c r="H154" s="52" t="e">
        <v>#DIV/0!</v>
      </c>
      <c r="I154" s="53"/>
      <c r="J154" s="54"/>
      <c r="K154" s="54"/>
      <c r="L154" s="55"/>
      <c r="M154" s="56"/>
      <c r="N154" s="57">
        <v>0</v>
      </c>
      <c r="O154" s="58"/>
      <c r="P154" s="59"/>
      <c r="Q154" s="81"/>
      <c r="R154" s="82"/>
      <c r="S154" s="48"/>
      <c r="T154" s="50"/>
      <c r="U154" s="62"/>
      <c r="V154" s="63"/>
      <c r="W154" s="50"/>
      <c r="X154" s="48"/>
      <c r="Y154" s="63"/>
      <c r="Z154" s="63"/>
      <c r="AA154" s="64"/>
      <c r="AB154" s="65"/>
      <c r="AC154" s="66"/>
      <c r="AD154" s="67"/>
      <c r="AE154" s="68"/>
      <c r="AF154" s="48"/>
      <c r="AG154" s="63"/>
      <c r="AH154" s="63"/>
      <c r="AI154" s="63"/>
      <c r="AJ154" s="63"/>
      <c r="AK154" s="63"/>
      <c r="AL154" s="63"/>
      <c r="AM154" s="63"/>
      <c r="AN154" s="63"/>
      <c r="AO154" s="63"/>
      <c r="AP154" s="63"/>
      <c r="AQ154" s="63"/>
      <c r="AR154" s="63"/>
      <c r="AS154" s="63"/>
      <c r="AT154" s="63"/>
      <c r="AU154" s="63"/>
      <c r="AV154" s="63"/>
      <c r="AW154" s="50"/>
      <c r="AX154" s="69"/>
      <c r="AY154" s="69"/>
      <c r="AZ154" s="54"/>
      <c r="BA154" s="54"/>
      <c r="BB154" s="54"/>
      <c r="BC154" s="54"/>
      <c r="BD154" s="54"/>
      <c r="BE154" s="70"/>
      <c r="BF154" s="63"/>
      <c r="BG154" s="71">
        <v>0</v>
      </c>
      <c r="BH154" s="67"/>
      <c r="BI154" s="68"/>
      <c r="BJ154" s="72">
        <v>0</v>
      </c>
      <c r="BK154" s="62"/>
      <c r="BL154" s="70"/>
      <c r="BM154" s="70"/>
      <c r="BN154" s="70"/>
      <c r="BO154" s="70"/>
      <c r="BP154" s="73"/>
      <c r="BQ154" s="48"/>
      <c r="BR154" s="63"/>
      <c r="BS154" s="50"/>
      <c r="BT154" s="76" t="e">
        <v>#DIV/0!</v>
      </c>
      <c r="BU154" s="77" t="e">
        <v>#DIV/0!</v>
      </c>
      <c r="BV154" s="78">
        <v>0</v>
      </c>
      <c r="BW154" s="79">
        <v>0</v>
      </c>
      <c r="BX154" s="62"/>
      <c r="BY154" s="63"/>
      <c r="BZ154" s="63"/>
      <c r="CA154" s="63"/>
      <c r="CB154" s="63"/>
      <c r="CC154" s="63"/>
      <c r="CD154" s="63"/>
      <c r="CE154" s="50"/>
    </row>
    <row r="155" spans="2:83" x14ac:dyDescent="0.3">
      <c r="B155" s="46">
        <v>0</v>
      </c>
      <c r="C155" s="47"/>
      <c r="D155" s="48"/>
      <c r="E155" s="49"/>
      <c r="F155" s="50"/>
      <c r="G155" s="51" t="e">
        <v>#DIV/0!</v>
      </c>
      <c r="H155" s="52" t="e">
        <v>#DIV/0!</v>
      </c>
      <c r="I155" s="53"/>
      <c r="J155" s="54"/>
      <c r="K155" s="54"/>
      <c r="L155" s="55"/>
      <c r="M155" s="56"/>
      <c r="N155" s="57">
        <v>0</v>
      </c>
      <c r="O155" s="58"/>
      <c r="P155" s="59"/>
      <c r="Q155" s="81"/>
      <c r="R155" s="82"/>
      <c r="S155" s="48"/>
      <c r="T155" s="50"/>
      <c r="U155" s="62"/>
      <c r="V155" s="63"/>
      <c r="W155" s="50"/>
      <c r="X155" s="48"/>
      <c r="Y155" s="63"/>
      <c r="Z155" s="63"/>
      <c r="AA155" s="64"/>
      <c r="AB155" s="65"/>
      <c r="AC155" s="66"/>
      <c r="AD155" s="67"/>
      <c r="AE155" s="68"/>
      <c r="AF155" s="48"/>
      <c r="AG155" s="63"/>
      <c r="AH155" s="63"/>
      <c r="AI155" s="63"/>
      <c r="AJ155" s="63"/>
      <c r="AK155" s="63"/>
      <c r="AL155" s="63"/>
      <c r="AM155" s="63"/>
      <c r="AN155" s="63"/>
      <c r="AO155" s="63"/>
      <c r="AP155" s="63"/>
      <c r="AQ155" s="63"/>
      <c r="AR155" s="63"/>
      <c r="AS155" s="63"/>
      <c r="AT155" s="63"/>
      <c r="AU155" s="63"/>
      <c r="AV155" s="63"/>
      <c r="AW155" s="50"/>
      <c r="AX155" s="69"/>
      <c r="AY155" s="69"/>
      <c r="AZ155" s="54"/>
      <c r="BA155" s="54"/>
      <c r="BB155" s="54"/>
      <c r="BC155" s="54"/>
      <c r="BD155" s="54"/>
      <c r="BE155" s="70"/>
      <c r="BF155" s="63"/>
      <c r="BG155" s="71">
        <v>0</v>
      </c>
      <c r="BH155" s="67"/>
      <c r="BI155" s="68"/>
      <c r="BJ155" s="72">
        <v>0</v>
      </c>
      <c r="BK155" s="62"/>
      <c r="BL155" s="70"/>
      <c r="BM155" s="70"/>
      <c r="BN155" s="70"/>
      <c r="BO155" s="70"/>
      <c r="BP155" s="73"/>
      <c r="BQ155" s="48"/>
      <c r="BR155" s="63"/>
      <c r="BS155" s="50"/>
      <c r="BT155" s="76" t="e">
        <v>#DIV/0!</v>
      </c>
      <c r="BU155" s="77" t="e">
        <v>#DIV/0!</v>
      </c>
      <c r="BV155" s="78">
        <v>0</v>
      </c>
      <c r="BW155" s="79">
        <v>0</v>
      </c>
      <c r="BX155" s="62"/>
      <c r="BY155" s="63"/>
      <c r="BZ155" s="63"/>
      <c r="CA155" s="63"/>
      <c r="CB155" s="63"/>
      <c r="CC155" s="63"/>
      <c r="CD155" s="63"/>
      <c r="CE155" s="50"/>
    </row>
    <row r="156" spans="2:83" x14ac:dyDescent="0.3">
      <c r="B156" s="46">
        <v>0</v>
      </c>
      <c r="C156" s="47"/>
      <c r="D156" s="48"/>
      <c r="E156" s="49"/>
      <c r="F156" s="50"/>
      <c r="G156" s="51" t="e">
        <v>#DIV/0!</v>
      </c>
      <c r="H156" s="52" t="e">
        <v>#DIV/0!</v>
      </c>
      <c r="I156" s="53"/>
      <c r="J156" s="54"/>
      <c r="K156" s="54"/>
      <c r="L156" s="55"/>
      <c r="M156" s="56"/>
      <c r="N156" s="57">
        <v>0</v>
      </c>
      <c r="O156" s="58"/>
      <c r="P156" s="59"/>
      <c r="Q156" s="81"/>
      <c r="R156" s="82"/>
      <c r="S156" s="48"/>
      <c r="T156" s="50"/>
      <c r="U156" s="62"/>
      <c r="V156" s="63"/>
      <c r="W156" s="50"/>
      <c r="X156" s="48"/>
      <c r="Y156" s="63"/>
      <c r="Z156" s="63"/>
      <c r="AA156" s="64"/>
      <c r="AB156" s="65"/>
      <c r="AC156" s="66"/>
      <c r="AD156" s="67"/>
      <c r="AE156" s="68"/>
      <c r="AF156" s="48"/>
      <c r="AG156" s="63"/>
      <c r="AH156" s="63"/>
      <c r="AI156" s="63"/>
      <c r="AJ156" s="63"/>
      <c r="AK156" s="63"/>
      <c r="AL156" s="63"/>
      <c r="AM156" s="63"/>
      <c r="AN156" s="63"/>
      <c r="AO156" s="63"/>
      <c r="AP156" s="63"/>
      <c r="AQ156" s="63"/>
      <c r="AR156" s="63"/>
      <c r="AS156" s="63"/>
      <c r="AT156" s="63"/>
      <c r="AU156" s="63"/>
      <c r="AV156" s="63"/>
      <c r="AW156" s="50"/>
      <c r="AX156" s="69"/>
      <c r="AY156" s="69"/>
      <c r="AZ156" s="54"/>
      <c r="BA156" s="54"/>
      <c r="BB156" s="54"/>
      <c r="BC156" s="54"/>
      <c r="BD156" s="54"/>
      <c r="BE156" s="70"/>
      <c r="BF156" s="63"/>
      <c r="BG156" s="71">
        <v>0</v>
      </c>
      <c r="BH156" s="67"/>
      <c r="BI156" s="68"/>
      <c r="BJ156" s="72">
        <v>0</v>
      </c>
      <c r="BK156" s="62"/>
      <c r="BL156" s="70"/>
      <c r="BM156" s="70"/>
      <c r="BN156" s="70"/>
      <c r="BO156" s="70"/>
      <c r="BP156" s="73"/>
      <c r="BQ156" s="48"/>
      <c r="BR156" s="63"/>
      <c r="BS156" s="50"/>
      <c r="BT156" s="76" t="e">
        <v>#DIV/0!</v>
      </c>
      <c r="BU156" s="77" t="e">
        <v>#DIV/0!</v>
      </c>
      <c r="BV156" s="78">
        <v>0</v>
      </c>
      <c r="BW156" s="79">
        <v>0</v>
      </c>
      <c r="BX156" s="62"/>
      <c r="BY156" s="63"/>
      <c r="BZ156" s="63"/>
      <c r="CA156" s="63"/>
      <c r="CB156" s="63"/>
      <c r="CC156" s="63"/>
      <c r="CD156" s="63"/>
      <c r="CE156" s="50"/>
    </row>
    <row r="157" spans="2:83" x14ac:dyDescent="0.3">
      <c r="B157" s="46">
        <v>0</v>
      </c>
      <c r="C157" s="47"/>
      <c r="D157" s="48"/>
      <c r="E157" s="49"/>
      <c r="F157" s="50"/>
      <c r="G157" s="51" t="e">
        <v>#DIV/0!</v>
      </c>
      <c r="H157" s="52" t="e">
        <v>#DIV/0!</v>
      </c>
      <c r="I157" s="53"/>
      <c r="J157" s="54"/>
      <c r="K157" s="54"/>
      <c r="L157" s="55"/>
      <c r="M157" s="56"/>
      <c r="N157" s="57">
        <v>0</v>
      </c>
      <c r="O157" s="58"/>
      <c r="P157" s="59"/>
      <c r="Q157" s="81"/>
      <c r="R157" s="82"/>
      <c r="S157" s="48"/>
      <c r="T157" s="50"/>
      <c r="U157" s="62"/>
      <c r="V157" s="63"/>
      <c r="W157" s="50"/>
      <c r="X157" s="48"/>
      <c r="Y157" s="63"/>
      <c r="Z157" s="63"/>
      <c r="AA157" s="64"/>
      <c r="AB157" s="65"/>
      <c r="AC157" s="66"/>
      <c r="AD157" s="67"/>
      <c r="AE157" s="68"/>
      <c r="AF157" s="48"/>
      <c r="AG157" s="63"/>
      <c r="AH157" s="63"/>
      <c r="AI157" s="63"/>
      <c r="AJ157" s="63"/>
      <c r="AK157" s="63"/>
      <c r="AL157" s="63"/>
      <c r="AM157" s="63"/>
      <c r="AN157" s="63"/>
      <c r="AO157" s="63"/>
      <c r="AP157" s="63"/>
      <c r="AQ157" s="63"/>
      <c r="AR157" s="63"/>
      <c r="AS157" s="63"/>
      <c r="AT157" s="63"/>
      <c r="AU157" s="63"/>
      <c r="AV157" s="63"/>
      <c r="AW157" s="50"/>
      <c r="AX157" s="69"/>
      <c r="AY157" s="69"/>
      <c r="AZ157" s="54"/>
      <c r="BA157" s="54"/>
      <c r="BB157" s="54"/>
      <c r="BC157" s="54"/>
      <c r="BD157" s="54"/>
      <c r="BE157" s="70"/>
      <c r="BF157" s="63"/>
      <c r="BG157" s="71">
        <v>0</v>
      </c>
      <c r="BH157" s="67"/>
      <c r="BI157" s="68"/>
      <c r="BJ157" s="72">
        <v>0</v>
      </c>
      <c r="BK157" s="62"/>
      <c r="BL157" s="70"/>
      <c r="BM157" s="70"/>
      <c r="BN157" s="70"/>
      <c r="BO157" s="70"/>
      <c r="BP157" s="73"/>
      <c r="BQ157" s="48"/>
      <c r="BR157" s="63"/>
      <c r="BS157" s="50"/>
      <c r="BT157" s="76" t="e">
        <v>#DIV/0!</v>
      </c>
      <c r="BU157" s="77" t="e">
        <v>#DIV/0!</v>
      </c>
      <c r="BV157" s="78">
        <v>0</v>
      </c>
      <c r="BW157" s="79">
        <v>0</v>
      </c>
      <c r="BX157" s="62"/>
      <c r="BY157" s="63"/>
      <c r="BZ157" s="63"/>
      <c r="CA157" s="63"/>
      <c r="CB157" s="63"/>
      <c r="CC157" s="63"/>
      <c r="CD157" s="63"/>
      <c r="CE157" s="50"/>
    </row>
    <row r="158" spans="2:83" x14ac:dyDescent="0.3">
      <c r="B158" s="46">
        <v>0</v>
      </c>
      <c r="C158" s="47"/>
      <c r="D158" s="48"/>
      <c r="E158" s="49"/>
      <c r="F158" s="50"/>
      <c r="G158" s="51" t="e">
        <v>#DIV/0!</v>
      </c>
      <c r="H158" s="52" t="e">
        <v>#DIV/0!</v>
      </c>
      <c r="I158" s="53"/>
      <c r="J158" s="54"/>
      <c r="K158" s="54"/>
      <c r="L158" s="55"/>
      <c r="M158" s="56"/>
      <c r="N158" s="57">
        <v>0</v>
      </c>
      <c r="O158" s="58"/>
      <c r="P158" s="59"/>
      <c r="Q158" s="81"/>
      <c r="R158" s="82"/>
      <c r="S158" s="48"/>
      <c r="T158" s="50"/>
      <c r="U158" s="62"/>
      <c r="V158" s="63"/>
      <c r="W158" s="50"/>
      <c r="X158" s="48"/>
      <c r="Y158" s="63"/>
      <c r="Z158" s="63"/>
      <c r="AA158" s="64"/>
      <c r="AB158" s="65"/>
      <c r="AC158" s="66"/>
      <c r="AD158" s="67"/>
      <c r="AE158" s="68"/>
      <c r="AF158" s="48"/>
      <c r="AG158" s="63"/>
      <c r="AH158" s="63"/>
      <c r="AI158" s="63"/>
      <c r="AJ158" s="63"/>
      <c r="AK158" s="63"/>
      <c r="AL158" s="63"/>
      <c r="AM158" s="63"/>
      <c r="AN158" s="63"/>
      <c r="AO158" s="63"/>
      <c r="AP158" s="63"/>
      <c r="AQ158" s="63"/>
      <c r="AR158" s="63"/>
      <c r="AS158" s="63"/>
      <c r="AT158" s="63"/>
      <c r="AU158" s="63"/>
      <c r="AV158" s="63"/>
      <c r="AW158" s="50"/>
      <c r="AX158" s="69"/>
      <c r="AY158" s="69"/>
      <c r="AZ158" s="54"/>
      <c r="BA158" s="54"/>
      <c r="BB158" s="54"/>
      <c r="BC158" s="54"/>
      <c r="BD158" s="54"/>
      <c r="BE158" s="70"/>
      <c r="BF158" s="63"/>
      <c r="BG158" s="71">
        <v>0</v>
      </c>
      <c r="BH158" s="67"/>
      <c r="BI158" s="68"/>
      <c r="BJ158" s="72">
        <v>0</v>
      </c>
      <c r="BK158" s="62"/>
      <c r="BL158" s="70"/>
      <c r="BM158" s="70"/>
      <c r="BN158" s="70"/>
      <c r="BO158" s="70"/>
      <c r="BP158" s="73"/>
      <c r="BQ158" s="48"/>
      <c r="BR158" s="63"/>
      <c r="BS158" s="50"/>
      <c r="BT158" s="76" t="e">
        <v>#DIV/0!</v>
      </c>
      <c r="BU158" s="77" t="e">
        <v>#DIV/0!</v>
      </c>
      <c r="BV158" s="78">
        <v>0</v>
      </c>
      <c r="BW158" s="79">
        <v>0</v>
      </c>
      <c r="BX158" s="62"/>
      <c r="BY158" s="63"/>
      <c r="BZ158" s="63"/>
      <c r="CA158" s="63"/>
      <c r="CB158" s="63"/>
      <c r="CC158" s="63"/>
      <c r="CD158" s="63"/>
      <c r="CE158" s="50"/>
    </row>
    <row r="159" spans="2:83" x14ac:dyDescent="0.3">
      <c r="B159" s="46">
        <v>0</v>
      </c>
      <c r="C159" s="47"/>
      <c r="D159" s="48"/>
      <c r="E159" s="49"/>
      <c r="F159" s="50"/>
      <c r="G159" s="51" t="e">
        <v>#DIV/0!</v>
      </c>
      <c r="H159" s="52" t="e">
        <v>#DIV/0!</v>
      </c>
      <c r="I159" s="53"/>
      <c r="J159" s="54"/>
      <c r="K159" s="54"/>
      <c r="L159" s="55"/>
      <c r="M159" s="56"/>
      <c r="N159" s="57">
        <v>0</v>
      </c>
      <c r="O159" s="58"/>
      <c r="P159" s="59"/>
      <c r="Q159" s="81"/>
      <c r="R159" s="82"/>
      <c r="S159" s="48"/>
      <c r="T159" s="50"/>
      <c r="U159" s="62"/>
      <c r="V159" s="63"/>
      <c r="W159" s="50"/>
      <c r="X159" s="48"/>
      <c r="Y159" s="63"/>
      <c r="Z159" s="63"/>
      <c r="AA159" s="64"/>
      <c r="AB159" s="65"/>
      <c r="AC159" s="66"/>
      <c r="AD159" s="67"/>
      <c r="AE159" s="68"/>
      <c r="AF159" s="48"/>
      <c r="AG159" s="63"/>
      <c r="AH159" s="63"/>
      <c r="AI159" s="63"/>
      <c r="AJ159" s="63"/>
      <c r="AK159" s="63"/>
      <c r="AL159" s="63"/>
      <c r="AM159" s="63"/>
      <c r="AN159" s="63"/>
      <c r="AO159" s="63"/>
      <c r="AP159" s="63"/>
      <c r="AQ159" s="63"/>
      <c r="AR159" s="63"/>
      <c r="AS159" s="63"/>
      <c r="AT159" s="63"/>
      <c r="AU159" s="63"/>
      <c r="AV159" s="63"/>
      <c r="AW159" s="50"/>
      <c r="AX159" s="69"/>
      <c r="AY159" s="69"/>
      <c r="AZ159" s="54"/>
      <c r="BA159" s="54"/>
      <c r="BB159" s="54"/>
      <c r="BC159" s="54"/>
      <c r="BD159" s="54"/>
      <c r="BE159" s="70"/>
      <c r="BF159" s="63"/>
      <c r="BG159" s="71">
        <v>0</v>
      </c>
      <c r="BH159" s="67"/>
      <c r="BI159" s="68"/>
      <c r="BJ159" s="72">
        <v>0</v>
      </c>
      <c r="BK159" s="62"/>
      <c r="BL159" s="70"/>
      <c r="BM159" s="70"/>
      <c r="BN159" s="70"/>
      <c r="BO159" s="70"/>
      <c r="BP159" s="73"/>
      <c r="BQ159" s="48"/>
      <c r="BR159" s="63"/>
      <c r="BS159" s="50"/>
      <c r="BT159" s="76" t="e">
        <v>#DIV/0!</v>
      </c>
      <c r="BU159" s="77" t="e">
        <v>#DIV/0!</v>
      </c>
      <c r="BV159" s="78">
        <v>0</v>
      </c>
      <c r="BW159" s="79">
        <v>0</v>
      </c>
      <c r="BX159" s="62"/>
      <c r="BY159" s="63"/>
      <c r="BZ159" s="63"/>
      <c r="CA159" s="63"/>
      <c r="CB159" s="63"/>
      <c r="CC159" s="63"/>
      <c r="CD159" s="63"/>
      <c r="CE159" s="50"/>
    </row>
    <row r="160" spans="2:83" x14ac:dyDescent="0.3">
      <c r="B160" s="46">
        <v>0</v>
      </c>
      <c r="C160" s="47"/>
      <c r="D160" s="48"/>
      <c r="E160" s="49"/>
      <c r="F160" s="50"/>
      <c r="G160" s="51" t="e">
        <v>#DIV/0!</v>
      </c>
      <c r="H160" s="52" t="e">
        <v>#DIV/0!</v>
      </c>
      <c r="I160" s="53"/>
      <c r="J160" s="54"/>
      <c r="K160" s="54"/>
      <c r="L160" s="55"/>
      <c r="M160" s="56"/>
      <c r="N160" s="57">
        <v>0</v>
      </c>
      <c r="O160" s="58"/>
      <c r="P160" s="59"/>
      <c r="Q160" s="81"/>
      <c r="R160" s="82"/>
      <c r="S160" s="48"/>
      <c r="T160" s="50"/>
      <c r="U160" s="62"/>
      <c r="V160" s="63"/>
      <c r="W160" s="50"/>
      <c r="X160" s="48"/>
      <c r="Y160" s="63"/>
      <c r="Z160" s="63"/>
      <c r="AA160" s="64"/>
      <c r="AB160" s="65"/>
      <c r="AC160" s="66"/>
      <c r="AD160" s="67"/>
      <c r="AE160" s="68"/>
      <c r="AF160" s="48"/>
      <c r="AG160" s="63"/>
      <c r="AH160" s="63"/>
      <c r="AI160" s="63"/>
      <c r="AJ160" s="63"/>
      <c r="AK160" s="63"/>
      <c r="AL160" s="63"/>
      <c r="AM160" s="63"/>
      <c r="AN160" s="63"/>
      <c r="AO160" s="63"/>
      <c r="AP160" s="63"/>
      <c r="AQ160" s="63"/>
      <c r="AR160" s="63"/>
      <c r="AS160" s="63"/>
      <c r="AT160" s="63"/>
      <c r="AU160" s="63"/>
      <c r="AV160" s="63"/>
      <c r="AW160" s="50"/>
      <c r="AX160" s="69"/>
      <c r="AY160" s="69"/>
      <c r="AZ160" s="54"/>
      <c r="BA160" s="54"/>
      <c r="BB160" s="54"/>
      <c r="BC160" s="54"/>
      <c r="BD160" s="54"/>
      <c r="BE160" s="70"/>
      <c r="BF160" s="63"/>
      <c r="BG160" s="71">
        <v>0</v>
      </c>
      <c r="BH160" s="67"/>
      <c r="BI160" s="68"/>
      <c r="BJ160" s="72">
        <v>0</v>
      </c>
      <c r="BK160" s="62"/>
      <c r="BL160" s="70"/>
      <c r="BM160" s="70"/>
      <c r="BN160" s="70"/>
      <c r="BO160" s="70"/>
      <c r="BP160" s="73"/>
      <c r="BQ160" s="48"/>
      <c r="BR160" s="63"/>
      <c r="BS160" s="50"/>
      <c r="BT160" s="76" t="e">
        <v>#DIV/0!</v>
      </c>
      <c r="BU160" s="77" t="e">
        <v>#DIV/0!</v>
      </c>
      <c r="BV160" s="78">
        <v>0</v>
      </c>
      <c r="BW160" s="79">
        <v>0</v>
      </c>
      <c r="BX160" s="62"/>
      <c r="BY160" s="63"/>
      <c r="BZ160" s="63"/>
      <c r="CA160" s="63"/>
      <c r="CB160" s="63"/>
      <c r="CC160" s="63"/>
      <c r="CD160" s="63"/>
      <c r="CE160" s="50"/>
    </row>
    <row r="161" spans="2:83" x14ac:dyDescent="0.3">
      <c r="B161" s="46">
        <v>0</v>
      </c>
      <c r="C161" s="47"/>
      <c r="D161" s="48"/>
      <c r="E161" s="49"/>
      <c r="F161" s="50"/>
      <c r="G161" s="51" t="e">
        <v>#DIV/0!</v>
      </c>
      <c r="H161" s="52" t="e">
        <v>#DIV/0!</v>
      </c>
      <c r="I161" s="53"/>
      <c r="J161" s="54"/>
      <c r="K161" s="54"/>
      <c r="L161" s="55"/>
      <c r="M161" s="56"/>
      <c r="N161" s="57">
        <v>0</v>
      </c>
      <c r="O161" s="58"/>
      <c r="P161" s="59"/>
      <c r="Q161" s="81"/>
      <c r="R161" s="82"/>
      <c r="S161" s="48"/>
      <c r="T161" s="50"/>
      <c r="U161" s="62"/>
      <c r="V161" s="63"/>
      <c r="W161" s="50"/>
      <c r="X161" s="48"/>
      <c r="Y161" s="63"/>
      <c r="Z161" s="63"/>
      <c r="AA161" s="64"/>
      <c r="AB161" s="65"/>
      <c r="AC161" s="66"/>
      <c r="AD161" s="67"/>
      <c r="AE161" s="68"/>
      <c r="AF161" s="48"/>
      <c r="AG161" s="63"/>
      <c r="AH161" s="63"/>
      <c r="AI161" s="63"/>
      <c r="AJ161" s="63"/>
      <c r="AK161" s="63"/>
      <c r="AL161" s="63"/>
      <c r="AM161" s="63"/>
      <c r="AN161" s="63"/>
      <c r="AO161" s="63"/>
      <c r="AP161" s="63"/>
      <c r="AQ161" s="63"/>
      <c r="AR161" s="63"/>
      <c r="AS161" s="63"/>
      <c r="AT161" s="63"/>
      <c r="AU161" s="63"/>
      <c r="AV161" s="63"/>
      <c r="AW161" s="50"/>
      <c r="AX161" s="69"/>
      <c r="AY161" s="69"/>
      <c r="AZ161" s="54"/>
      <c r="BA161" s="54"/>
      <c r="BB161" s="54"/>
      <c r="BC161" s="54"/>
      <c r="BD161" s="54"/>
      <c r="BE161" s="70"/>
      <c r="BF161" s="63"/>
      <c r="BG161" s="71">
        <v>0</v>
      </c>
      <c r="BH161" s="67"/>
      <c r="BI161" s="68"/>
      <c r="BJ161" s="72">
        <v>0</v>
      </c>
      <c r="BK161" s="62"/>
      <c r="BL161" s="70"/>
      <c r="BM161" s="70"/>
      <c r="BN161" s="70"/>
      <c r="BO161" s="70"/>
      <c r="BP161" s="73"/>
      <c r="BQ161" s="48"/>
      <c r="BR161" s="63"/>
      <c r="BS161" s="50"/>
      <c r="BT161" s="76" t="e">
        <v>#DIV/0!</v>
      </c>
      <c r="BU161" s="77" t="e">
        <v>#DIV/0!</v>
      </c>
      <c r="BV161" s="78">
        <v>0</v>
      </c>
      <c r="BW161" s="79">
        <v>0</v>
      </c>
      <c r="BX161" s="62"/>
      <c r="BY161" s="63"/>
      <c r="BZ161" s="63"/>
      <c r="CA161" s="63"/>
      <c r="CB161" s="63"/>
      <c r="CC161" s="63"/>
      <c r="CD161" s="63"/>
      <c r="CE161" s="50"/>
    </row>
    <row r="162" spans="2:83" x14ac:dyDescent="0.3">
      <c r="B162" s="46">
        <v>0</v>
      </c>
      <c r="C162" s="47"/>
      <c r="D162" s="48"/>
      <c r="E162" s="49"/>
      <c r="F162" s="50"/>
      <c r="G162" s="51" t="e">
        <v>#DIV/0!</v>
      </c>
      <c r="H162" s="52" t="e">
        <v>#DIV/0!</v>
      </c>
      <c r="I162" s="53"/>
      <c r="J162" s="54"/>
      <c r="K162" s="54"/>
      <c r="L162" s="55"/>
      <c r="M162" s="56"/>
      <c r="N162" s="57">
        <v>0</v>
      </c>
      <c r="O162" s="58"/>
      <c r="P162" s="59"/>
      <c r="Q162" s="81"/>
      <c r="R162" s="82"/>
      <c r="S162" s="48"/>
      <c r="T162" s="50"/>
      <c r="U162" s="62"/>
      <c r="V162" s="63"/>
      <c r="W162" s="50"/>
      <c r="X162" s="48"/>
      <c r="Y162" s="63"/>
      <c r="Z162" s="63"/>
      <c r="AA162" s="64"/>
      <c r="AB162" s="65"/>
      <c r="AC162" s="66"/>
      <c r="AD162" s="67"/>
      <c r="AE162" s="68"/>
      <c r="AF162" s="48"/>
      <c r="AG162" s="63"/>
      <c r="AH162" s="63"/>
      <c r="AI162" s="63"/>
      <c r="AJ162" s="63"/>
      <c r="AK162" s="63"/>
      <c r="AL162" s="63"/>
      <c r="AM162" s="63"/>
      <c r="AN162" s="63"/>
      <c r="AO162" s="63"/>
      <c r="AP162" s="63"/>
      <c r="AQ162" s="63"/>
      <c r="AR162" s="63"/>
      <c r="AS162" s="63"/>
      <c r="AT162" s="63"/>
      <c r="AU162" s="63"/>
      <c r="AV162" s="63"/>
      <c r="AW162" s="50"/>
      <c r="AX162" s="69"/>
      <c r="AY162" s="69"/>
      <c r="AZ162" s="54"/>
      <c r="BA162" s="54"/>
      <c r="BB162" s="54"/>
      <c r="BC162" s="54"/>
      <c r="BD162" s="54"/>
      <c r="BE162" s="70"/>
      <c r="BF162" s="63"/>
      <c r="BG162" s="71">
        <v>0</v>
      </c>
      <c r="BH162" s="67"/>
      <c r="BI162" s="68"/>
      <c r="BJ162" s="72">
        <v>0</v>
      </c>
      <c r="BK162" s="62"/>
      <c r="BL162" s="70"/>
      <c r="BM162" s="70"/>
      <c r="BN162" s="70"/>
      <c r="BO162" s="70"/>
      <c r="BP162" s="73"/>
      <c r="BQ162" s="48"/>
      <c r="BR162" s="63"/>
      <c r="BS162" s="50"/>
      <c r="BT162" s="76" t="e">
        <v>#DIV/0!</v>
      </c>
      <c r="BU162" s="77" t="e">
        <v>#DIV/0!</v>
      </c>
      <c r="BV162" s="78">
        <v>0</v>
      </c>
      <c r="BW162" s="79">
        <v>0</v>
      </c>
      <c r="BX162" s="62"/>
      <c r="BY162" s="63"/>
      <c r="BZ162" s="63"/>
      <c r="CA162" s="63"/>
      <c r="CB162" s="63"/>
      <c r="CC162" s="63"/>
      <c r="CD162" s="63"/>
      <c r="CE162" s="50"/>
    </row>
    <row r="163" spans="2:83" x14ac:dyDescent="0.3">
      <c r="B163" s="46">
        <v>0</v>
      </c>
      <c r="C163" s="47"/>
      <c r="D163" s="48"/>
      <c r="E163" s="49"/>
      <c r="F163" s="50"/>
      <c r="G163" s="51" t="e">
        <v>#DIV/0!</v>
      </c>
      <c r="H163" s="52" t="e">
        <v>#DIV/0!</v>
      </c>
      <c r="I163" s="53"/>
      <c r="J163" s="54"/>
      <c r="K163" s="54"/>
      <c r="L163" s="55"/>
      <c r="M163" s="56"/>
      <c r="N163" s="57">
        <v>0</v>
      </c>
      <c r="O163" s="58"/>
      <c r="P163" s="59"/>
      <c r="Q163" s="81"/>
      <c r="R163" s="82"/>
      <c r="S163" s="48"/>
      <c r="T163" s="50"/>
      <c r="U163" s="62"/>
      <c r="V163" s="63"/>
      <c r="W163" s="50"/>
      <c r="X163" s="48"/>
      <c r="Y163" s="63"/>
      <c r="Z163" s="63"/>
      <c r="AA163" s="64"/>
      <c r="AB163" s="65"/>
      <c r="AC163" s="66"/>
      <c r="AD163" s="67"/>
      <c r="AE163" s="68"/>
      <c r="AF163" s="48"/>
      <c r="AG163" s="63"/>
      <c r="AH163" s="63"/>
      <c r="AI163" s="63"/>
      <c r="AJ163" s="63"/>
      <c r="AK163" s="63"/>
      <c r="AL163" s="63"/>
      <c r="AM163" s="63"/>
      <c r="AN163" s="63"/>
      <c r="AO163" s="63"/>
      <c r="AP163" s="63"/>
      <c r="AQ163" s="63"/>
      <c r="AR163" s="63"/>
      <c r="AS163" s="63"/>
      <c r="AT163" s="63"/>
      <c r="AU163" s="63"/>
      <c r="AV163" s="63"/>
      <c r="AW163" s="50"/>
      <c r="AX163" s="69"/>
      <c r="AY163" s="69"/>
      <c r="AZ163" s="54"/>
      <c r="BA163" s="54"/>
      <c r="BB163" s="54"/>
      <c r="BC163" s="54"/>
      <c r="BD163" s="54"/>
      <c r="BE163" s="70"/>
      <c r="BF163" s="63"/>
      <c r="BG163" s="71">
        <v>0</v>
      </c>
      <c r="BH163" s="67"/>
      <c r="BI163" s="68"/>
      <c r="BJ163" s="72">
        <v>0</v>
      </c>
      <c r="BK163" s="62"/>
      <c r="BL163" s="70"/>
      <c r="BM163" s="70"/>
      <c r="BN163" s="70"/>
      <c r="BO163" s="70"/>
      <c r="BP163" s="73"/>
      <c r="BQ163" s="48"/>
      <c r="BR163" s="63"/>
      <c r="BS163" s="50"/>
      <c r="BT163" s="76" t="e">
        <v>#DIV/0!</v>
      </c>
      <c r="BU163" s="77" t="e">
        <v>#DIV/0!</v>
      </c>
      <c r="BV163" s="78">
        <v>0</v>
      </c>
      <c r="BW163" s="79">
        <v>0</v>
      </c>
      <c r="BX163" s="62"/>
      <c r="BY163" s="63"/>
      <c r="BZ163" s="63"/>
      <c r="CA163" s="63"/>
      <c r="CB163" s="63"/>
      <c r="CC163" s="63"/>
      <c r="CD163" s="63"/>
      <c r="CE163" s="50"/>
    </row>
    <row r="164" spans="2:83" x14ac:dyDescent="0.3">
      <c r="B164" s="46">
        <v>0</v>
      </c>
      <c r="C164" s="47"/>
      <c r="D164" s="48"/>
      <c r="E164" s="49"/>
      <c r="F164" s="50"/>
      <c r="G164" s="51" t="e">
        <v>#DIV/0!</v>
      </c>
      <c r="H164" s="52" t="e">
        <v>#DIV/0!</v>
      </c>
      <c r="I164" s="53"/>
      <c r="J164" s="54"/>
      <c r="K164" s="54"/>
      <c r="L164" s="55"/>
      <c r="M164" s="56"/>
      <c r="N164" s="57">
        <v>0</v>
      </c>
      <c r="O164" s="58"/>
      <c r="P164" s="59"/>
      <c r="Q164" s="81"/>
      <c r="R164" s="82"/>
      <c r="S164" s="48"/>
      <c r="T164" s="50"/>
      <c r="U164" s="62"/>
      <c r="V164" s="63"/>
      <c r="W164" s="50"/>
      <c r="X164" s="48"/>
      <c r="Y164" s="63"/>
      <c r="Z164" s="63"/>
      <c r="AA164" s="64"/>
      <c r="AB164" s="65"/>
      <c r="AC164" s="66"/>
      <c r="AD164" s="67"/>
      <c r="AE164" s="68"/>
      <c r="AF164" s="48"/>
      <c r="AG164" s="63"/>
      <c r="AH164" s="63"/>
      <c r="AI164" s="63"/>
      <c r="AJ164" s="63"/>
      <c r="AK164" s="63"/>
      <c r="AL164" s="63"/>
      <c r="AM164" s="63"/>
      <c r="AN164" s="63"/>
      <c r="AO164" s="63"/>
      <c r="AP164" s="63"/>
      <c r="AQ164" s="63"/>
      <c r="AR164" s="63"/>
      <c r="AS164" s="63"/>
      <c r="AT164" s="63"/>
      <c r="AU164" s="63"/>
      <c r="AV164" s="63"/>
      <c r="AW164" s="50"/>
      <c r="AX164" s="69"/>
      <c r="AY164" s="69"/>
      <c r="AZ164" s="54"/>
      <c r="BA164" s="54"/>
      <c r="BB164" s="54"/>
      <c r="BC164" s="54"/>
      <c r="BD164" s="54"/>
      <c r="BE164" s="70"/>
      <c r="BF164" s="63"/>
      <c r="BG164" s="71">
        <v>0</v>
      </c>
      <c r="BH164" s="67"/>
      <c r="BI164" s="68"/>
      <c r="BJ164" s="72">
        <v>0</v>
      </c>
      <c r="BK164" s="62"/>
      <c r="BL164" s="70"/>
      <c r="BM164" s="70"/>
      <c r="BN164" s="70"/>
      <c r="BO164" s="70"/>
      <c r="BP164" s="73"/>
      <c r="BQ164" s="48"/>
      <c r="BR164" s="63"/>
      <c r="BS164" s="50"/>
      <c r="BT164" s="76" t="e">
        <v>#DIV/0!</v>
      </c>
      <c r="BU164" s="77" t="e">
        <v>#DIV/0!</v>
      </c>
      <c r="BV164" s="78">
        <v>0</v>
      </c>
      <c r="BW164" s="79">
        <v>0</v>
      </c>
      <c r="BX164" s="62"/>
      <c r="BY164" s="63"/>
      <c r="BZ164" s="63"/>
      <c r="CA164" s="63"/>
      <c r="CB164" s="63"/>
      <c r="CC164" s="63"/>
      <c r="CD164" s="63"/>
      <c r="CE164" s="50"/>
    </row>
    <row r="165" spans="2:83" x14ac:dyDescent="0.3">
      <c r="B165" s="46">
        <v>0</v>
      </c>
      <c r="C165" s="47"/>
      <c r="D165" s="48"/>
      <c r="E165" s="49"/>
      <c r="F165" s="50"/>
      <c r="G165" s="51" t="e">
        <v>#DIV/0!</v>
      </c>
      <c r="H165" s="52" t="e">
        <v>#DIV/0!</v>
      </c>
      <c r="I165" s="53"/>
      <c r="J165" s="54"/>
      <c r="K165" s="54"/>
      <c r="L165" s="55"/>
      <c r="M165" s="56"/>
      <c r="N165" s="57">
        <v>0</v>
      </c>
      <c r="O165" s="58"/>
      <c r="P165" s="59"/>
      <c r="Q165" s="81"/>
      <c r="R165" s="82"/>
      <c r="S165" s="48"/>
      <c r="T165" s="50"/>
      <c r="U165" s="62"/>
      <c r="V165" s="63"/>
      <c r="W165" s="50"/>
      <c r="X165" s="48"/>
      <c r="Y165" s="63"/>
      <c r="Z165" s="63"/>
      <c r="AA165" s="64"/>
      <c r="AB165" s="65"/>
      <c r="AC165" s="66"/>
      <c r="AD165" s="67"/>
      <c r="AE165" s="68"/>
      <c r="AF165" s="48"/>
      <c r="AG165" s="63"/>
      <c r="AH165" s="63"/>
      <c r="AI165" s="63"/>
      <c r="AJ165" s="63"/>
      <c r="AK165" s="63"/>
      <c r="AL165" s="63"/>
      <c r="AM165" s="63"/>
      <c r="AN165" s="63"/>
      <c r="AO165" s="63"/>
      <c r="AP165" s="63"/>
      <c r="AQ165" s="63"/>
      <c r="AR165" s="63"/>
      <c r="AS165" s="63"/>
      <c r="AT165" s="63"/>
      <c r="AU165" s="63"/>
      <c r="AV165" s="63"/>
      <c r="AW165" s="50"/>
      <c r="AX165" s="69"/>
      <c r="AY165" s="69"/>
      <c r="AZ165" s="54"/>
      <c r="BA165" s="54"/>
      <c r="BB165" s="54"/>
      <c r="BC165" s="54"/>
      <c r="BD165" s="54"/>
      <c r="BE165" s="70"/>
      <c r="BF165" s="63"/>
      <c r="BG165" s="71">
        <v>0</v>
      </c>
      <c r="BH165" s="67"/>
      <c r="BI165" s="68"/>
      <c r="BJ165" s="72">
        <v>0</v>
      </c>
      <c r="BK165" s="62"/>
      <c r="BL165" s="70"/>
      <c r="BM165" s="70"/>
      <c r="BN165" s="70"/>
      <c r="BO165" s="70"/>
      <c r="BP165" s="73"/>
      <c r="BQ165" s="48"/>
      <c r="BR165" s="63"/>
      <c r="BS165" s="50"/>
      <c r="BT165" s="76" t="e">
        <v>#DIV/0!</v>
      </c>
      <c r="BU165" s="77" t="e">
        <v>#DIV/0!</v>
      </c>
      <c r="BV165" s="78">
        <v>0</v>
      </c>
      <c r="BW165" s="79">
        <v>0</v>
      </c>
      <c r="BX165" s="62"/>
      <c r="BY165" s="63"/>
      <c r="BZ165" s="63"/>
      <c r="CA165" s="63"/>
      <c r="CB165" s="63"/>
      <c r="CC165" s="63"/>
      <c r="CD165" s="63"/>
      <c r="CE165" s="50"/>
    </row>
    <row r="166" spans="2:83" x14ac:dyDescent="0.3">
      <c r="B166" s="46">
        <v>0</v>
      </c>
      <c r="C166" s="47"/>
      <c r="D166" s="48"/>
      <c r="E166" s="49"/>
      <c r="F166" s="50"/>
      <c r="G166" s="51" t="e">
        <v>#DIV/0!</v>
      </c>
      <c r="H166" s="52" t="e">
        <v>#DIV/0!</v>
      </c>
      <c r="I166" s="53"/>
      <c r="J166" s="54"/>
      <c r="K166" s="54"/>
      <c r="L166" s="55"/>
      <c r="M166" s="56"/>
      <c r="N166" s="57">
        <v>0</v>
      </c>
      <c r="O166" s="58"/>
      <c r="P166" s="59"/>
      <c r="Q166" s="81"/>
      <c r="R166" s="82"/>
      <c r="S166" s="48"/>
      <c r="T166" s="50"/>
      <c r="U166" s="62"/>
      <c r="V166" s="63"/>
      <c r="W166" s="50"/>
      <c r="X166" s="48"/>
      <c r="Y166" s="63"/>
      <c r="Z166" s="63"/>
      <c r="AA166" s="64"/>
      <c r="AB166" s="65"/>
      <c r="AC166" s="66"/>
      <c r="AD166" s="67"/>
      <c r="AE166" s="68"/>
      <c r="AF166" s="48"/>
      <c r="AG166" s="63"/>
      <c r="AH166" s="63"/>
      <c r="AI166" s="63"/>
      <c r="AJ166" s="63"/>
      <c r="AK166" s="63"/>
      <c r="AL166" s="63"/>
      <c r="AM166" s="63"/>
      <c r="AN166" s="63"/>
      <c r="AO166" s="63"/>
      <c r="AP166" s="63"/>
      <c r="AQ166" s="63"/>
      <c r="AR166" s="63"/>
      <c r="AS166" s="63"/>
      <c r="AT166" s="63"/>
      <c r="AU166" s="63"/>
      <c r="AV166" s="63"/>
      <c r="AW166" s="50"/>
      <c r="AX166" s="69"/>
      <c r="AY166" s="69"/>
      <c r="AZ166" s="54"/>
      <c r="BA166" s="54"/>
      <c r="BB166" s="54"/>
      <c r="BC166" s="54"/>
      <c r="BD166" s="54"/>
      <c r="BE166" s="70"/>
      <c r="BF166" s="63"/>
      <c r="BG166" s="71">
        <v>0</v>
      </c>
      <c r="BH166" s="67"/>
      <c r="BI166" s="68"/>
      <c r="BJ166" s="72">
        <v>0</v>
      </c>
      <c r="BK166" s="62"/>
      <c r="BL166" s="70"/>
      <c r="BM166" s="70"/>
      <c r="BN166" s="70"/>
      <c r="BO166" s="70"/>
      <c r="BP166" s="73"/>
      <c r="BQ166" s="48"/>
      <c r="BR166" s="63"/>
      <c r="BS166" s="50"/>
      <c r="BT166" s="76" t="e">
        <v>#DIV/0!</v>
      </c>
      <c r="BU166" s="77" t="e">
        <v>#DIV/0!</v>
      </c>
      <c r="BV166" s="78">
        <v>0</v>
      </c>
      <c r="BW166" s="79">
        <v>0</v>
      </c>
      <c r="BX166" s="62"/>
      <c r="BY166" s="63"/>
      <c r="BZ166" s="63"/>
      <c r="CA166" s="63"/>
      <c r="CB166" s="63"/>
      <c r="CC166" s="63"/>
      <c r="CD166" s="63"/>
      <c r="CE166" s="50"/>
    </row>
    <row r="167" spans="2:83" x14ac:dyDescent="0.3">
      <c r="B167" s="46">
        <v>0</v>
      </c>
      <c r="C167" s="47"/>
      <c r="D167" s="48"/>
      <c r="E167" s="49"/>
      <c r="F167" s="50"/>
      <c r="G167" s="51" t="e">
        <v>#DIV/0!</v>
      </c>
      <c r="H167" s="52" t="e">
        <v>#DIV/0!</v>
      </c>
      <c r="I167" s="53"/>
      <c r="J167" s="54"/>
      <c r="K167" s="54"/>
      <c r="L167" s="55"/>
      <c r="M167" s="56"/>
      <c r="N167" s="57">
        <v>0</v>
      </c>
      <c r="O167" s="58"/>
      <c r="P167" s="59"/>
      <c r="Q167" s="81"/>
      <c r="R167" s="82"/>
      <c r="S167" s="48"/>
      <c r="T167" s="50"/>
      <c r="U167" s="62"/>
      <c r="V167" s="63"/>
      <c r="W167" s="50"/>
      <c r="X167" s="48"/>
      <c r="Y167" s="63"/>
      <c r="Z167" s="63"/>
      <c r="AA167" s="64"/>
      <c r="AB167" s="65"/>
      <c r="AC167" s="66"/>
      <c r="AD167" s="67"/>
      <c r="AE167" s="68"/>
      <c r="AF167" s="48"/>
      <c r="AG167" s="63"/>
      <c r="AH167" s="63"/>
      <c r="AI167" s="63"/>
      <c r="AJ167" s="63"/>
      <c r="AK167" s="63"/>
      <c r="AL167" s="63"/>
      <c r="AM167" s="63"/>
      <c r="AN167" s="63"/>
      <c r="AO167" s="63"/>
      <c r="AP167" s="63"/>
      <c r="AQ167" s="63"/>
      <c r="AR167" s="63"/>
      <c r="AS167" s="63"/>
      <c r="AT167" s="63"/>
      <c r="AU167" s="63"/>
      <c r="AV167" s="63"/>
      <c r="AW167" s="50"/>
      <c r="AX167" s="69"/>
      <c r="AY167" s="69"/>
      <c r="AZ167" s="54"/>
      <c r="BA167" s="54"/>
      <c r="BB167" s="54"/>
      <c r="BC167" s="54"/>
      <c r="BD167" s="54"/>
      <c r="BE167" s="70"/>
      <c r="BF167" s="63"/>
      <c r="BG167" s="71">
        <v>0</v>
      </c>
      <c r="BH167" s="67"/>
      <c r="BI167" s="68"/>
      <c r="BJ167" s="72">
        <v>0</v>
      </c>
      <c r="BK167" s="62"/>
      <c r="BL167" s="70"/>
      <c r="BM167" s="70"/>
      <c r="BN167" s="70"/>
      <c r="BO167" s="70"/>
      <c r="BP167" s="73"/>
      <c r="BQ167" s="48"/>
      <c r="BR167" s="63"/>
      <c r="BS167" s="50"/>
      <c r="BT167" s="76" t="e">
        <v>#DIV/0!</v>
      </c>
      <c r="BU167" s="77" t="e">
        <v>#DIV/0!</v>
      </c>
      <c r="BV167" s="78">
        <v>0</v>
      </c>
      <c r="BW167" s="79">
        <v>0</v>
      </c>
      <c r="BX167" s="62"/>
      <c r="BY167" s="63"/>
      <c r="BZ167" s="63"/>
      <c r="CA167" s="63"/>
      <c r="CB167" s="63"/>
      <c r="CC167" s="63"/>
      <c r="CD167" s="63"/>
      <c r="CE167" s="50"/>
    </row>
    <row r="168" spans="2:83" x14ac:dyDescent="0.3">
      <c r="B168" s="46">
        <v>0</v>
      </c>
      <c r="C168" s="47"/>
      <c r="D168" s="48"/>
      <c r="E168" s="49"/>
      <c r="F168" s="50"/>
      <c r="G168" s="51" t="e">
        <v>#DIV/0!</v>
      </c>
      <c r="H168" s="52" t="e">
        <v>#DIV/0!</v>
      </c>
      <c r="I168" s="53"/>
      <c r="J168" s="54"/>
      <c r="K168" s="54"/>
      <c r="L168" s="55"/>
      <c r="M168" s="56"/>
      <c r="N168" s="57">
        <v>0</v>
      </c>
      <c r="O168" s="58"/>
      <c r="P168" s="59"/>
      <c r="Q168" s="81"/>
      <c r="R168" s="82"/>
      <c r="S168" s="48"/>
      <c r="T168" s="50"/>
      <c r="U168" s="62"/>
      <c r="V168" s="63"/>
      <c r="W168" s="50"/>
      <c r="X168" s="48"/>
      <c r="Y168" s="63"/>
      <c r="Z168" s="63"/>
      <c r="AA168" s="64"/>
      <c r="AB168" s="65"/>
      <c r="AC168" s="66"/>
      <c r="AD168" s="67"/>
      <c r="AE168" s="68"/>
      <c r="AF168" s="48"/>
      <c r="AG168" s="63"/>
      <c r="AH168" s="63"/>
      <c r="AI168" s="63"/>
      <c r="AJ168" s="63"/>
      <c r="AK168" s="63"/>
      <c r="AL168" s="63"/>
      <c r="AM168" s="63"/>
      <c r="AN168" s="63"/>
      <c r="AO168" s="63"/>
      <c r="AP168" s="63"/>
      <c r="AQ168" s="63"/>
      <c r="AR168" s="63"/>
      <c r="AS168" s="63"/>
      <c r="AT168" s="63"/>
      <c r="AU168" s="63"/>
      <c r="AV168" s="63"/>
      <c r="AW168" s="50"/>
      <c r="AX168" s="69"/>
      <c r="AY168" s="69"/>
      <c r="AZ168" s="54"/>
      <c r="BA168" s="54"/>
      <c r="BB168" s="54"/>
      <c r="BC168" s="54"/>
      <c r="BD168" s="54"/>
      <c r="BE168" s="70"/>
      <c r="BF168" s="63"/>
      <c r="BG168" s="71">
        <v>0</v>
      </c>
      <c r="BH168" s="67"/>
      <c r="BI168" s="68"/>
      <c r="BJ168" s="72">
        <v>0</v>
      </c>
      <c r="BK168" s="62"/>
      <c r="BL168" s="70"/>
      <c r="BM168" s="70"/>
      <c r="BN168" s="70"/>
      <c r="BO168" s="70"/>
      <c r="BP168" s="73"/>
      <c r="BQ168" s="48"/>
      <c r="BR168" s="63"/>
      <c r="BS168" s="50"/>
      <c r="BT168" s="76" t="e">
        <v>#DIV/0!</v>
      </c>
      <c r="BU168" s="77" t="e">
        <v>#DIV/0!</v>
      </c>
      <c r="BV168" s="78">
        <v>0</v>
      </c>
      <c r="BW168" s="79">
        <v>0</v>
      </c>
      <c r="BX168" s="62"/>
      <c r="BY168" s="63"/>
      <c r="BZ168" s="63"/>
      <c r="CA168" s="63"/>
      <c r="CB168" s="63"/>
      <c r="CC168" s="63"/>
      <c r="CD168" s="63"/>
      <c r="CE168" s="50"/>
    </row>
    <row r="169" spans="2:83" x14ac:dyDescent="0.3">
      <c r="B169" s="46">
        <v>0</v>
      </c>
      <c r="C169" s="47"/>
      <c r="D169" s="48"/>
      <c r="E169" s="49"/>
      <c r="F169" s="50"/>
      <c r="G169" s="51" t="e">
        <v>#DIV/0!</v>
      </c>
      <c r="H169" s="52" t="e">
        <v>#DIV/0!</v>
      </c>
      <c r="I169" s="53"/>
      <c r="J169" s="54"/>
      <c r="K169" s="54"/>
      <c r="L169" s="55"/>
      <c r="M169" s="56"/>
      <c r="N169" s="57">
        <v>0</v>
      </c>
      <c r="O169" s="58"/>
      <c r="P169" s="59"/>
      <c r="Q169" s="81"/>
      <c r="R169" s="82"/>
      <c r="S169" s="48"/>
      <c r="T169" s="50"/>
      <c r="U169" s="62"/>
      <c r="V169" s="63"/>
      <c r="W169" s="50"/>
      <c r="X169" s="48"/>
      <c r="Y169" s="63"/>
      <c r="Z169" s="63"/>
      <c r="AA169" s="64"/>
      <c r="AB169" s="65"/>
      <c r="AC169" s="66"/>
      <c r="AD169" s="67"/>
      <c r="AE169" s="68"/>
      <c r="AF169" s="48"/>
      <c r="AG169" s="63"/>
      <c r="AH169" s="63"/>
      <c r="AI169" s="63"/>
      <c r="AJ169" s="63"/>
      <c r="AK169" s="63"/>
      <c r="AL169" s="63"/>
      <c r="AM169" s="63"/>
      <c r="AN169" s="63"/>
      <c r="AO169" s="63"/>
      <c r="AP169" s="63"/>
      <c r="AQ169" s="63"/>
      <c r="AR169" s="63"/>
      <c r="AS169" s="63"/>
      <c r="AT169" s="63"/>
      <c r="AU169" s="63"/>
      <c r="AV169" s="63"/>
      <c r="AW169" s="50"/>
      <c r="AX169" s="69"/>
      <c r="AY169" s="69"/>
      <c r="AZ169" s="54"/>
      <c r="BA169" s="54"/>
      <c r="BB169" s="54"/>
      <c r="BC169" s="54"/>
      <c r="BD169" s="54"/>
      <c r="BE169" s="70"/>
      <c r="BF169" s="63"/>
      <c r="BG169" s="71">
        <v>0</v>
      </c>
      <c r="BH169" s="67"/>
      <c r="BI169" s="68"/>
      <c r="BJ169" s="72">
        <v>0</v>
      </c>
      <c r="BK169" s="62"/>
      <c r="BL169" s="70"/>
      <c r="BM169" s="70"/>
      <c r="BN169" s="70"/>
      <c r="BO169" s="70"/>
      <c r="BP169" s="73"/>
      <c r="BQ169" s="48"/>
      <c r="BR169" s="63"/>
      <c r="BS169" s="50"/>
      <c r="BT169" s="76" t="e">
        <v>#DIV/0!</v>
      </c>
      <c r="BU169" s="77" t="e">
        <v>#DIV/0!</v>
      </c>
      <c r="BV169" s="78">
        <v>0</v>
      </c>
      <c r="BW169" s="79">
        <v>0</v>
      </c>
      <c r="BX169" s="62"/>
      <c r="BY169" s="63"/>
      <c r="BZ169" s="63"/>
      <c r="CA169" s="63"/>
      <c r="CB169" s="63"/>
      <c r="CC169" s="63"/>
      <c r="CD169" s="63"/>
      <c r="CE169" s="50"/>
    </row>
    <row r="170" spans="2:83" x14ac:dyDescent="0.3">
      <c r="B170" s="46">
        <v>0</v>
      </c>
      <c r="C170" s="47"/>
      <c r="D170" s="48"/>
      <c r="E170" s="49"/>
      <c r="F170" s="50"/>
      <c r="G170" s="51" t="e">
        <v>#DIV/0!</v>
      </c>
      <c r="H170" s="52" t="e">
        <v>#DIV/0!</v>
      </c>
      <c r="I170" s="53"/>
      <c r="J170" s="54"/>
      <c r="K170" s="54"/>
      <c r="L170" s="55"/>
      <c r="M170" s="56"/>
      <c r="N170" s="57">
        <v>0</v>
      </c>
      <c r="O170" s="58"/>
      <c r="P170" s="59"/>
      <c r="Q170" s="81"/>
      <c r="R170" s="82"/>
      <c r="S170" s="48"/>
      <c r="T170" s="50"/>
      <c r="U170" s="62"/>
      <c r="V170" s="63"/>
      <c r="W170" s="50"/>
      <c r="X170" s="48"/>
      <c r="Y170" s="63"/>
      <c r="Z170" s="63"/>
      <c r="AA170" s="64"/>
      <c r="AB170" s="65"/>
      <c r="AC170" s="66"/>
      <c r="AD170" s="67"/>
      <c r="AE170" s="68"/>
      <c r="AF170" s="48"/>
      <c r="AG170" s="63"/>
      <c r="AH170" s="63"/>
      <c r="AI170" s="63"/>
      <c r="AJ170" s="63"/>
      <c r="AK170" s="63"/>
      <c r="AL170" s="63"/>
      <c r="AM170" s="63"/>
      <c r="AN170" s="63"/>
      <c r="AO170" s="63"/>
      <c r="AP170" s="63"/>
      <c r="AQ170" s="63"/>
      <c r="AR170" s="63"/>
      <c r="AS170" s="63"/>
      <c r="AT170" s="63"/>
      <c r="AU170" s="63"/>
      <c r="AV170" s="63"/>
      <c r="AW170" s="50"/>
      <c r="AX170" s="69"/>
      <c r="AY170" s="69"/>
      <c r="AZ170" s="54"/>
      <c r="BA170" s="54"/>
      <c r="BB170" s="54"/>
      <c r="BC170" s="54"/>
      <c r="BD170" s="54"/>
      <c r="BE170" s="70"/>
      <c r="BF170" s="63"/>
      <c r="BG170" s="71">
        <v>0</v>
      </c>
      <c r="BH170" s="67"/>
      <c r="BI170" s="68"/>
      <c r="BJ170" s="72">
        <v>0</v>
      </c>
      <c r="BK170" s="62"/>
      <c r="BL170" s="70"/>
      <c r="BM170" s="70"/>
      <c r="BN170" s="70"/>
      <c r="BO170" s="70"/>
      <c r="BP170" s="73"/>
      <c r="BQ170" s="48"/>
      <c r="BR170" s="63"/>
      <c r="BS170" s="50"/>
      <c r="BT170" s="76" t="e">
        <v>#DIV/0!</v>
      </c>
      <c r="BU170" s="77" t="e">
        <v>#DIV/0!</v>
      </c>
      <c r="BV170" s="78">
        <v>0</v>
      </c>
      <c r="BW170" s="79">
        <v>0</v>
      </c>
      <c r="BX170" s="62"/>
      <c r="BY170" s="63"/>
      <c r="BZ170" s="63"/>
      <c r="CA170" s="63"/>
      <c r="CB170" s="63"/>
      <c r="CC170" s="63"/>
      <c r="CD170" s="63"/>
      <c r="CE170" s="50"/>
    </row>
    <row r="171" spans="2:83" x14ac:dyDescent="0.3">
      <c r="B171" s="46">
        <v>0</v>
      </c>
      <c r="C171" s="47"/>
      <c r="D171" s="48"/>
      <c r="E171" s="49"/>
      <c r="F171" s="50"/>
      <c r="G171" s="51" t="e">
        <v>#DIV/0!</v>
      </c>
      <c r="H171" s="52" t="e">
        <v>#DIV/0!</v>
      </c>
      <c r="I171" s="53"/>
      <c r="J171" s="54"/>
      <c r="K171" s="54"/>
      <c r="L171" s="55"/>
      <c r="M171" s="56"/>
      <c r="N171" s="57">
        <v>0</v>
      </c>
      <c r="O171" s="58"/>
      <c r="P171" s="59"/>
      <c r="Q171" s="81"/>
      <c r="R171" s="82"/>
      <c r="S171" s="48"/>
      <c r="T171" s="50"/>
      <c r="U171" s="62"/>
      <c r="V171" s="63"/>
      <c r="W171" s="50"/>
      <c r="X171" s="48"/>
      <c r="Y171" s="63"/>
      <c r="Z171" s="63"/>
      <c r="AA171" s="64"/>
      <c r="AB171" s="65"/>
      <c r="AC171" s="66"/>
      <c r="AD171" s="67"/>
      <c r="AE171" s="68"/>
      <c r="AF171" s="48"/>
      <c r="AG171" s="63"/>
      <c r="AH171" s="63"/>
      <c r="AI171" s="63"/>
      <c r="AJ171" s="63"/>
      <c r="AK171" s="63"/>
      <c r="AL171" s="63"/>
      <c r="AM171" s="63"/>
      <c r="AN171" s="63"/>
      <c r="AO171" s="63"/>
      <c r="AP171" s="63"/>
      <c r="AQ171" s="63"/>
      <c r="AR171" s="63"/>
      <c r="AS171" s="63"/>
      <c r="AT171" s="63"/>
      <c r="AU171" s="63"/>
      <c r="AV171" s="63"/>
      <c r="AW171" s="50"/>
      <c r="AX171" s="69"/>
      <c r="AY171" s="69"/>
      <c r="AZ171" s="54"/>
      <c r="BA171" s="54"/>
      <c r="BB171" s="54"/>
      <c r="BC171" s="54"/>
      <c r="BD171" s="54"/>
      <c r="BE171" s="70"/>
      <c r="BF171" s="63"/>
      <c r="BG171" s="71">
        <v>0</v>
      </c>
      <c r="BH171" s="67"/>
      <c r="BI171" s="68"/>
      <c r="BJ171" s="72">
        <v>0</v>
      </c>
      <c r="BK171" s="62"/>
      <c r="BL171" s="70"/>
      <c r="BM171" s="70"/>
      <c r="BN171" s="70"/>
      <c r="BO171" s="70"/>
      <c r="BP171" s="73"/>
      <c r="BQ171" s="48"/>
      <c r="BR171" s="63"/>
      <c r="BS171" s="50"/>
      <c r="BT171" s="76" t="e">
        <v>#DIV/0!</v>
      </c>
      <c r="BU171" s="77" t="e">
        <v>#DIV/0!</v>
      </c>
      <c r="BV171" s="78">
        <v>0</v>
      </c>
      <c r="BW171" s="79">
        <v>0</v>
      </c>
      <c r="BX171" s="62"/>
      <c r="BY171" s="63"/>
      <c r="BZ171" s="63"/>
      <c r="CA171" s="63"/>
      <c r="CB171" s="63"/>
      <c r="CC171" s="63"/>
      <c r="CD171" s="63"/>
      <c r="CE171" s="50"/>
    </row>
    <row r="172" spans="2:83" x14ac:dyDescent="0.3">
      <c r="B172" s="46">
        <v>0</v>
      </c>
      <c r="C172" s="47"/>
      <c r="D172" s="48"/>
      <c r="E172" s="49"/>
      <c r="F172" s="50"/>
      <c r="G172" s="51" t="e">
        <v>#DIV/0!</v>
      </c>
      <c r="H172" s="52" t="e">
        <v>#DIV/0!</v>
      </c>
      <c r="I172" s="53"/>
      <c r="J172" s="54"/>
      <c r="K172" s="54"/>
      <c r="L172" s="55"/>
      <c r="M172" s="56"/>
      <c r="N172" s="57">
        <v>0</v>
      </c>
      <c r="O172" s="58"/>
      <c r="P172" s="59"/>
      <c r="Q172" s="81"/>
      <c r="R172" s="82"/>
      <c r="S172" s="48"/>
      <c r="T172" s="50"/>
      <c r="U172" s="62"/>
      <c r="V172" s="63"/>
      <c r="W172" s="50"/>
      <c r="X172" s="48"/>
      <c r="Y172" s="63"/>
      <c r="Z172" s="63"/>
      <c r="AA172" s="64"/>
      <c r="AB172" s="65"/>
      <c r="AC172" s="66"/>
      <c r="AD172" s="67"/>
      <c r="AE172" s="68"/>
      <c r="AF172" s="48"/>
      <c r="AG172" s="63"/>
      <c r="AH172" s="63"/>
      <c r="AI172" s="63"/>
      <c r="AJ172" s="63"/>
      <c r="AK172" s="63"/>
      <c r="AL172" s="63"/>
      <c r="AM172" s="63"/>
      <c r="AN172" s="63"/>
      <c r="AO172" s="63"/>
      <c r="AP172" s="63"/>
      <c r="AQ172" s="63"/>
      <c r="AR172" s="63"/>
      <c r="AS172" s="63"/>
      <c r="AT172" s="63"/>
      <c r="AU172" s="63"/>
      <c r="AV172" s="63"/>
      <c r="AW172" s="50"/>
      <c r="AX172" s="69"/>
      <c r="AY172" s="69"/>
      <c r="AZ172" s="54"/>
      <c r="BA172" s="54"/>
      <c r="BB172" s="54"/>
      <c r="BC172" s="54"/>
      <c r="BD172" s="54"/>
      <c r="BE172" s="70"/>
      <c r="BF172" s="63"/>
      <c r="BG172" s="71">
        <v>0</v>
      </c>
      <c r="BH172" s="67"/>
      <c r="BI172" s="68"/>
      <c r="BJ172" s="72">
        <v>0</v>
      </c>
      <c r="BK172" s="62"/>
      <c r="BL172" s="70"/>
      <c r="BM172" s="70"/>
      <c r="BN172" s="70"/>
      <c r="BO172" s="70"/>
      <c r="BP172" s="73"/>
      <c r="BQ172" s="48"/>
      <c r="BR172" s="63"/>
      <c r="BS172" s="50"/>
      <c r="BT172" s="76" t="e">
        <v>#DIV/0!</v>
      </c>
      <c r="BU172" s="77" t="e">
        <v>#DIV/0!</v>
      </c>
      <c r="BV172" s="78">
        <v>0</v>
      </c>
      <c r="BW172" s="79">
        <v>0</v>
      </c>
      <c r="BX172" s="62"/>
      <c r="BY172" s="63"/>
      <c r="BZ172" s="63"/>
      <c r="CA172" s="63"/>
      <c r="CB172" s="63"/>
      <c r="CC172" s="63"/>
      <c r="CD172" s="63"/>
      <c r="CE172" s="50"/>
    </row>
    <row r="173" spans="2:83" x14ac:dyDescent="0.3">
      <c r="B173" s="46">
        <v>0</v>
      </c>
      <c r="C173" s="47"/>
      <c r="D173" s="48"/>
      <c r="E173" s="49"/>
      <c r="F173" s="50"/>
      <c r="G173" s="51" t="e">
        <v>#DIV/0!</v>
      </c>
      <c r="H173" s="52" t="e">
        <v>#DIV/0!</v>
      </c>
      <c r="I173" s="53"/>
      <c r="J173" s="54"/>
      <c r="K173" s="54"/>
      <c r="L173" s="55"/>
      <c r="M173" s="56"/>
      <c r="N173" s="57">
        <v>0</v>
      </c>
      <c r="O173" s="58"/>
      <c r="P173" s="59"/>
      <c r="Q173" s="81"/>
      <c r="R173" s="82"/>
      <c r="S173" s="48"/>
      <c r="T173" s="50"/>
      <c r="U173" s="62"/>
      <c r="V173" s="63"/>
      <c r="W173" s="50"/>
      <c r="X173" s="48"/>
      <c r="Y173" s="63"/>
      <c r="Z173" s="63"/>
      <c r="AA173" s="64"/>
      <c r="AB173" s="65"/>
      <c r="AC173" s="66"/>
      <c r="AD173" s="67"/>
      <c r="AE173" s="68"/>
      <c r="AF173" s="48"/>
      <c r="AG173" s="63"/>
      <c r="AH173" s="63"/>
      <c r="AI173" s="63"/>
      <c r="AJ173" s="63"/>
      <c r="AK173" s="63"/>
      <c r="AL173" s="63"/>
      <c r="AM173" s="63"/>
      <c r="AN173" s="63"/>
      <c r="AO173" s="63"/>
      <c r="AP173" s="63"/>
      <c r="AQ173" s="63"/>
      <c r="AR173" s="63"/>
      <c r="AS173" s="63"/>
      <c r="AT173" s="63"/>
      <c r="AU173" s="63"/>
      <c r="AV173" s="63"/>
      <c r="AW173" s="50"/>
      <c r="AX173" s="69"/>
      <c r="AY173" s="69"/>
      <c r="AZ173" s="54"/>
      <c r="BA173" s="54"/>
      <c r="BB173" s="54"/>
      <c r="BC173" s="54"/>
      <c r="BD173" s="54"/>
      <c r="BE173" s="70"/>
      <c r="BF173" s="63"/>
      <c r="BG173" s="71">
        <v>0</v>
      </c>
      <c r="BH173" s="67"/>
      <c r="BI173" s="68"/>
      <c r="BJ173" s="72">
        <v>0</v>
      </c>
      <c r="BK173" s="62"/>
      <c r="BL173" s="70"/>
      <c r="BM173" s="70"/>
      <c r="BN173" s="70"/>
      <c r="BO173" s="70"/>
      <c r="BP173" s="73"/>
      <c r="BQ173" s="48"/>
      <c r="BR173" s="63"/>
      <c r="BS173" s="50"/>
      <c r="BT173" s="76" t="e">
        <v>#DIV/0!</v>
      </c>
      <c r="BU173" s="77" t="e">
        <v>#DIV/0!</v>
      </c>
      <c r="BV173" s="78">
        <v>0</v>
      </c>
      <c r="BW173" s="79">
        <v>0</v>
      </c>
      <c r="BX173" s="62"/>
      <c r="BY173" s="63"/>
      <c r="BZ173" s="63"/>
      <c r="CA173" s="63"/>
      <c r="CB173" s="63"/>
      <c r="CC173" s="63"/>
      <c r="CD173" s="63"/>
      <c r="CE173" s="50"/>
    </row>
    <row r="174" spans="2:83" x14ac:dyDescent="0.3">
      <c r="B174" s="46">
        <v>0</v>
      </c>
      <c r="C174" s="47"/>
      <c r="D174" s="48"/>
      <c r="E174" s="49"/>
      <c r="F174" s="50"/>
      <c r="G174" s="51" t="e">
        <v>#DIV/0!</v>
      </c>
      <c r="H174" s="52" t="e">
        <v>#DIV/0!</v>
      </c>
      <c r="I174" s="53"/>
      <c r="J174" s="54"/>
      <c r="K174" s="54"/>
      <c r="L174" s="55"/>
      <c r="M174" s="56"/>
      <c r="N174" s="57">
        <v>0</v>
      </c>
      <c r="O174" s="58"/>
      <c r="P174" s="59"/>
      <c r="Q174" s="81"/>
      <c r="R174" s="82"/>
      <c r="S174" s="48"/>
      <c r="T174" s="50"/>
      <c r="U174" s="62"/>
      <c r="V174" s="63"/>
      <c r="W174" s="50"/>
      <c r="X174" s="48"/>
      <c r="Y174" s="63"/>
      <c r="Z174" s="63"/>
      <c r="AA174" s="64"/>
      <c r="AB174" s="65"/>
      <c r="AC174" s="66"/>
      <c r="AD174" s="67"/>
      <c r="AE174" s="68"/>
      <c r="AF174" s="48"/>
      <c r="AG174" s="63"/>
      <c r="AH174" s="63"/>
      <c r="AI174" s="63"/>
      <c r="AJ174" s="63"/>
      <c r="AK174" s="63"/>
      <c r="AL174" s="63"/>
      <c r="AM174" s="63"/>
      <c r="AN174" s="63"/>
      <c r="AO174" s="63"/>
      <c r="AP174" s="63"/>
      <c r="AQ174" s="63"/>
      <c r="AR174" s="63"/>
      <c r="AS174" s="63"/>
      <c r="AT174" s="63"/>
      <c r="AU174" s="63"/>
      <c r="AV174" s="63"/>
      <c r="AW174" s="50"/>
      <c r="AX174" s="69"/>
      <c r="AY174" s="69"/>
      <c r="AZ174" s="54"/>
      <c r="BA174" s="54"/>
      <c r="BB174" s="54"/>
      <c r="BC174" s="54"/>
      <c r="BD174" s="54"/>
      <c r="BE174" s="70"/>
      <c r="BF174" s="63"/>
      <c r="BG174" s="71">
        <v>0</v>
      </c>
      <c r="BH174" s="67"/>
      <c r="BI174" s="68"/>
      <c r="BJ174" s="72">
        <v>0</v>
      </c>
      <c r="BK174" s="62"/>
      <c r="BL174" s="70"/>
      <c r="BM174" s="70"/>
      <c r="BN174" s="70"/>
      <c r="BO174" s="70"/>
      <c r="BP174" s="73"/>
      <c r="BQ174" s="48"/>
      <c r="BR174" s="63"/>
      <c r="BS174" s="50"/>
      <c r="BT174" s="76" t="e">
        <v>#DIV/0!</v>
      </c>
      <c r="BU174" s="77" t="e">
        <v>#DIV/0!</v>
      </c>
      <c r="BV174" s="78">
        <v>0</v>
      </c>
      <c r="BW174" s="79">
        <v>0</v>
      </c>
      <c r="BX174" s="62"/>
      <c r="BY174" s="63"/>
      <c r="BZ174" s="63"/>
      <c r="CA174" s="63"/>
      <c r="CB174" s="63"/>
      <c r="CC174" s="63"/>
      <c r="CD174" s="63"/>
      <c r="CE174" s="50"/>
    </row>
    <row r="175" spans="2:83" x14ac:dyDescent="0.3">
      <c r="B175" s="46">
        <v>0</v>
      </c>
      <c r="C175" s="47"/>
      <c r="D175" s="48"/>
      <c r="E175" s="49"/>
      <c r="F175" s="50"/>
      <c r="G175" s="51" t="e">
        <v>#DIV/0!</v>
      </c>
      <c r="H175" s="52" t="e">
        <v>#DIV/0!</v>
      </c>
      <c r="I175" s="53"/>
      <c r="J175" s="54"/>
      <c r="K175" s="54"/>
      <c r="L175" s="55"/>
      <c r="M175" s="56"/>
      <c r="N175" s="57">
        <v>0</v>
      </c>
      <c r="O175" s="58"/>
      <c r="P175" s="59"/>
      <c r="Q175" s="81"/>
      <c r="R175" s="82"/>
      <c r="S175" s="48"/>
      <c r="T175" s="50"/>
      <c r="U175" s="62"/>
      <c r="V175" s="63"/>
      <c r="W175" s="50"/>
      <c r="X175" s="48"/>
      <c r="Y175" s="63"/>
      <c r="Z175" s="63"/>
      <c r="AA175" s="64"/>
      <c r="AB175" s="65"/>
      <c r="AC175" s="66"/>
      <c r="AD175" s="67"/>
      <c r="AE175" s="68"/>
      <c r="AF175" s="48"/>
      <c r="AG175" s="63"/>
      <c r="AH175" s="63"/>
      <c r="AI175" s="63"/>
      <c r="AJ175" s="63"/>
      <c r="AK175" s="63"/>
      <c r="AL175" s="63"/>
      <c r="AM175" s="63"/>
      <c r="AN175" s="63"/>
      <c r="AO175" s="63"/>
      <c r="AP175" s="63"/>
      <c r="AQ175" s="63"/>
      <c r="AR175" s="63"/>
      <c r="AS175" s="63"/>
      <c r="AT175" s="63"/>
      <c r="AU175" s="63"/>
      <c r="AV175" s="63"/>
      <c r="AW175" s="50"/>
      <c r="AX175" s="69"/>
      <c r="AY175" s="69"/>
      <c r="AZ175" s="54"/>
      <c r="BA175" s="54"/>
      <c r="BB175" s="54"/>
      <c r="BC175" s="54"/>
      <c r="BD175" s="54"/>
      <c r="BE175" s="70"/>
      <c r="BF175" s="63"/>
      <c r="BG175" s="71">
        <v>0</v>
      </c>
      <c r="BH175" s="67"/>
      <c r="BI175" s="68"/>
      <c r="BJ175" s="72">
        <v>0</v>
      </c>
      <c r="BK175" s="62"/>
      <c r="BL175" s="70"/>
      <c r="BM175" s="70"/>
      <c r="BN175" s="70"/>
      <c r="BO175" s="70"/>
      <c r="BP175" s="73"/>
      <c r="BQ175" s="48"/>
      <c r="BR175" s="63"/>
      <c r="BS175" s="50"/>
      <c r="BT175" s="76" t="e">
        <v>#DIV/0!</v>
      </c>
      <c r="BU175" s="77" t="e">
        <v>#DIV/0!</v>
      </c>
      <c r="BV175" s="78">
        <v>0</v>
      </c>
      <c r="BW175" s="79">
        <v>0</v>
      </c>
      <c r="BX175" s="62"/>
      <c r="BY175" s="63"/>
      <c r="BZ175" s="63"/>
      <c r="CA175" s="63"/>
      <c r="CB175" s="63"/>
      <c r="CC175" s="63"/>
      <c r="CD175" s="63"/>
      <c r="CE175" s="50"/>
    </row>
    <row r="176" spans="2:83" x14ac:dyDescent="0.3">
      <c r="B176" s="46">
        <v>0</v>
      </c>
      <c r="C176" s="47"/>
      <c r="D176" s="48"/>
      <c r="E176" s="49"/>
      <c r="F176" s="50"/>
      <c r="G176" s="51" t="e">
        <v>#DIV/0!</v>
      </c>
      <c r="H176" s="52" t="e">
        <v>#DIV/0!</v>
      </c>
      <c r="I176" s="53"/>
      <c r="J176" s="54"/>
      <c r="K176" s="54"/>
      <c r="L176" s="55"/>
      <c r="M176" s="56"/>
      <c r="N176" s="57">
        <v>0</v>
      </c>
      <c r="O176" s="58"/>
      <c r="P176" s="59"/>
      <c r="Q176" s="81"/>
      <c r="R176" s="82"/>
      <c r="S176" s="48"/>
      <c r="T176" s="50"/>
      <c r="U176" s="62"/>
      <c r="V176" s="63"/>
      <c r="W176" s="50"/>
      <c r="X176" s="48"/>
      <c r="Y176" s="63"/>
      <c r="Z176" s="63"/>
      <c r="AA176" s="64"/>
      <c r="AB176" s="65"/>
      <c r="AC176" s="66"/>
      <c r="AD176" s="67"/>
      <c r="AE176" s="68"/>
      <c r="AF176" s="48"/>
      <c r="AG176" s="63"/>
      <c r="AH176" s="63"/>
      <c r="AI176" s="63"/>
      <c r="AJ176" s="63"/>
      <c r="AK176" s="63"/>
      <c r="AL176" s="63"/>
      <c r="AM176" s="63"/>
      <c r="AN176" s="63"/>
      <c r="AO176" s="63"/>
      <c r="AP176" s="63"/>
      <c r="AQ176" s="63"/>
      <c r="AR176" s="63"/>
      <c r="AS176" s="63"/>
      <c r="AT176" s="63"/>
      <c r="AU176" s="63"/>
      <c r="AV176" s="63"/>
      <c r="AW176" s="50"/>
      <c r="AX176" s="69"/>
      <c r="AY176" s="69"/>
      <c r="AZ176" s="54"/>
      <c r="BA176" s="54"/>
      <c r="BB176" s="54"/>
      <c r="BC176" s="54"/>
      <c r="BD176" s="54"/>
      <c r="BE176" s="70"/>
      <c r="BF176" s="63"/>
      <c r="BG176" s="71">
        <v>0</v>
      </c>
      <c r="BH176" s="67"/>
      <c r="BI176" s="68"/>
      <c r="BJ176" s="72">
        <v>0</v>
      </c>
      <c r="BK176" s="62"/>
      <c r="BL176" s="70"/>
      <c r="BM176" s="70"/>
      <c r="BN176" s="70"/>
      <c r="BO176" s="70"/>
      <c r="BP176" s="73"/>
      <c r="BQ176" s="48"/>
      <c r="BR176" s="63"/>
      <c r="BS176" s="50"/>
      <c r="BT176" s="76" t="e">
        <v>#DIV/0!</v>
      </c>
      <c r="BU176" s="77" t="e">
        <v>#DIV/0!</v>
      </c>
      <c r="BV176" s="78">
        <v>0</v>
      </c>
      <c r="BW176" s="79">
        <v>0</v>
      </c>
      <c r="BX176" s="62"/>
      <c r="BY176" s="63"/>
      <c r="BZ176" s="63"/>
      <c r="CA176" s="63"/>
      <c r="CB176" s="63"/>
      <c r="CC176" s="63"/>
      <c r="CD176" s="63"/>
      <c r="CE176" s="50"/>
    </row>
    <row r="177" spans="2:83" x14ac:dyDescent="0.3">
      <c r="B177" s="46">
        <v>0</v>
      </c>
      <c r="C177" s="47"/>
      <c r="D177" s="48"/>
      <c r="E177" s="49"/>
      <c r="F177" s="50"/>
      <c r="G177" s="51" t="e">
        <v>#DIV/0!</v>
      </c>
      <c r="H177" s="52" t="e">
        <v>#DIV/0!</v>
      </c>
      <c r="I177" s="53"/>
      <c r="J177" s="54"/>
      <c r="K177" s="54"/>
      <c r="L177" s="55"/>
      <c r="M177" s="56"/>
      <c r="N177" s="57">
        <v>0</v>
      </c>
      <c r="O177" s="58"/>
      <c r="P177" s="59"/>
      <c r="Q177" s="81"/>
      <c r="R177" s="82"/>
      <c r="S177" s="48"/>
      <c r="T177" s="50"/>
      <c r="U177" s="62"/>
      <c r="V177" s="63"/>
      <c r="W177" s="50"/>
      <c r="X177" s="48"/>
      <c r="Y177" s="63"/>
      <c r="Z177" s="63"/>
      <c r="AA177" s="64"/>
      <c r="AB177" s="65"/>
      <c r="AC177" s="66"/>
      <c r="AD177" s="67"/>
      <c r="AE177" s="68"/>
      <c r="AF177" s="48"/>
      <c r="AG177" s="63"/>
      <c r="AH177" s="63"/>
      <c r="AI177" s="63"/>
      <c r="AJ177" s="63"/>
      <c r="AK177" s="63"/>
      <c r="AL177" s="63"/>
      <c r="AM177" s="63"/>
      <c r="AN177" s="63"/>
      <c r="AO177" s="63"/>
      <c r="AP177" s="63"/>
      <c r="AQ177" s="63"/>
      <c r="AR177" s="63"/>
      <c r="AS177" s="63"/>
      <c r="AT177" s="63"/>
      <c r="AU177" s="63"/>
      <c r="AV177" s="63"/>
      <c r="AW177" s="50"/>
      <c r="AX177" s="69"/>
      <c r="AY177" s="69"/>
      <c r="AZ177" s="54"/>
      <c r="BA177" s="54"/>
      <c r="BB177" s="54"/>
      <c r="BC177" s="54"/>
      <c r="BD177" s="54"/>
      <c r="BE177" s="70"/>
      <c r="BF177" s="63"/>
      <c r="BG177" s="71">
        <v>0</v>
      </c>
      <c r="BH177" s="67"/>
      <c r="BI177" s="68"/>
      <c r="BJ177" s="72">
        <v>0</v>
      </c>
      <c r="BK177" s="62"/>
      <c r="BL177" s="70"/>
      <c r="BM177" s="70"/>
      <c r="BN177" s="70"/>
      <c r="BO177" s="70"/>
      <c r="BP177" s="73"/>
      <c r="BQ177" s="48"/>
      <c r="BR177" s="63"/>
      <c r="BS177" s="50"/>
      <c r="BT177" s="76" t="e">
        <v>#DIV/0!</v>
      </c>
      <c r="BU177" s="77" t="e">
        <v>#DIV/0!</v>
      </c>
      <c r="BV177" s="78">
        <v>0</v>
      </c>
      <c r="BW177" s="79">
        <v>0</v>
      </c>
      <c r="BX177" s="62"/>
      <c r="BY177" s="63"/>
      <c r="BZ177" s="63"/>
      <c r="CA177" s="63"/>
      <c r="CB177" s="63"/>
      <c r="CC177" s="63"/>
      <c r="CD177" s="63"/>
      <c r="CE177" s="50"/>
    </row>
    <row r="178" spans="2:83" x14ac:dyDescent="0.3">
      <c r="B178" s="46">
        <v>0</v>
      </c>
      <c r="C178" s="47"/>
      <c r="D178" s="48"/>
      <c r="E178" s="49"/>
      <c r="F178" s="50"/>
      <c r="G178" s="51" t="e">
        <v>#DIV/0!</v>
      </c>
      <c r="H178" s="52" t="e">
        <v>#DIV/0!</v>
      </c>
      <c r="I178" s="53"/>
      <c r="J178" s="54"/>
      <c r="K178" s="54"/>
      <c r="L178" s="55"/>
      <c r="M178" s="56"/>
      <c r="N178" s="57">
        <v>0</v>
      </c>
      <c r="O178" s="58"/>
      <c r="P178" s="59"/>
      <c r="Q178" s="81"/>
      <c r="R178" s="82"/>
      <c r="S178" s="48"/>
      <c r="T178" s="50"/>
      <c r="U178" s="62"/>
      <c r="V178" s="63"/>
      <c r="W178" s="50"/>
      <c r="X178" s="48"/>
      <c r="Y178" s="63"/>
      <c r="Z178" s="63"/>
      <c r="AA178" s="64"/>
      <c r="AB178" s="65"/>
      <c r="AC178" s="66"/>
      <c r="AD178" s="67"/>
      <c r="AE178" s="68"/>
      <c r="AF178" s="48"/>
      <c r="AG178" s="63"/>
      <c r="AH178" s="63"/>
      <c r="AI178" s="63"/>
      <c r="AJ178" s="63"/>
      <c r="AK178" s="63"/>
      <c r="AL178" s="63"/>
      <c r="AM178" s="63"/>
      <c r="AN178" s="63"/>
      <c r="AO178" s="63"/>
      <c r="AP178" s="63"/>
      <c r="AQ178" s="63"/>
      <c r="AR178" s="63"/>
      <c r="AS178" s="63"/>
      <c r="AT178" s="63"/>
      <c r="AU178" s="63"/>
      <c r="AV178" s="63"/>
      <c r="AW178" s="50"/>
      <c r="AX178" s="69"/>
      <c r="AY178" s="69"/>
      <c r="AZ178" s="54"/>
      <c r="BA178" s="54"/>
      <c r="BB178" s="54"/>
      <c r="BC178" s="54"/>
      <c r="BD178" s="54"/>
      <c r="BE178" s="70"/>
      <c r="BF178" s="63"/>
      <c r="BG178" s="71">
        <v>0</v>
      </c>
      <c r="BH178" s="67"/>
      <c r="BI178" s="68"/>
      <c r="BJ178" s="72">
        <v>0</v>
      </c>
      <c r="BK178" s="62"/>
      <c r="BL178" s="70"/>
      <c r="BM178" s="70"/>
      <c r="BN178" s="70"/>
      <c r="BO178" s="70"/>
      <c r="BP178" s="73"/>
      <c r="BQ178" s="48"/>
      <c r="BR178" s="63"/>
      <c r="BS178" s="50"/>
      <c r="BT178" s="76" t="e">
        <v>#DIV/0!</v>
      </c>
      <c r="BU178" s="77" t="e">
        <v>#DIV/0!</v>
      </c>
      <c r="BV178" s="78">
        <v>0</v>
      </c>
      <c r="BW178" s="79">
        <v>0</v>
      </c>
      <c r="BX178" s="62"/>
      <c r="BY178" s="63"/>
      <c r="BZ178" s="63"/>
      <c r="CA178" s="63"/>
      <c r="CB178" s="63"/>
      <c r="CC178" s="63"/>
      <c r="CD178" s="63"/>
      <c r="CE178" s="50"/>
    </row>
    <row r="179" spans="2:83" x14ac:dyDescent="0.3">
      <c r="B179" s="46">
        <v>0</v>
      </c>
      <c r="C179" s="47"/>
      <c r="D179" s="48"/>
      <c r="E179" s="49"/>
      <c r="F179" s="50"/>
      <c r="G179" s="51" t="e">
        <v>#DIV/0!</v>
      </c>
      <c r="H179" s="52" t="e">
        <v>#DIV/0!</v>
      </c>
      <c r="I179" s="53"/>
      <c r="J179" s="54"/>
      <c r="K179" s="54"/>
      <c r="L179" s="55"/>
      <c r="M179" s="56"/>
      <c r="N179" s="57">
        <v>0</v>
      </c>
      <c r="O179" s="58"/>
      <c r="P179" s="59"/>
      <c r="Q179" s="81"/>
      <c r="R179" s="82"/>
      <c r="S179" s="48"/>
      <c r="T179" s="50"/>
      <c r="U179" s="62"/>
      <c r="V179" s="63"/>
      <c r="W179" s="50"/>
      <c r="X179" s="48"/>
      <c r="Y179" s="63"/>
      <c r="Z179" s="63"/>
      <c r="AA179" s="64"/>
      <c r="AB179" s="65"/>
      <c r="AC179" s="66"/>
      <c r="AD179" s="67"/>
      <c r="AE179" s="68"/>
      <c r="AF179" s="48"/>
      <c r="AG179" s="63"/>
      <c r="AH179" s="63"/>
      <c r="AI179" s="63"/>
      <c r="AJ179" s="63"/>
      <c r="AK179" s="63"/>
      <c r="AL179" s="63"/>
      <c r="AM179" s="63"/>
      <c r="AN179" s="63"/>
      <c r="AO179" s="63"/>
      <c r="AP179" s="63"/>
      <c r="AQ179" s="63"/>
      <c r="AR179" s="63"/>
      <c r="AS179" s="63"/>
      <c r="AT179" s="63"/>
      <c r="AU179" s="63"/>
      <c r="AV179" s="63"/>
      <c r="AW179" s="50"/>
      <c r="AX179" s="69"/>
      <c r="AY179" s="69"/>
      <c r="AZ179" s="54"/>
      <c r="BA179" s="54"/>
      <c r="BB179" s="54"/>
      <c r="BC179" s="54"/>
      <c r="BD179" s="54"/>
      <c r="BE179" s="70"/>
      <c r="BF179" s="63"/>
      <c r="BG179" s="71">
        <v>0</v>
      </c>
      <c r="BH179" s="67"/>
      <c r="BI179" s="68"/>
      <c r="BJ179" s="72">
        <v>0</v>
      </c>
      <c r="BK179" s="62"/>
      <c r="BL179" s="70"/>
      <c r="BM179" s="70"/>
      <c r="BN179" s="70"/>
      <c r="BO179" s="70"/>
      <c r="BP179" s="73"/>
      <c r="BQ179" s="48"/>
      <c r="BR179" s="63"/>
      <c r="BS179" s="50"/>
      <c r="BT179" s="76" t="e">
        <v>#DIV/0!</v>
      </c>
      <c r="BU179" s="77" t="e">
        <v>#DIV/0!</v>
      </c>
      <c r="BV179" s="78">
        <v>0</v>
      </c>
      <c r="BW179" s="79">
        <v>0</v>
      </c>
      <c r="BX179" s="62"/>
      <c r="BY179" s="63"/>
      <c r="BZ179" s="63"/>
      <c r="CA179" s="63"/>
      <c r="CB179" s="63"/>
      <c r="CC179" s="63"/>
      <c r="CD179" s="63"/>
      <c r="CE179" s="50"/>
    </row>
    <row r="180" spans="2:83" x14ac:dyDescent="0.3">
      <c r="B180" s="46">
        <v>0</v>
      </c>
      <c r="C180" s="47"/>
      <c r="D180" s="48"/>
      <c r="E180" s="49"/>
      <c r="F180" s="50"/>
      <c r="G180" s="51" t="e">
        <v>#DIV/0!</v>
      </c>
      <c r="H180" s="52" t="e">
        <v>#DIV/0!</v>
      </c>
      <c r="I180" s="53"/>
      <c r="J180" s="54"/>
      <c r="K180" s="54"/>
      <c r="L180" s="55"/>
      <c r="M180" s="56"/>
      <c r="N180" s="57">
        <v>0</v>
      </c>
      <c r="O180" s="58"/>
      <c r="P180" s="59"/>
      <c r="Q180" s="81"/>
      <c r="R180" s="82"/>
      <c r="S180" s="48"/>
      <c r="T180" s="50"/>
      <c r="U180" s="62"/>
      <c r="V180" s="63"/>
      <c r="W180" s="50"/>
      <c r="X180" s="48"/>
      <c r="Y180" s="63"/>
      <c r="Z180" s="63"/>
      <c r="AA180" s="64"/>
      <c r="AB180" s="65"/>
      <c r="AC180" s="66"/>
      <c r="AD180" s="67"/>
      <c r="AE180" s="68"/>
      <c r="AF180" s="48"/>
      <c r="AG180" s="63"/>
      <c r="AH180" s="63"/>
      <c r="AI180" s="63"/>
      <c r="AJ180" s="63"/>
      <c r="AK180" s="63"/>
      <c r="AL180" s="63"/>
      <c r="AM180" s="63"/>
      <c r="AN180" s="63"/>
      <c r="AO180" s="63"/>
      <c r="AP180" s="63"/>
      <c r="AQ180" s="63"/>
      <c r="AR180" s="63"/>
      <c r="AS180" s="63"/>
      <c r="AT180" s="63"/>
      <c r="AU180" s="63"/>
      <c r="AV180" s="63"/>
      <c r="AW180" s="50"/>
      <c r="AX180" s="69"/>
      <c r="AY180" s="69"/>
      <c r="AZ180" s="54"/>
      <c r="BA180" s="54"/>
      <c r="BB180" s="54"/>
      <c r="BC180" s="54"/>
      <c r="BD180" s="54"/>
      <c r="BE180" s="70"/>
      <c r="BF180" s="63"/>
      <c r="BG180" s="71">
        <v>0</v>
      </c>
      <c r="BH180" s="67"/>
      <c r="BI180" s="68"/>
      <c r="BJ180" s="72">
        <v>0</v>
      </c>
      <c r="BK180" s="62"/>
      <c r="BL180" s="70"/>
      <c r="BM180" s="70"/>
      <c r="BN180" s="70"/>
      <c r="BO180" s="70"/>
      <c r="BP180" s="73"/>
      <c r="BQ180" s="48"/>
      <c r="BR180" s="63"/>
      <c r="BS180" s="50"/>
      <c r="BT180" s="76" t="e">
        <v>#DIV/0!</v>
      </c>
      <c r="BU180" s="77" t="e">
        <v>#DIV/0!</v>
      </c>
      <c r="BV180" s="78">
        <v>0</v>
      </c>
      <c r="BW180" s="79">
        <v>0</v>
      </c>
      <c r="BX180" s="62"/>
      <c r="BY180" s="63"/>
      <c r="BZ180" s="63"/>
      <c r="CA180" s="63"/>
      <c r="CB180" s="63"/>
      <c r="CC180" s="63"/>
      <c r="CD180" s="63"/>
      <c r="CE180" s="50"/>
    </row>
    <row r="181" spans="2:83" x14ac:dyDescent="0.3">
      <c r="B181" s="46">
        <v>0</v>
      </c>
      <c r="C181" s="47"/>
      <c r="D181" s="48"/>
      <c r="E181" s="49"/>
      <c r="F181" s="50"/>
      <c r="G181" s="51" t="e">
        <v>#DIV/0!</v>
      </c>
      <c r="H181" s="52" t="e">
        <v>#DIV/0!</v>
      </c>
      <c r="I181" s="53"/>
      <c r="J181" s="54"/>
      <c r="K181" s="54"/>
      <c r="L181" s="55"/>
      <c r="M181" s="56"/>
      <c r="N181" s="57">
        <v>0</v>
      </c>
      <c r="O181" s="58"/>
      <c r="P181" s="59"/>
      <c r="Q181" s="81"/>
      <c r="R181" s="82"/>
      <c r="S181" s="48"/>
      <c r="T181" s="50"/>
      <c r="U181" s="62"/>
      <c r="V181" s="63"/>
      <c r="W181" s="50"/>
      <c r="X181" s="48"/>
      <c r="Y181" s="63"/>
      <c r="Z181" s="63"/>
      <c r="AA181" s="64"/>
      <c r="AB181" s="65"/>
      <c r="AC181" s="66"/>
      <c r="AD181" s="67"/>
      <c r="AE181" s="68"/>
      <c r="AF181" s="48"/>
      <c r="AG181" s="63"/>
      <c r="AH181" s="63"/>
      <c r="AI181" s="63"/>
      <c r="AJ181" s="63"/>
      <c r="AK181" s="63"/>
      <c r="AL181" s="63"/>
      <c r="AM181" s="63"/>
      <c r="AN181" s="63"/>
      <c r="AO181" s="63"/>
      <c r="AP181" s="63"/>
      <c r="AQ181" s="63"/>
      <c r="AR181" s="63"/>
      <c r="AS181" s="63"/>
      <c r="AT181" s="63"/>
      <c r="AU181" s="63"/>
      <c r="AV181" s="63"/>
      <c r="AW181" s="50"/>
      <c r="AX181" s="69"/>
      <c r="AY181" s="69"/>
      <c r="AZ181" s="54"/>
      <c r="BA181" s="54"/>
      <c r="BB181" s="54"/>
      <c r="BC181" s="54"/>
      <c r="BD181" s="54"/>
      <c r="BE181" s="70"/>
      <c r="BF181" s="63"/>
      <c r="BG181" s="71">
        <v>0</v>
      </c>
      <c r="BH181" s="67"/>
      <c r="BI181" s="68"/>
      <c r="BJ181" s="72">
        <v>0</v>
      </c>
      <c r="BK181" s="62"/>
      <c r="BL181" s="70"/>
      <c r="BM181" s="70"/>
      <c r="BN181" s="70"/>
      <c r="BO181" s="70"/>
      <c r="BP181" s="73"/>
      <c r="BQ181" s="48"/>
      <c r="BR181" s="63"/>
      <c r="BS181" s="50"/>
      <c r="BT181" s="76" t="e">
        <v>#DIV/0!</v>
      </c>
      <c r="BU181" s="77" t="e">
        <v>#DIV/0!</v>
      </c>
      <c r="BV181" s="78">
        <v>0</v>
      </c>
      <c r="BW181" s="79">
        <v>0</v>
      </c>
      <c r="BX181" s="62"/>
      <c r="BY181" s="63"/>
      <c r="BZ181" s="63"/>
      <c r="CA181" s="63"/>
      <c r="CB181" s="63"/>
      <c r="CC181" s="63"/>
      <c r="CD181" s="63"/>
      <c r="CE181" s="50"/>
    </row>
    <row r="182" spans="2:83" x14ac:dyDescent="0.3">
      <c r="B182" s="46">
        <v>0</v>
      </c>
      <c r="C182" s="47"/>
      <c r="D182" s="48"/>
      <c r="E182" s="49"/>
      <c r="F182" s="50"/>
      <c r="G182" s="51" t="e">
        <v>#DIV/0!</v>
      </c>
      <c r="H182" s="52" t="e">
        <v>#DIV/0!</v>
      </c>
      <c r="I182" s="53"/>
      <c r="J182" s="54"/>
      <c r="K182" s="54"/>
      <c r="L182" s="55"/>
      <c r="M182" s="56"/>
      <c r="N182" s="57">
        <v>0</v>
      </c>
      <c r="O182" s="58"/>
      <c r="P182" s="59"/>
      <c r="Q182" s="81"/>
      <c r="R182" s="82"/>
      <c r="S182" s="48"/>
      <c r="T182" s="50"/>
      <c r="U182" s="62"/>
      <c r="V182" s="63"/>
      <c r="W182" s="50"/>
      <c r="X182" s="48"/>
      <c r="Y182" s="63"/>
      <c r="Z182" s="63"/>
      <c r="AA182" s="64"/>
      <c r="AB182" s="65"/>
      <c r="AC182" s="66"/>
      <c r="AD182" s="67"/>
      <c r="AE182" s="68"/>
      <c r="AF182" s="48"/>
      <c r="AG182" s="63"/>
      <c r="AH182" s="63"/>
      <c r="AI182" s="63"/>
      <c r="AJ182" s="63"/>
      <c r="AK182" s="63"/>
      <c r="AL182" s="63"/>
      <c r="AM182" s="63"/>
      <c r="AN182" s="63"/>
      <c r="AO182" s="63"/>
      <c r="AP182" s="63"/>
      <c r="AQ182" s="63"/>
      <c r="AR182" s="63"/>
      <c r="AS182" s="63"/>
      <c r="AT182" s="63"/>
      <c r="AU182" s="63"/>
      <c r="AV182" s="63"/>
      <c r="AW182" s="50"/>
      <c r="AX182" s="69"/>
      <c r="AY182" s="69"/>
      <c r="AZ182" s="54"/>
      <c r="BA182" s="54"/>
      <c r="BB182" s="54"/>
      <c r="BC182" s="54"/>
      <c r="BD182" s="54"/>
      <c r="BE182" s="70"/>
      <c r="BF182" s="63"/>
      <c r="BG182" s="71">
        <v>0</v>
      </c>
      <c r="BH182" s="67"/>
      <c r="BI182" s="68"/>
      <c r="BJ182" s="72">
        <v>0</v>
      </c>
      <c r="BK182" s="62"/>
      <c r="BL182" s="70"/>
      <c r="BM182" s="70"/>
      <c r="BN182" s="70"/>
      <c r="BO182" s="70"/>
      <c r="BP182" s="73"/>
      <c r="BQ182" s="48"/>
      <c r="BR182" s="63"/>
      <c r="BS182" s="50"/>
      <c r="BT182" s="76" t="e">
        <v>#DIV/0!</v>
      </c>
      <c r="BU182" s="77" t="e">
        <v>#DIV/0!</v>
      </c>
      <c r="BV182" s="78">
        <v>0</v>
      </c>
      <c r="BW182" s="79">
        <v>0</v>
      </c>
      <c r="BX182" s="62"/>
      <c r="BY182" s="63"/>
      <c r="BZ182" s="63"/>
      <c r="CA182" s="63"/>
      <c r="CB182" s="63"/>
      <c r="CC182" s="63"/>
      <c r="CD182" s="63"/>
      <c r="CE182" s="50"/>
    </row>
    <row r="183" spans="2:83" x14ac:dyDescent="0.3">
      <c r="B183" s="46">
        <v>0</v>
      </c>
      <c r="C183" s="47"/>
      <c r="D183" s="48"/>
      <c r="E183" s="49"/>
      <c r="F183" s="50"/>
      <c r="G183" s="51" t="e">
        <v>#DIV/0!</v>
      </c>
      <c r="H183" s="52" t="e">
        <v>#DIV/0!</v>
      </c>
      <c r="I183" s="53"/>
      <c r="J183" s="54"/>
      <c r="K183" s="54"/>
      <c r="L183" s="55"/>
      <c r="M183" s="56"/>
      <c r="N183" s="57">
        <v>0</v>
      </c>
      <c r="O183" s="58"/>
      <c r="P183" s="59"/>
      <c r="Q183" s="81"/>
      <c r="R183" s="82"/>
      <c r="S183" s="48"/>
      <c r="T183" s="50"/>
      <c r="U183" s="62"/>
      <c r="V183" s="63"/>
      <c r="W183" s="50"/>
      <c r="X183" s="48"/>
      <c r="Y183" s="63"/>
      <c r="Z183" s="63"/>
      <c r="AA183" s="64"/>
      <c r="AB183" s="65"/>
      <c r="AC183" s="66"/>
      <c r="AD183" s="67"/>
      <c r="AE183" s="68"/>
      <c r="AF183" s="48"/>
      <c r="AG183" s="63"/>
      <c r="AH183" s="63"/>
      <c r="AI183" s="63"/>
      <c r="AJ183" s="63"/>
      <c r="AK183" s="63"/>
      <c r="AL183" s="63"/>
      <c r="AM183" s="63"/>
      <c r="AN183" s="63"/>
      <c r="AO183" s="63"/>
      <c r="AP183" s="63"/>
      <c r="AQ183" s="63"/>
      <c r="AR183" s="63"/>
      <c r="AS183" s="63"/>
      <c r="AT183" s="63"/>
      <c r="AU183" s="63"/>
      <c r="AV183" s="63"/>
      <c r="AW183" s="50"/>
      <c r="AX183" s="69"/>
      <c r="AY183" s="69"/>
      <c r="AZ183" s="54"/>
      <c r="BA183" s="54"/>
      <c r="BB183" s="54"/>
      <c r="BC183" s="54"/>
      <c r="BD183" s="54"/>
      <c r="BE183" s="70"/>
      <c r="BF183" s="63"/>
      <c r="BG183" s="71">
        <v>0</v>
      </c>
      <c r="BH183" s="67"/>
      <c r="BI183" s="68"/>
      <c r="BJ183" s="72">
        <v>0</v>
      </c>
      <c r="BK183" s="62"/>
      <c r="BL183" s="70"/>
      <c r="BM183" s="70"/>
      <c r="BN183" s="70"/>
      <c r="BO183" s="70"/>
      <c r="BP183" s="73"/>
      <c r="BQ183" s="48"/>
      <c r="BR183" s="63"/>
      <c r="BS183" s="50"/>
      <c r="BT183" s="76" t="e">
        <v>#DIV/0!</v>
      </c>
      <c r="BU183" s="77" t="e">
        <v>#DIV/0!</v>
      </c>
      <c r="BV183" s="78">
        <v>0</v>
      </c>
      <c r="BW183" s="79">
        <v>0</v>
      </c>
      <c r="BX183" s="62"/>
      <c r="BY183" s="63"/>
      <c r="BZ183" s="63"/>
      <c r="CA183" s="63"/>
      <c r="CB183" s="63"/>
      <c r="CC183" s="63"/>
      <c r="CD183" s="63"/>
      <c r="CE183" s="50"/>
    </row>
    <row r="184" spans="2:83" x14ac:dyDescent="0.3">
      <c r="B184" s="46">
        <v>0</v>
      </c>
      <c r="C184" s="47"/>
      <c r="D184" s="48"/>
      <c r="E184" s="49"/>
      <c r="F184" s="50"/>
      <c r="G184" s="51" t="e">
        <v>#DIV/0!</v>
      </c>
      <c r="H184" s="52" t="e">
        <v>#DIV/0!</v>
      </c>
      <c r="I184" s="53"/>
      <c r="J184" s="54"/>
      <c r="K184" s="54"/>
      <c r="L184" s="55"/>
      <c r="M184" s="56"/>
      <c r="N184" s="57">
        <v>0</v>
      </c>
      <c r="O184" s="58"/>
      <c r="P184" s="59"/>
      <c r="Q184" s="81"/>
      <c r="R184" s="82"/>
      <c r="S184" s="48"/>
      <c r="T184" s="50"/>
      <c r="U184" s="62"/>
      <c r="V184" s="63"/>
      <c r="W184" s="50"/>
      <c r="X184" s="48"/>
      <c r="Y184" s="63"/>
      <c r="Z184" s="63"/>
      <c r="AA184" s="64"/>
      <c r="AB184" s="65"/>
      <c r="AC184" s="66"/>
      <c r="AD184" s="67"/>
      <c r="AE184" s="68"/>
      <c r="AF184" s="48"/>
      <c r="AG184" s="63"/>
      <c r="AH184" s="63"/>
      <c r="AI184" s="63"/>
      <c r="AJ184" s="63"/>
      <c r="AK184" s="63"/>
      <c r="AL184" s="63"/>
      <c r="AM184" s="63"/>
      <c r="AN184" s="63"/>
      <c r="AO184" s="63"/>
      <c r="AP184" s="63"/>
      <c r="AQ184" s="63"/>
      <c r="AR184" s="63"/>
      <c r="AS184" s="63"/>
      <c r="AT184" s="63"/>
      <c r="AU184" s="63"/>
      <c r="AV184" s="63"/>
      <c r="AW184" s="50"/>
      <c r="AX184" s="69"/>
      <c r="AY184" s="69"/>
      <c r="AZ184" s="54"/>
      <c r="BA184" s="54"/>
      <c r="BB184" s="54"/>
      <c r="BC184" s="54"/>
      <c r="BD184" s="54"/>
      <c r="BE184" s="70"/>
      <c r="BF184" s="63"/>
      <c r="BG184" s="71">
        <v>0</v>
      </c>
      <c r="BH184" s="67"/>
      <c r="BI184" s="68"/>
      <c r="BJ184" s="72">
        <v>0</v>
      </c>
      <c r="BK184" s="62"/>
      <c r="BL184" s="70"/>
      <c r="BM184" s="70"/>
      <c r="BN184" s="70"/>
      <c r="BO184" s="70"/>
      <c r="BP184" s="73"/>
      <c r="BQ184" s="48"/>
      <c r="BR184" s="63"/>
      <c r="BS184" s="50"/>
      <c r="BT184" s="76" t="e">
        <v>#DIV/0!</v>
      </c>
      <c r="BU184" s="77" t="e">
        <v>#DIV/0!</v>
      </c>
      <c r="BV184" s="78">
        <v>0</v>
      </c>
      <c r="BW184" s="79">
        <v>0</v>
      </c>
      <c r="BX184" s="62"/>
      <c r="BY184" s="63"/>
      <c r="BZ184" s="63"/>
      <c r="CA184" s="63"/>
      <c r="CB184" s="63"/>
      <c r="CC184" s="63"/>
      <c r="CD184" s="63"/>
      <c r="CE184" s="50"/>
    </row>
    <row r="185" spans="2:83" x14ac:dyDescent="0.3">
      <c r="B185" s="46">
        <v>0</v>
      </c>
      <c r="C185" s="47"/>
      <c r="D185" s="48"/>
      <c r="E185" s="49"/>
      <c r="F185" s="50"/>
      <c r="G185" s="51" t="e">
        <v>#DIV/0!</v>
      </c>
      <c r="H185" s="52" t="e">
        <v>#DIV/0!</v>
      </c>
      <c r="I185" s="53"/>
      <c r="J185" s="54"/>
      <c r="K185" s="54"/>
      <c r="L185" s="55"/>
      <c r="M185" s="56"/>
      <c r="N185" s="57">
        <v>0</v>
      </c>
      <c r="O185" s="58"/>
      <c r="P185" s="59"/>
      <c r="Q185" s="81"/>
      <c r="R185" s="82"/>
      <c r="S185" s="48"/>
      <c r="T185" s="50"/>
      <c r="U185" s="62"/>
      <c r="V185" s="63"/>
      <c r="W185" s="50"/>
      <c r="X185" s="48"/>
      <c r="Y185" s="63"/>
      <c r="Z185" s="63"/>
      <c r="AA185" s="64"/>
      <c r="AB185" s="65"/>
      <c r="AC185" s="66"/>
      <c r="AD185" s="67"/>
      <c r="AE185" s="68"/>
      <c r="AF185" s="48"/>
      <c r="AG185" s="63"/>
      <c r="AH185" s="63"/>
      <c r="AI185" s="63"/>
      <c r="AJ185" s="63"/>
      <c r="AK185" s="63"/>
      <c r="AL185" s="63"/>
      <c r="AM185" s="63"/>
      <c r="AN185" s="63"/>
      <c r="AO185" s="63"/>
      <c r="AP185" s="63"/>
      <c r="AQ185" s="63"/>
      <c r="AR185" s="63"/>
      <c r="AS185" s="63"/>
      <c r="AT185" s="63"/>
      <c r="AU185" s="63"/>
      <c r="AV185" s="63"/>
      <c r="AW185" s="50"/>
      <c r="AX185" s="69"/>
      <c r="AY185" s="69"/>
      <c r="AZ185" s="54"/>
      <c r="BA185" s="54"/>
      <c r="BB185" s="54"/>
      <c r="BC185" s="54"/>
      <c r="BD185" s="54"/>
      <c r="BE185" s="70"/>
      <c r="BF185" s="63"/>
      <c r="BG185" s="71">
        <v>0</v>
      </c>
      <c r="BH185" s="67"/>
      <c r="BI185" s="68"/>
      <c r="BJ185" s="72">
        <v>0</v>
      </c>
      <c r="BK185" s="62"/>
      <c r="BL185" s="70"/>
      <c r="BM185" s="70"/>
      <c r="BN185" s="70"/>
      <c r="BO185" s="70"/>
      <c r="BP185" s="73"/>
      <c r="BQ185" s="48"/>
      <c r="BR185" s="63"/>
      <c r="BS185" s="50"/>
      <c r="BT185" s="76" t="e">
        <v>#DIV/0!</v>
      </c>
      <c r="BU185" s="77" t="e">
        <v>#DIV/0!</v>
      </c>
      <c r="BV185" s="78">
        <v>0</v>
      </c>
      <c r="BW185" s="79">
        <v>0</v>
      </c>
      <c r="BX185" s="62"/>
      <c r="BY185" s="63"/>
      <c r="BZ185" s="63"/>
      <c r="CA185" s="63"/>
      <c r="CB185" s="63"/>
      <c r="CC185" s="63"/>
      <c r="CD185" s="63"/>
      <c r="CE185" s="50"/>
    </row>
    <row r="186" spans="2:83" x14ac:dyDescent="0.3">
      <c r="B186" s="46">
        <v>0</v>
      </c>
      <c r="C186" s="47"/>
      <c r="D186" s="48"/>
      <c r="E186" s="49"/>
      <c r="F186" s="50"/>
      <c r="G186" s="51" t="e">
        <v>#DIV/0!</v>
      </c>
      <c r="H186" s="52" t="e">
        <v>#DIV/0!</v>
      </c>
      <c r="I186" s="53"/>
      <c r="J186" s="54"/>
      <c r="K186" s="54"/>
      <c r="L186" s="55"/>
      <c r="M186" s="56"/>
      <c r="N186" s="57">
        <v>0</v>
      </c>
      <c r="O186" s="58"/>
      <c r="P186" s="59"/>
      <c r="Q186" s="81"/>
      <c r="R186" s="82"/>
      <c r="S186" s="48"/>
      <c r="T186" s="50"/>
      <c r="U186" s="62"/>
      <c r="V186" s="63"/>
      <c r="W186" s="50"/>
      <c r="X186" s="48"/>
      <c r="Y186" s="63"/>
      <c r="Z186" s="63"/>
      <c r="AA186" s="64"/>
      <c r="AB186" s="65"/>
      <c r="AC186" s="66"/>
      <c r="AD186" s="67"/>
      <c r="AE186" s="68"/>
      <c r="AF186" s="48"/>
      <c r="AG186" s="63"/>
      <c r="AH186" s="63"/>
      <c r="AI186" s="63"/>
      <c r="AJ186" s="63"/>
      <c r="AK186" s="63"/>
      <c r="AL186" s="63"/>
      <c r="AM186" s="63"/>
      <c r="AN186" s="63"/>
      <c r="AO186" s="63"/>
      <c r="AP186" s="63"/>
      <c r="AQ186" s="63"/>
      <c r="AR186" s="63"/>
      <c r="AS186" s="63"/>
      <c r="AT186" s="63"/>
      <c r="AU186" s="63"/>
      <c r="AV186" s="63"/>
      <c r="AW186" s="50"/>
      <c r="AX186" s="69"/>
      <c r="AY186" s="69"/>
      <c r="AZ186" s="54"/>
      <c r="BA186" s="54"/>
      <c r="BB186" s="54"/>
      <c r="BC186" s="54"/>
      <c r="BD186" s="54"/>
      <c r="BE186" s="70"/>
      <c r="BF186" s="63"/>
      <c r="BG186" s="71">
        <v>0</v>
      </c>
      <c r="BH186" s="67"/>
      <c r="BI186" s="68"/>
      <c r="BJ186" s="72">
        <v>0</v>
      </c>
      <c r="BK186" s="62"/>
      <c r="BL186" s="70"/>
      <c r="BM186" s="70"/>
      <c r="BN186" s="70"/>
      <c r="BO186" s="70"/>
      <c r="BP186" s="73"/>
      <c r="BQ186" s="48"/>
      <c r="BR186" s="63"/>
      <c r="BS186" s="50"/>
      <c r="BT186" s="76" t="e">
        <v>#DIV/0!</v>
      </c>
      <c r="BU186" s="77" t="e">
        <v>#DIV/0!</v>
      </c>
      <c r="BV186" s="78">
        <v>0</v>
      </c>
      <c r="BW186" s="79">
        <v>0</v>
      </c>
      <c r="BX186" s="62"/>
      <c r="BY186" s="63"/>
      <c r="BZ186" s="63"/>
      <c r="CA186" s="63"/>
      <c r="CB186" s="63"/>
      <c r="CC186" s="63"/>
      <c r="CD186" s="63"/>
      <c r="CE186" s="50"/>
    </row>
    <row r="187" spans="2:83" x14ac:dyDescent="0.3">
      <c r="B187" s="46">
        <v>0</v>
      </c>
      <c r="C187" s="47"/>
      <c r="D187" s="48"/>
      <c r="E187" s="49"/>
      <c r="F187" s="50"/>
      <c r="G187" s="51" t="e">
        <v>#DIV/0!</v>
      </c>
      <c r="H187" s="52" t="e">
        <v>#DIV/0!</v>
      </c>
      <c r="I187" s="53"/>
      <c r="J187" s="54"/>
      <c r="K187" s="54"/>
      <c r="L187" s="55"/>
      <c r="M187" s="56"/>
      <c r="N187" s="57">
        <v>0</v>
      </c>
      <c r="O187" s="58"/>
      <c r="P187" s="59"/>
      <c r="Q187" s="81"/>
      <c r="R187" s="82"/>
      <c r="S187" s="48"/>
      <c r="T187" s="50"/>
      <c r="U187" s="62"/>
      <c r="V187" s="63"/>
      <c r="W187" s="50"/>
      <c r="X187" s="48"/>
      <c r="Y187" s="63"/>
      <c r="Z187" s="63"/>
      <c r="AA187" s="64"/>
      <c r="AB187" s="65"/>
      <c r="AC187" s="66"/>
      <c r="AD187" s="67"/>
      <c r="AE187" s="68"/>
      <c r="AF187" s="48"/>
      <c r="AG187" s="63"/>
      <c r="AH187" s="63"/>
      <c r="AI187" s="63"/>
      <c r="AJ187" s="63"/>
      <c r="AK187" s="63"/>
      <c r="AL187" s="63"/>
      <c r="AM187" s="63"/>
      <c r="AN187" s="63"/>
      <c r="AO187" s="63"/>
      <c r="AP187" s="63"/>
      <c r="AQ187" s="63"/>
      <c r="AR187" s="63"/>
      <c r="AS187" s="63"/>
      <c r="AT187" s="63"/>
      <c r="AU187" s="63"/>
      <c r="AV187" s="63"/>
      <c r="AW187" s="50"/>
      <c r="AX187" s="69"/>
      <c r="AY187" s="69"/>
      <c r="AZ187" s="54"/>
      <c r="BA187" s="54"/>
      <c r="BB187" s="54"/>
      <c r="BC187" s="54"/>
      <c r="BD187" s="54"/>
      <c r="BE187" s="70"/>
      <c r="BF187" s="63"/>
      <c r="BG187" s="71">
        <v>0</v>
      </c>
      <c r="BH187" s="67"/>
      <c r="BI187" s="68"/>
      <c r="BJ187" s="72">
        <v>0</v>
      </c>
      <c r="BK187" s="62"/>
      <c r="BL187" s="70"/>
      <c r="BM187" s="70"/>
      <c r="BN187" s="70"/>
      <c r="BO187" s="70"/>
      <c r="BP187" s="73"/>
      <c r="BQ187" s="48"/>
      <c r="BR187" s="63"/>
      <c r="BS187" s="50"/>
      <c r="BT187" s="76" t="e">
        <v>#DIV/0!</v>
      </c>
      <c r="BU187" s="77" t="e">
        <v>#DIV/0!</v>
      </c>
      <c r="BV187" s="78">
        <v>0</v>
      </c>
      <c r="BW187" s="79">
        <v>0</v>
      </c>
      <c r="BX187" s="62"/>
      <c r="BY187" s="63"/>
      <c r="BZ187" s="63"/>
      <c r="CA187" s="63"/>
      <c r="CB187" s="63"/>
      <c r="CC187" s="63"/>
      <c r="CD187" s="63"/>
      <c r="CE187" s="50"/>
    </row>
    <row r="188" spans="2:83" x14ac:dyDescent="0.3">
      <c r="B188" s="46">
        <v>0</v>
      </c>
      <c r="C188" s="47"/>
      <c r="D188" s="48"/>
      <c r="E188" s="49"/>
      <c r="F188" s="50"/>
      <c r="G188" s="51" t="e">
        <v>#DIV/0!</v>
      </c>
      <c r="H188" s="52" t="e">
        <v>#DIV/0!</v>
      </c>
      <c r="I188" s="53"/>
      <c r="J188" s="54"/>
      <c r="K188" s="54"/>
      <c r="L188" s="55"/>
      <c r="M188" s="56"/>
      <c r="N188" s="57">
        <v>0</v>
      </c>
      <c r="O188" s="58"/>
      <c r="P188" s="59"/>
      <c r="Q188" s="81"/>
      <c r="R188" s="82"/>
      <c r="S188" s="48"/>
      <c r="T188" s="50"/>
      <c r="U188" s="62"/>
      <c r="V188" s="63"/>
      <c r="W188" s="50"/>
      <c r="X188" s="48"/>
      <c r="Y188" s="63"/>
      <c r="Z188" s="63"/>
      <c r="AA188" s="64"/>
      <c r="AB188" s="65"/>
      <c r="AC188" s="66"/>
      <c r="AD188" s="67"/>
      <c r="AE188" s="68"/>
      <c r="AF188" s="48"/>
      <c r="AG188" s="63"/>
      <c r="AH188" s="63"/>
      <c r="AI188" s="63"/>
      <c r="AJ188" s="63"/>
      <c r="AK188" s="63"/>
      <c r="AL188" s="63"/>
      <c r="AM188" s="63"/>
      <c r="AN188" s="63"/>
      <c r="AO188" s="63"/>
      <c r="AP188" s="63"/>
      <c r="AQ188" s="63"/>
      <c r="AR188" s="63"/>
      <c r="AS188" s="63"/>
      <c r="AT188" s="63"/>
      <c r="AU188" s="63"/>
      <c r="AV188" s="63"/>
      <c r="AW188" s="50"/>
      <c r="AX188" s="69"/>
      <c r="AY188" s="69"/>
      <c r="AZ188" s="54"/>
      <c r="BA188" s="54"/>
      <c r="BB188" s="54"/>
      <c r="BC188" s="54"/>
      <c r="BD188" s="54"/>
      <c r="BE188" s="70"/>
      <c r="BF188" s="63"/>
      <c r="BG188" s="71">
        <v>0</v>
      </c>
      <c r="BH188" s="67"/>
      <c r="BI188" s="68"/>
      <c r="BJ188" s="72">
        <v>0</v>
      </c>
      <c r="BK188" s="62"/>
      <c r="BL188" s="70"/>
      <c r="BM188" s="70"/>
      <c r="BN188" s="70"/>
      <c r="BO188" s="70"/>
      <c r="BP188" s="73"/>
      <c r="BQ188" s="48"/>
      <c r="BR188" s="63"/>
      <c r="BS188" s="50"/>
      <c r="BT188" s="76" t="e">
        <v>#DIV/0!</v>
      </c>
      <c r="BU188" s="77" t="e">
        <v>#DIV/0!</v>
      </c>
      <c r="BV188" s="78">
        <v>0</v>
      </c>
      <c r="BW188" s="79">
        <v>0</v>
      </c>
      <c r="BX188" s="62"/>
      <c r="BY188" s="63"/>
      <c r="BZ188" s="63"/>
      <c r="CA188" s="63"/>
      <c r="CB188" s="63"/>
      <c r="CC188" s="63"/>
      <c r="CD188" s="63"/>
      <c r="CE188" s="50"/>
    </row>
    <row r="189" spans="2:83" x14ac:dyDescent="0.3">
      <c r="B189" s="46">
        <v>0</v>
      </c>
      <c r="C189" s="47"/>
      <c r="D189" s="48"/>
      <c r="E189" s="49"/>
      <c r="F189" s="50"/>
      <c r="G189" s="51" t="e">
        <v>#DIV/0!</v>
      </c>
      <c r="H189" s="52" t="e">
        <v>#DIV/0!</v>
      </c>
      <c r="I189" s="53"/>
      <c r="J189" s="54"/>
      <c r="K189" s="54"/>
      <c r="L189" s="55"/>
      <c r="M189" s="56"/>
      <c r="N189" s="57">
        <v>0</v>
      </c>
      <c r="O189" s="58"/>
      <c r="P189" s="59"/>
      <c r="Q189" s="81"/>
      <c r="R189" s="82"/>
      <c r="S189" s="48"/>
      <c r="T189" s="50"/>
      <c r="U189" s="62"/>
      <c r="V189" s="63"/>
      <c r="W189" s="50"/>
      <c r="X189" s="48"/>
      <c r="Y189" s="63"/>
      <c r="Z189" s="63"/>
      <c r="AA189" s="64"/>
      <c r="AB189" s="65"/>
      <c r="AC189" s="66"/>
      <c r="AD189" s="67"/>
      <c r="AE189" s="68"/>
      <c r="AF189" s="48"/>
      <c r="AG189" s="63"/>
      <c r="AH189" s="63"/>
      <c r="AI189" s="63"/>
      <c r="AJ189" s="63"/>
      <c r="AK189" s="63"/>
      <c r="AL189" s="63"/>
      <c r="AM189" s="63"/>
      <c r="AN189" s="63"/>
      <c r="AO189" s="63"/>
      <c r="AP189" s="63"/>
      <c r="AQ189" s="63"/>
      <c r="AR189" s="63"/>
      <c r="AS189" s="63"/>
      <c r="AT189" s="63"/>
      <c r="AU189" s="63"/>
      <c r="AV189" s="63"/>
      <c r="AW189" s="50"/>
      <c r="AX189" s="69"/>
      <c r="AY189" s="69"/>
      <c r="AZ189" s="54"/>
      <c r="BA189" s="54"/>
      <c r="BB189" s="54"/>
      <c r="BC189" s="54"/>
      <c r="BD189" s="54"/>
      <c r="BE189" s="70"/>
      <c r="BF189" s="63"/>
      <c r="BG189" s="71">
        <v>0</v>
      </c>
      <c r="BH189" s="67"/>
      <c r="BI189" s="68"/>
      <c r="BJ189" s="72">
        <v>0</v>
      </c>
      <c r="BK189" s="62"/>
      <c r="BL189" s="70"/>
      <c r="BM189" s="70"/>
      <c r="BN189" s="70"/>
      <c r="BO189" s="70"/>
      <c r="BP189" s="73"/>
      <c r="BQ189" s="48"/>
      <c r="BR189" s="63"/>
      <c r="BS189" s="50"/>
      <c r="BT189" s="76" t="e">
        <v>#DIV/0!</v>
      </c>
      <c r="BU189" s="77" t="e">
        <v>#DIV/0!</v>
      </c>
      <c r="BV189" s="78">
        <v>0</v>
      </c>
      <c r="BW189" s="79">
        <v>0</v>
      </c>
      <c r="BX189" s="62"/>
      <c r="BY189" s="63"/>
      <c r="BZ189" s="63"/>
      <c r="CA189" s="63"/>
      <c r="CB189" s="63"/>
      <c r="CC189" s="63"/>
      <c r="CD189" s="63"/>
      <c r="CE189" s="50"/>
    </row>
    <row r="190" spans="2:83" x14ac:dyDescent="0.3">
      <c r="B190" s="46">
        <v>0</v>
      </c>
      <c r="C190" s="47"/>
      <c r="D190" s="48"/>
      <c r="E190" s="49"/>
      <c r="F190" s="50"/>
      <c r="G190" s="51" t="e">
        <v>#DIV/0!</v>
      </c>
      <c r="H190" s="52" t="e">
        <v>#DIV/0!</v>
      </c>
      <c r="I190" s="53"/>
      <c r="J190" s="54"/>
      <c r="K190" s="54"/>
      <c r="L190" s="55"/>
      <c r="M190" s="56"/>
      <c r="N190" s="57">
        <v>0</v>
      </c>
      <c r="O190" s="58"/>
      <c r="P190" s="59"/>
      <c r="Q190" s="81"/>
      <c r="R190" s="82"/>
      <c r="S190" s="48"/>
      <c r="T190" s="50"/>
      <c r="U190" s="62"/>
      <c r="V190" s="63"/>
      <c r="W190" s="50"/>
      <c r="X190" s="48"/>
      <c r="Y190" s="63"/>
      <c r="Z190" s="63"/>
      <c r="AA190" s="64"/>
      <c r="AB190" s="65"/>
      <c r="AC190" s="66"/>
      <c r="AD190" s="67"/>
      <c r="AE190" s="68"/>
      <c r="AF190" s="48"/>
      <c r="AG190" s="63"/>
      <c r="AH190" s="63"/>
      <c r="AI190" s="63"/>
      <c r="AJ190" s="63"/>
      <c r="AK190" s="63"/>
      <c r="AL190" s="63"/>
      <c r="AM190" s="63"/>
      <c r="AN190" s="63"/>
      <c r="AO190" s="63"/>
      <c r="AP190" s="63"/>
      <c r="AQ190" s="63"/>
      <c r="AR190" s="63"/>
      <c r="AS190" s="63"/>
      <c r="AT190" s="63"/>
      <c r="AU190" s="63"/>
      <c r="AV190" s="63"/>
      <c r="AW190" s="50"/>
      <c r="AX190" s="69"/>
      <c r="AY190" s="69"/>
      <c r="AZ190" s="54"/>
      <c r="BA190" s="54"/>
      <c r="BB190" s="54"/>
      <c r="BC190" s="54"/>
      <c r="BD190" s="54"/>
      <c r="BE190" s="70"/>
      <c r="BF190" s="63"/>
      <c r="BG190" s="71">
        <v>0</v>
      </c>
      <c r="BH190" s="67"/>
      <c r="BI190" s="68"/>
      <c r="BJ190" s="72">
        <v>0</v>
      </c>
      <c r="BK190" s="62"/>
      <c r="BL190" s="70"/>
      <c r="BM190" s="70"/>
      <c r="BN190" s="70"/>
      <c r="BO190" s="70"/>
      <c r="BP190" s="73"/>
      <c r="BQ190" s="48"/>
      <c r="BR190" s="63"/>
      <c r="BS190" s="50"/>
      <c r="BT190" s="76" t="e">
        <v>#DIV/0!</v>
      </c>
      <c r="BU190" s="77" t="e">
        <v>#DIV/0!</v>
      </c>
      <c r="BV190" s="78">
        <v>0</v>
      </c>
      <c r="BW190" s="79">
        <v>0</v>
      </c>
      <c r="BX190" s="62"/>
      <c r="BY190" s="63"/>
      <c r="BZ190" s="63"/>
      <c r="CA190" s="63"/>
      <c r="CB190" s="63"/>
      <c r="CC190" s="63"/>
      <c r="CD190" s="63"/>
      <c r="CE190" s="50"/>
    </row>
    <row r="191" spans="2:83" x14ac:dyDescent="0.3">
      <c r="B191" s="46">
        <v>0</v>
      </c>
      <c r="C191" s="47"/>
      <c r="D191" s="48"/>
      <c r="E191" s="49"/>
      <c r="F191" s="50"/>
      <c r="G191" s="51" t="e">
        <v>#DIV/0!</v>
      </c>
      <c r="H191" s="52" t="e">
        <v>#DIV/0!</v>
      </c>
      <c r="I191" s="53"/>
      <c r="J191" s="54"/>
      <c r="K191" s="54"/>
      <c r="L191" s="55"/>
      <c r="M191" s="56"/>
      <c r="N191" s="57">
        <v>0</v>
      </c>
      <c r="O191" s="58"/>
      <c r="P191" s="59"/>
      <c r="Q191" s="81"/>
      <c r="R191" s="82"/>
      <c r="S191" s="48"/>
      <c r="T191" s="50"/>
      <c r="U191" s="62"/>
      <c r="V191" s="63"/>
      <c r="W191" s="50"/>
      <c r="X191" s="48"/>
      <c r="Y191" s="63"/>
      <c r="Z191" s="63"/>
      <c r="AA191" s="64"/>
      <c r="AB191" s="65"/>
      <c r="AC191" s="66"/>
      <c r="AD191" s="67"/>
      <c r="AE191" s="68"/>
      <c r="AF191" s="48"/>
      <c r="AG191" s="63"/>
      <c r="AH191" s="63"/>
      <c r="AI191" s="63"/>
      <c r="AJ191" s="63"/>
      <c r="AK191" s="63"/>
      <c r="AL191" s="63"/>
      <c r="AM191" s="63"/>
      <c r="AN191" s="63"/>
      <c r="AO191" s="63"/>
      <c r="AP191" s="63"/>
      <c r="AQ191" s="63"/>
      <c r="AR191" s="63"/>
      <c r="AS191" s="63"/>
      <c r="AT191" s="63"/>
      <c r="AU191" s="63"/>
      <c r="AV191" s="63"/>
      <c r="AW191" s="50"/>
      <c r="AX191" s="69"/>
      <c r="AY191" s="69"/>
      <c r="AZ191" s="54"/>
      <c r="BA191" s="54"/>
      <c r="BB191" s="54"/>
      <c r="BC191" s="54"/>
      <c r="BD191" s="54"/>
      <c r="BE191" s="70"/>
      <c r="BF191" s="63"/>
      <c r="BG191" s="71">
        <v>0</v>
      </c>
      <c r="BH191" s="67"/>
      <c r="BI191" s="68"/>
      <c r="BJ191" s="72">
        <v>0</v>
      </c>
      <c r="BK191" s="62"/>
      <c r="BL191" s="70"/>
      <c r="BM191" s="70"/>
      <c r="BN191" s="70"/>
      <c r="BO191" s="70"/>
      <c r="BP191" s="73"/>
      <c r="BQ191" s="48"/>
      <c r="BR191" s="63"/>
      <c r="BS191" s="50"/>
      <c r="BT191" s="76" t="e">
        <v>#DIV/0!</v>
      </c>
      <c r="BU191" s="77" t="e">
        <v>#DIV/0!</v>
      </c>
      <c r="BV191" s="78">
        <v>0</v>
      </c>
      <c r="BW191" s="79">
        <v>0</v>
      </c>
      <c r="BX191" s="62"/>
      <c r="BY191" s="63"/>
      <c r="BZ191" s="63"/>
      <c r="CA191" s="63"/>
      <c r="CB191" s="63"/>
      <c r="CC191" s="63"/>
      <c r="CD191" s="63"/>
      <c r="CE191" s="50"/>
    </row>
    <row r="192" spans="2:83" x14ac:dyDescent="0.3">
      <c r="B192" s="46">
        <v>0</v>
      </c>
      <c r="C192" s="47"/>
      <c r="D192" s="48"/>
      <c r="E192" s="49"/>
      <c r="F192" s="50"/>
      <c r="G192" s="51" t="e">
        <v>#DIV/0!</v>
      </c>
      <c r="H192" s="52" t="e">
        <v>#DIV/0!</v>
      </c>
      <c r="I192" s="53"/>
      <c r="J192" s="54"/>
      <c r="K192" s="54"/>
      <c r="L192" s="55"/>
      <c r="M192" s="56"/>
      <c r="N192" s="57">
        <v>0</v>
      </c>
      <c r="O192" s="58"/>
      <c r="P192" s="59"/>
      <c r="Q192" s="81"/>
      <c r="R192" s="82"/>
      <c r="S192" s="48"/>
      <c r="T192" s="50"/>
      <c r="U192" s="62"/>
      <c r="V192" s="63"/>
      <c r="W192" s="50"/>
      <c r="X192" s="48"/>
      <c r="Y192" s="63"/>
      <c r="Z192" s="63"/>
      <c r="AA192" s="64"/>
      <c r="AB192" s="65"/>
      <c r="AC192" s="66"/>
      <c r="AD192" s="67"/>
      <c r="AE192" s="68"/>
      <c r="AF192" s="48"/>
      <c r="AG192" s="63"/>
      <c r="AH192" s="63"/>
      <c r="AI192" s="63"/>
      <c r="AJ192" s="63"/>
      <c r="AK192" s="63"/>
      <c r="AL192" s="63"/>
      <c r="AM192" s="63"/>
      <c r="AN192" s="63"/>
      <c r="AO192" s="63"/>
      <c r="AP192" s="63"/>
      <c r="AQ192" s="63"/>
      <c r="AR192" s="63"/>
      <c r="AS192" s="63"/>
      <c r="AT192" s="63"/>
      <c r="AU192" s="63"/>
      <c r="AV192" s="63"/>
      <c r="AW192" s="50"/>
      <c r="AX192" s="69"/>
      <c r="AY192" s="69"/>
      <c r="AZ192" s="54"/>
      <c r="BA192" s="54"/>
      <c r="BB192" s="54"/>
      <c r="BC192" s="54"/>
      <c r="BD192" s="54"/>
      <c r="BE192" s="70"/>
      <c r="BF192" s="63"/>
      <c r="BG192" s="71">
        <v>0</v>
      </c>
      <c r="BH192" s="67"/>
      <c r="BI192" s="68"/>
      <c r="BJ192" s="72">
        <v>0</v>
      </c>
      <c r="BK192" s="62"/>
      <c r="BL192" s="70"/>
      <c r="BM192" s="70"/>
      <c r="BN192" s="70"/>
      <c r="BO192" s="70"/>
      <c r="BP192" s="73"/>
      <c r="BQ192" s="48"/>
      <c r="BR192" s="63"/>
      <c r="BS192" s="50"/>
      <c r="BT192" s="76" t="e">
        <v>#DIV/0!</v>
      </c>
      <c r="BU192" s="77" t="e">
        <v>#DIV/0!</v>
      </c>
      <c r="BV192" s="78">
        <v>0</v>
      </c>
      <c r="BW192" s="79">
        <v>0</v>
      </c>
      <c r="BX192" s="62"/>
      <c r="BY192" s="63"/>
      <c r="BZ192" s="63"/>
      <c r="CA192" s="63"/>
      <c r="CB192" s="63"/>
      <c r="CC192" s="63"/>
      <c r="CD192" s="63"/>
      <c r="CE192" s="50"/>
    </row>
    <row r="193" spans="2:83" x14ac:dyDescent="0.3">
      <c r="B193" s="46">
        <v>0</v>
      </c>
      <c r="C193" s="47"/>
      <c r="D193" s="48"/>
      <c r="E193" s="49"/>
      <c r="F193" s="50"/>
      <c r="G193" s="51" t="e">
        <v>#DIV/0!</v>
      </c>
      <c r="H193" s="52" t="e">
        <v>#DIV/0!</v>
      </c>
      <c r="I193" s="53"/>
      <c r="J193" s="54"/>
      <c r="K193" s="54"/>
      <c r="L193" s="55"/>
      <c r="M193" s="56"/>
      <c r="N193" s="57">
        <v>0</v>
      </c>
      <c r="O193" s="58"/>
      <c r="P193" s="59"/>
      <c r="Q193" s="81"/>
      <c r="R193" s="82"/>
      <c r="S193" s="48"/>
      <c r="T193" s="50"/>
      <c r="U193" s="62"/>
      <c r="V193" s="63"/>
      <c r="W193" s="50"/>
      <c r="X193" s="48"/>
      <c r="Y193" s="63"/>
      <c r="Z193" s="63"/>
      <c r="AA193" s="64"/>
      <c r="AB193" s="65"/>
      <c r="AC193" s="66"/>
      <c r="AD193" s="67"/>
      <c r="AE193" s="68"/>
      <c r="AF193" s="48"/>
      <c r="AG193" s="63"/>
      <c r="AH193" s="63"/>
      <c r="AI193" s="63"/>
      <c r="AJ193" s="63"/>
      <c r="AK193" s="63"/>
      <c r="AL193" s="63"/>
      <c r="AM193" s="63"/>
      <c r="AN193" s="63"/>
      <c r="AO193" s="63"/>
      <c r="AP193" s="63"/>
      <c r="AQ193" s="63"/>
      <c r="AR193" s="63"/>
      <c r="AS193" s="63"/>
      <c r="AT193" s="63"/>
      <c r="AU193" s="63"/>
      <c r="AV193" s="63"/>
      <c r="AW193" s="50"/>
      <c r="AX193" s="69"/>
      <c r="AY193" s="69"/>
      <c r="AZ193" s="54"/>
      <c r="BA193" s="54"/>
      <c r="BB193" s="54"/>
      <c r="BC193" s="54"/>
      <c r="BD193" s="54"/>
      <c r="BE193" s="70"/>
      <c r="BF193" s="63"/>
      <c r="BG193" s="71">
        <v>0</v>
      </c>
      <c r="BH193" s="67"/>
      <c r="BI193" s="68"/>
      <c r="BJ193" s="72">
        <v>0</v>
      </c>
      <c r="BK193" s="62"/>
      <c r="BL193" s="70"/>
      <c r="BM193" s="70"/>
      <c r="BN193" s="70"/>
      <c r="BO193" s="70"/>
      <c r="BP193" s="73"/>
      <c r="BQ193" s="48"/>
      <c r="BR193" s="63"/>
      <c r="BS193" s="50"/>
      <c r="BT193" s="76" t="e">
        <v>#DIV/0!</v>
      </c>
      <c r="BU193" s="77" t="e">
        <v>#DIV/0!</v>
      </c>
      <c r="BV193" s="78">
        <v>0</v>
      </c>
      <c r="BW193" s="79">
        <v>0</v>
      </c>
      <c r="BX193" s="62"/>
      <c r="BY193" s="63"/>
      <c r="BZ193" s="63"/>
      <c r="CA193" s="63"/>
      <c r="CB193" s="63"/>
      <c r="CC193" s="63"/>
      <c r="CD193" s="63"/>
      <c r="CE193" s="50"/>
    </row>
    <row r="194" spans="2:83" x14ac:dyDescent="0.3">
      <c r="B194" s="46">
        <v>0</v>
      </c>
      <c r="C194" s="47"/>
      <c r="D194" s="48"/>
      <c r="E194" s="49"/>
      <c r="F194" s="50"/>
      <c r="G194" s="51" t="e">
        <v>#DIV/0!</v>
      </c>
      <c r="H194" s="52" t="e">
        <v>#DIV/0!</v>
      </c>
      <c r="I194" s="53"/>
      <c r="J194" s="54"/>
      <c r="K194" s="54"/>
      <c r="L194" s="55"/>
      <c r="M194" s="56"/>
      <c r="N194" s="57">
        <v>0</v>
      </c>
      <c r="O194" s="58"/>
      <c r="P194" s="59"/>
      <c r="Q194" s="81"/>
      <c r="R194" s="82"/>
      <c r="S194" s="48"/>
      <c r="T194" s="50"/>
      <c r="U194" s="62"/>
      <c r="V194" s="63"/>
      <c r="W194" s="50"/>
      <c r="X194" s="48"/>
      <c r="Y194" s="63"/>
      <c r="Z194" s="63"/>
      <c r="AA194" s="64"/>
      <c r="AB194" s="65"/>
      <c r="AC194" s="66"/>
      <c r="AD194" s="67"/>
      <c r="AE194" s="68"/>
      <c r="AF194" s="48"/>
      <c r="AG194" s="63"/>
      <c r="AH194" s="63"/>
      <c r="AI194" s="63"/>
      <c r="AJ194" s="63"/>
      <c r="AK194" s="63"/>
      <c r="AL194" s="63"/>
      <c r="AM194" s="63"/>
      <c r="AN194" s="63"/>
      <c r="AO194" s="63"/>
      <c r="AP194" s="63"/>
      <c r="AQ194" s="63"/>
      <c r="AR194" s="63"/>
      <c r="AS194" s="63"/>
      <c r="AT194" s="63"/>
      <c r="AU194" s="63"/>
      <c r="AV194" s="63"/>
      <c r="AW194" s="50"/>
      <c r="AX194" s="69"/>
      <c r="AY194" s="69"/>
      <c r="AZ194" s="54"/>
      <c r="BA194" s="54"/>
      <c r="BB194" s="54"/>
      <c r="BC194" s="54"/>
      <c r="BD194" s="54"/>
      <c r="BE194" s="70"/>
      <c r="BF194" s="63"/>
      <c r="BG194" s="71">
        <v>0</v>
      </c>
      <c r="BH194" s="67"/>
      <c r="BI194" s="68"/>
      <c r="BJ194" s="72">
        <v>0</v>
      </c>
      <c r="BK194" s="62"/>
      <c r="BL194" s="70"/>
      <c r="BM194" s="70"/>
      <c r="BN194" s="70"/>
      <c r="BO194" s="70"/>
      <c r="BP194" s="73"/>
      <c r="BQ194" s="48"/>
      <c r="BR194" s="63"/>
      <c r="BS194" s="50"/>
      <c r="BT194" s="76" t="e">
        <v>#DIV/0!</v>
      </c>
      <c r="BU194" s="77" t="e">
        <v>#DIV/0!</v>
      </c>
      <c r="BV194" s="78">
        <v>0</v>
      </c>
      <c r="BW194" s="79">
        <v>0</v>
      </c>
      <c r="BX194" s="62"/>
      <c r="BY194" s="63"/>
      <c r="BZ194" s="63"/>
      <c r="CA194" s="63"/>
      <c r="CB194" s="63"/>
      <c r="CC194" s="63"/>
      <c r="CD194" s="63"/>
      <c r="CE194" s="50"/>
    </row>
    <row r="195" spans="2:83" x14ac:dyDescent="0.3">
      <c r="B195" s="46">
        <v>0</v>
      </c>
      <c r="C195" s="47"/>
      <c r="D195" s="48"/>
      <c r="E195" s="49"/>
      <c r="F195" s="50"/>
      <c r="G195" s="51" t="e">
        <v>#DIV/0!</v>
      </c>
      <c r="H195" s="52" t="e">
        <v>#DIV/0!</v>
      </c>
      <c r="I195" s="53"/>
      <c r="J195" s="54"/>
      <c r="K195" s="54"/>
      <c r="L195" s="55"/>
      <c r="M195" s="56"/>
      <c r="N195" s="57">
        <v>0</v>
      </c>
      <c r="O195" s="58"/>
      <c r="P195" s="59"/>
      <c r="Q195" s="81"/>
      <c r="R195" s="82"/>
      <c r="S195" s="48"/>
      <c r="T195" s="50"/>
      <c r="U195" s="62"/>
      <c r="V195" s="63"/>
      <c r="W195" s="50"/>
      <c r="X195" s="48"/>
      <c r="Y195" s="63"/>
      <c r="Z195" s="63"/>
      <c r="AA195" s="64"/>
      <c r="AB195" s="65"/>
      <c r="AC195" s="66"/>
      <c r="AD195" s="67"/>
      <c r="AE195" s="68"/>
      <c r="AF195" s="48"/>
      <c r="AG195" s="63"/>
      <c r="AH195" s="63"/>
      <c r="AI195" s="63"/>
      <c r="AJ195" s="63"/>
      <c r="AK195" s="63"/>
      <c r="AL195" s="63"/>
      <c r="AM195" s="63"/>
      <c r="AN195" s="63"/>
      <c r="AO195" s="63"/>
      <c r="AP195" s="63"/>
      <c r="AQ195" s="63"/>
      <c r="AR195" s="63"/>
      <c r="AS195" s="63"/>
      <c r="AT195" s="63"/>
      <c r="AU195" s="63"/>
      <c r="AV195" s="63"/>
      <c r="AW195" s="50"/>
      <c r="AX195" s="69"/>
      <c r="AY195" s="69"/>
      <c r="AZ195" s="54"/>
      <c r="BA195" s="54"/>
      <c r="BB195" s="54"/>
      <c r="BC195" s="54"/>
      <c r="BD195" s="54"/>
      <c r="BE195" s="70"/>
      <c r="BF195" s="63"/>
      <c r="BG195" s="71">
        <v>0</v>
      </c>
      <c r="BH195" s="67"/>
      <c r="BI195" s="68"/>
      <c r="BJ195" s="72">
        <v>0</v>
      </c>
      <c r="BK195" s="62"/>
      <c r="BL195" s="70"/>
      <c r="BM195" s="70"/>
      <c r="BN195" s="70"/>
      <c r="BO195" s="70"/>
      <c r="BP195" s="73"/>
      <c r="BQ195" s="48"/>
      <c r="BR195" s="63"/>
      <c r="BS195" s="50"/>
      <c r="BT195" s="76" t="e">
        <v>#DIV/0!</v>
      </c>
      <c r="BU195" s="77" t="e">
        <v>#DIV/0!</v>
      </c>
      <c r="BV195" s="78">
        <v>0</v>
      </c>
      <c r="BW195" s="79">
        <v>0</v>
      </c>
      <c r="BX195" s="62"/>
      <c r="BY195" s="63"/>
      <c r="BZ195" s="63"/>
      <c r="CA195" s="63"/>
      <c r="CB195" s="63"/>
      <c r="CC195" s="63"/>
      <c r="CD195" s="63"/>
      <c r="CE195" s="50"/>
    </row>
    <row r="196" spans="2:83" x14ac:dyDescent="0.3">
      <c r="B196" s="46">
        <v>0</v>
      </c>
      <c r="C196" s="47"/>
      <c r="D196" s="48"/>
      <c r="E196" s="49"/>
      <c r="F196" s="50"/>
      <c r="G196" s="51" t="e">
        <v>#DIV/0!</v>
      </c>
      <c r="H196" s="52" t="e">
        <v>#DIV/0!</v>
      </c>
      <c r="I196" s="53"/>
      <c r="J196" s="54"/>
      <c r="K196" s="54"/>
      <c r="L196" s="55"/>
      <c r="M196" s="56"/>
      <c r="N196" s="57">
        <v>0</v>
      </c>
      <c r="O196" s="58"/>
      <c r="P196" s="59"/>
      <c r="Q196" s="81"/>
      <c r="R196" s="82"/>
      <c r="S196" s="48"/>
      <c r="T196" s="50"/>
      <c r="U196" s="62"/>
      <c r="V196" s="63"/>
      <c r="W196" s="50"/>
      <c r="X196" s="48"/>
      <c r="Y196" s="63"/>
      <c r="Z196" s="63"/>
      <c r="AA196" s="64"/>
      <c r="AB196" s="65"/>
      <c r="AC196" s="66"/>
      <c r="AD196" s="67"/>
      <c r="AE196" s="68"/>
      <c r="AF196" s="48"/>
      <c r="AG196" s="63"/>
      <c r="AH196" s="63"/>
      <c r="AI196" s="63"/>
      <c r="AJ196" s="63"/>
      <c r="AK196" s="63"/>
      <c r="AL196" s="63"/>
      <c r="AM196" s="63"/>
      <c r="AN196" s="63"/>
      <c r="AO196" s="63"/>
      <c r="AP196" s="63"/>
      <c r="AQ196" s="63"/>
      <c r="AR196" s="63"/>
      <c r="AS196" s="63"/>
      <c r="AT196" s="63"/>
      <c r="AU196" s="63"/>
      <c r="AV196" s="63"/>
      <c r="AW196" s="50"/>
      <c r="AX196" s="69"/>
      <c r="AY196" s="69"/>
      <c r="AZ196" s="54"/>
      <c r="BA196" s="54"/>
      <c r="BB196" s="54"/>
      <c r="BC196" s="54"/>
      <c r="BD196" s="54"/>
      <c r="BE196" s="70"/>
      <c r="BF196" s="63"/>
      <c r="BG196" s="71">
        <v>0</v>
      </c>
      <c r="BH196" s="67"/>
      <c r="BI196" s="68"/>
      <c r="BJ196" s="72">
        <v>0</v>
      </c>
      <c r="BK196" s="62"/>
      <c r="BL196" s="70"/>
      <c r="BM196" s="70"/>
      <c r="BN196" s="70"/>
      <c r="BO196" s="70"/>
      <c r="BP196" s="73"/>
      <c r="BQ196" s="48"/>
      <c r="BR196" s="63"/>
      <c r="BS196" s="50"/>
      <c r="BT196" s="76" t="e">
        <v>#DIV/0!</v>
      </c>
      <c r="BU196" s="77" t="e">
        <v>#DIV/0!</v>
      </c>
      <c r="BV196" s="78">
        <v>0</v>
      </c>
      <c r="BW196" s="79">
        <v>0</v>
      </c>
      <c r="BX196" s="62"/>
      <c r="BY196" s="63"/>
      <c r="BZ196" s="63"/>
      <c r="CA196" s="63"/>
      <c r="CB196" s="63"/>
      <c r="CC196" s="63"/>
      <c r="CD196" s="63"/>
      <c r="CE196" s="50"/>
    </row>
    <row r="197" spans="2:83" x14ac:dyDescent="0.3">
      <c r="B197" s="46">
        <v>0</v>
      </c>
      <c r="C197" s="47"/>
      <c r="D197" s="48"/>
      <c r="E197" s="49"/>
      <c r="F197" s="50"/>
      <c r="G197" s="51" t="e">
        <v>#DIV/0!</v>
      </c>
      <c r="H197" s="52" t="e">
        <v>#DIV/0!</v>
      </c>
      <c r="I197" s="53"/>
      <c r="J197" s="54"/>
      <c r="K197" s="54"/>
      <c r="L197" s="55"/>
      <c r="M197" s="56"/>
      <c r="N197" s="57">
        <v>0</v>
      </c>
      <c r="O197" s="58"/>
      <c r="P197" s="59"/>
      <c r="Q197" s="81"/>
      <c r="R197" s="82"/>
      <c r="S197" s="48"/>
      <c r="T197" s="50"/>
      <c r="U197" s="62"/>
      <c r="V197" s="63"/>
      <c r="W197" s="50"/>
      <c r="X197" s="48"/>
      <c r="Y197" s="63"/>
      <c r="Z197" s="63"/>
      <c r="AA197" s="64"/>
      <c r="AB197" s="65"/>
      <c r="AC197" s="66"/>
      <c r="AD197" s="67"/>
      <c r="AE197" s="68"/>
      <c r="AF197" s="48"/>
      <c r="AG197" s="63"/>
      <c r="AH197" s="63"/>
      <c r="AI197" s="63"/>
      <c r="AJ197" s="63"/>
      <c r="AK197" s="63"/>
      <c r="AL197" s="63"/>
      <c r="AM197" s="63"/>
      <c r="AN197" s="63"/>
      <c r="AO197" s="63"/>
      <c r="AP197" s="63"/>
      <c r="AQ197" s="63"/>
      <c r="AR197" s="63"/>
      <c r="AS197" s="63"/>
      <c r="AT197" s="63"/>
      <c r="AU197" s="63"/>
      <c r="AV197" s="63"/>
      <c r="AW197" s="50"/>
      <c r="AX197" s="69"/>
      <c r="AY197" s="69"/>
      <c r="AZ197" s="54"/>
      <c r="BA197" s="54"/>
      <c r="BB197" s="54"/>
      <c r="BC197" s="54"/>
      <c r="BD197" s="54"/>
      <c r="BE197" s="70"/>
      <c r="BF197" s="63"/>
      <c r="BG197" s="71">
        <v>0</v>
      </c>
      <c r="BH197" s="67"/>
      <c r="BI197" s="68"/>
      <c r="BJ197" s="72">
        <v>0</v>
      </c>
      <c r="BK197" s="62"/>
      <c r="BL197" s="70"/>
      <c r="BM197" s="70"/>
      <c r="BN197" s="70"/>
      <c r="BO197" s="70"/>
      <c r="BP197" s="73"/>
      <c r="BQ197" s="48"/>
      <c r="BR197" s="63"/>
      <c r="BS197" s="50"/>
      <c r="BT197" s="76" t="e">
        <v>#DIV/0!</v>
      </c>
      <c r="BU197" s="77" t="e">
        <v>#DIV/0!</v>
      </c>
      <c r="BV197" s="78">
        <v>0</v>
      </c>
      <c r="BW197" s="79">
        <v>0</v>
      </c>
      <c r="BX197" s="62"/>
      <c r="BY197" s="63"/>
      <c r="BZ197" s="63"/>
      <c r="CA197" s="63"/>
      <c r="CB197" s="63"/>
      <c r="CC197" s="63"/>
      <c r="CD197" s="63"/>
      <c r="CE197" s="50"/>
    </row>
    <row r="198" spans="2:83" x14ac:dyDescent="0.3">
      <c r="B198" s="46">
        <v>0</v>
      </c>
      <c r="C198" s="47"/>
      <c r="D198" s="48"/>
      <c r="E198" s="49"/>
      <c r="F198" s="50"/>
      <c r="G198" s="51" t="e">
        <v>#DIV/0!</v>
      </c>
      <c r="H198" s="52" t="e">
        <v>#DIV/0!</v>
      </c>
      <c r="I198" s="53"/>
      <c r="J198" s="54"/>
      <c r="K198" s="54"/>
      <c r="L198" s="55"/>
      <c r="M198" s="56"/>
      <c r="N198" s="57">
        <v>0</v>
      </c>
      <c r="O198" s="58"/>
      <c r="P198" s="59"/>
      <c r="Q198" s="81"/>
      <c r="R198" s="82"/>
      <c r="S198" s="48"/>
      <c r="T198" s="50"/>
      <c r="U198" s="62"/>
      <c r="V198" s="63"/>
      <c r="W198" s="50"/>
      <c r="X198" s="48"/>
      <c r="Y198" s="63"/>
      <c r="Z198" s="63"/>
      <c r="AA198" s="64"/>
      <c r="AB198" s="65"/>
      <c r="AC198" s="66"/>
      <c r="AD198" s="67"/>
      <c r="AE198" s="68"/>
      <c r="AF198" s="48"/>
      <c r="AG198" s="63"/>
      <c r="AH198" s="63"/>
      <c r="AI198" s="63"/>
      <c r="AJ198" s="63"/>
      <c r="AK198" s="63"/>
      <c r="AL198" s="63"/>
      <c r="AM198" s="63"/>
      <c r="AN198" s="63"/>
      <c r="AO198" s="63"/>
      <c r="AP198" s="63"/>
      <c r="AQ198" s="63"/>
      <c r="AR198" s="63"/>
      <c r="AS198" s="63"/>
      <c r="AT198" s="63"/>
      <c r="AU198" s="63"/>
      <c r="AV198" s="63"/>
      <c r="AW198" s="50"/>
      <c r="AX198" s="69"/>
      <c r="AY198" s="69"/>
      <c r="AZ198" s="54"/>
      <c r="BA198" s="54"/>
      <c r="BB198" s="54"/>
      <c r="BC198" s="54"/>
      <c r="BD198" s="54"/>
      <c r="BE198" s="70"/>
      <c r="BF198" s="63"/>
      <c r="BG198" s="71">
        <v>0</v>
      </c>
      <c r="BH198" s="67"/>
      <c r="BI198" s="68"/>
      <c r="BJ198" s="72">
        <v>0</v>
      </c>
      <c r="BK198" s="62"/>
      <c r="BL198" s="70"/>
      <c r="BM198" s="70"/>
      <c r="BN198" s="70"/>
      <c r="BO198" s="70"/>
      <c r="BP198" s="73"/>
      <c r="BQ198" s="48"/>
      <c r="BR198" s="63"/>
      <c r="BS198" s="50"/>
      <c r="BT198" s="76" t="e">
        <v>#DIV/0!</v>
      </c>
      <c r="BU198" s="77" t="e">
        <v>#DIV/0!</v>
      </c>
      <c r="BV198" s="78">
        <v>0</v>
      </c>
      <c r="BW198" s="79">
        <v>0</v>
      </c>
      <c r="BX198" s="62"/>
      <c r="BY198" s="63"/>
      <c r="BZ198" s="63"/>
      <c r="CA198" s="63"/>
      <c r="CB198" s="63"/>
      <c r="CC198" s="63"/>
      <c r="CD198" s="63"/>
      <c r="CE198" s="50"/>
    </row>
    <row r="199" spans="2:83" x14ac:dyDescent="0.3">
      <c r="B199" s="46">
        <v>0</v>
      </c>
      <c r="C199" s="47"/>
      <c r="D199" s="48"/>
      <c r="E199" s="49"/>
      <c r="F199" s="50"/>
      <c r="G199" s="51" t="e">
        <v>#DIV/0!</v>
      </c>
      <c r="H199" s="52" t="e">
        <v>#DIV/0!</v>
      </c>
      <c r="I199" s="53"/>
      <c r="J199" s="54"/>
      <c r="K199" s="54"/>
      <c r="L199" s="55"/>
      <c r="M199" s="56"/>
      <c r="N199" s="57">
        <v>0</v>
      </c>
      <c r="O199" s="58"/>
      <c r="P199" s="59"/>
      <c r="Q199" s="81"/>
      <c r="R199" s="82"/>
      <c r="S199" s="48"/>
      <c r="T199" s="50"/>
      <c r="U199" s="62"/>
      <c r="V199" s="63"/>
      <c r="W199" s="50"/>
      <c r="X199" s="48"/>
      <c r="Y199" s="63"/>
      <c r="Z199" s="63"/>
      <c r="AA199" s="64"/>
      <c r="AB199" s="65"/>
      <c r="AC199" s="66"/>
      <c r="AD199" s="67"/>
      <c r="AE199" s="68"/>
      <c r="AF199" s="48"/>
      <c r="AG199" s="63"/>
      <c r="AH199" s="63"/>
      <c r="AI199" s="63"/>
      <c r="AJ199" s="63"/>
      <c r="AK199" s="63"/>
      <c r="AL199" s="63"/>
      <c r="AM199" s="63"/>
      <c r="AN199" s="63"/>
      <c r="AO199" s="63"/>
      <c r="AP199" s="63"/>
      <c r="AQ199" s="63"/>
      <c r="AR199" s="63"/>
      <c r="AS199" s="63"/>
      <c r="AT199" s="63"/>
      <c r="AU199" s="63"/>
      <c r="AV199" s="63"/>
      <c r="AW199" s="50"/>
      <c r="AX199" s="69"/>
      <c r="AY199" s="69"/>
      <c r="AZ199" s="54"/>
      <c r="BA199" s="54"/>
      <c r="BB199" s="54"/>
      <c r="BC199" s="54"/>
      <c r="BD199" s="54"/>
      <c r="BE199" s="70"/>
      <c r="BF199" s="63"/>
      <c r="BG199" s="71">
        <v>0</v>
      </c>
      <c r="BH199" s="67"/>
      <c r="BI199" s="68"/>
      <c r="BJ199" s="72">
        <v>0</v>
      </c>
      <c r="BK199" s="62"/>
      <c r="BL199" s="70"/>
      <c r="BM199" s="70"/>
      <c r="BN199" s="70"/>
      <c r="BO199" s="70"/>
      <c r="BP199" s="73"/>
      <c r="BQ199" s="48"/>
      <c r="BR199" s="63"/>
      <c r="BS199" s="50"/>
      <c r="BT199" s="76" t="e">
        <v>#DIV/0!</v>
      </c>
      <c r="BU199" s="77" t="e">
        <v>#DIV/0!</v>
      </c>
      <c r="BV199" s="78">
        <v>0</v>
      </c>
      <c r="BW199" s="79">
        <v>0</v>
      </c>
      <c r="BX199" s="62"/>
      <c r="BY199" s="63"/>
      <c r="BZ199" s="63"/>
      <c r="CA199" s="63"/>
      <c r="CB199" s="63"/>
      <c r="CC199" s="63"/>
      <c r="CD199" s="63"/>
      <c r="CE199" s="50"/>
    </row>
    <row r="200" spans="2:83" x14ac:dyDescent="0.3">
      <c r="B200" s="46">
        <v>0</v>
      </c>
      <c r="C200" s="47"/>
      <c r="D200" s="48"/>
      <c r="E200" s="49"/>
      <c r="F200" s="50"/>
      <c r="G200" s="51" t="e">
        <v>#DIV/0!</v>
      </c>
      <c r="H200" s="52" t="e">
        <v>#DIV/0!</v>
      </c>
      <c r="I200" s="53"/>
      <c r="J200" s="54"/>
      <c r="K200" s="54"/>
      <c r="L200" s="55"/>
      <c r="M200" s="56"/>
      <c r="N200" s="57">
        <v>0</v>
      </c>
      <c r="O200" s="58"/>
      <c r="P200" s="59"/>
      <c r="Q200" s="81"/>
      <c r="R200" s="82"/>
      <c r="S200" s="48"/>
      <c r="T200" s="50"/>
      <c r="U200" s="62"/>
      <c r="V200" s="63"/>
      <c r="W200" s="50"/>
      <c r="X200" s="48"/>
      <c r="Y200" s="63"/>
      <c r="Z200" s="63"/>
      <c r="AA200" s="64"/>
      <c r="AB200" s="65"/>
      <c r="AC200" s="66"/>
      <c r="AD200" s="67"/>
      <c r="AE200" s="68"/>
      <c r="AF200" s="48"/>
      <c r="AG200" s="63"/>
      <c r="AH200" s="63"/>
      <c r="AI200" s="63"/>
      <c r="AJ200" s="63"/>
      <c r="AK200" s="63"/>
      <c r="AL200" s="63"/>
      <c r="AM200" s="63"/>
      <c r="AN200" s="63"/>
      <c r="AO200" s="63"/>
      <c r="AP200" s="63"/>
      <c r="AQ200" s="63"/>
      <c r="AR200" s="63"/>
      <c r="AS200" s="63"/>
      <c r="AT200" s="63"/>
      <c r="AU200" s="63"/>
      <c r="AV200" s="63"/>
      <c r="AW200" s="50"/>
      <c r="AX200" s="69"/>
      <c r="AY200" s="69"/>
      <c r="AZ200" s="54"/>
      <c r="BA200" s="54"/>
      <c r="BB200" s="54"/>
      <c r="BC200" s="54"/>
      <c r="BD200" s="54"/>
      <c r="BE200" s="70"/>
      <c r="BF200" s="63"/>
      <c r="BG200" s="71">
        <v>0</v>
      </c>
      <c r="BH200" s="67"/>
      <c r="BI200" s="68"/>
      <c r="BJ200" s="72">
        <v>0</v>
      </c>
      <c r="BK200" s="62"/>
      <c r="BL200" s="70"/>
      <c r="BM200" s="70"/>
      <c r="BN200" s="70"/>
      <c r="BO200" s="70"/>
      <c r="BP200" s="73"/>
      <c r="BQ200" s="48"/>
      <c r="BR200" s="63"/>
      <c r="BS200" s="50"/>
      <c r="BT200" s="76" t="e">
        <v>#DIV/0!</v>
      </c>
      <c r="BU200" s="77" t="e">
        <v>#DIV/0!</v>
      </c>
      <c r="BV200" s="78">
        <v>0</v>
      </c>
      <c r="BW200" s="79">
        <v>0</v>
      </c>
      <c r="BX200" s="62"/>
      <c r="BY200" s="63"/>
      <c r="BZ200" s="63"/>
      <c r="CA200" s="63"/>
      <c r="CB200" s="63"/>
      <c r="CC200" s="63"/>
      <c r="CD200" s="63"/>
      <c r="CE200" s="50"/>
    </row>
    <row r="201" spans="2:83" x14ac:dyDescent="0.3">
      <c r="B201" s="46">
        <v>0</v>
      </c>
      <c r="C201" s="47"/>
      <c r="D201" s="48"/>
      <c r="E201" s="49"/>
      <c r="F201" s="50"/>
      <c r="G201" s="51" t="e">
        <v>#DIV/0!</v>
      </c>
      <c r="H201" s="52" t="e">
        <v>#DIV/0!</v>
      </c>
      <c r="I201" s="53"/>
      <c r="J201" s="54"/>
      <c r="K201" s="54"/>
      <c r="L201" s="55"/>
      <c r="M201" s="56"/>
      <c r="N201" s="57">
        <v>0</v>
      </c>
      <c r="O201" s="58"/>
      <c r="P201" s="59"/>
      <c r="Q201" s="81"/>
      <c r="R201" s="82"/>
      <c r="S201" s="48"/>
      <c r="T201" s="50"/>
      <c r="U201" s="62"/>
      <c r="V201" s="63"/>
      <c r="W201" s="50"/>
      <c r="X201" s="48"/>
      <c r="Y201" s="63"/>
      <c r="Z201" s="63"/>
      <c r="AA201" s="64"/>
      <c r="AB201" s="65"/>
      <c r="AC201" s="66"/>
      <c r="AD201" s="67"/>
      <c r="AE201" s="68"/>
      <c r="AF201" s="48"/>
      <c r="AG201" s="63"/>
      <c r="AH201" s="63"/>
      <c r="AI201" s="63"/>
      <c r="AJ201" s="63"/>
      <c r="AK201" s="63"/>
      <c r="AL201" s="63"/>
      <c r="AM201" s="63"/>
      <c r="AN201" s="63"/>
      <c r="AO201" s="63"/>
      <c r="AP201" s="63"/>
      <c r="AQ201" s="63"/>
      <c r="AR201" s="63"/>
      <c r="AS201" s="63"/>
      <c r="AT201" s="63"/>
      <c r="AU201" s="63"/>
      <c r="AV201" s="63"/>
      <c r="AW201" s="50"/>
      <c r="AX201" s="69"/>
      <c r="AY201" s="69"/>
      <c r="AZ201" s="54"/>
      <c r="BA201" s="54"/>
      <c r="BB201" s="54"/>
      <c r="BC201" s="54"/>
      <c r="BD201" s="54"/>
      <c r="BE201" s="70"/>
      <c r="BF201" s="63"/>
      <c r="BG201" s="71">
        <v>0</v>
      </c>
      <c r="BH201" s="67"/>
      <c r="BI201" s="68"/>
      <c r="BJ201" s="72">
        <v>0</v>
      </c>
      <c r="BK201" s="62"/>
      <c r="BL201" s="70"/>
      <c r="BM201" s="70"/>
      <c r="BN201" s="70"/>
      <c r="BO201" s="70"/>
      <c r="BP201" s="73"/>
      <c r="BQ201" s="48"/>
      <c r="BR201" s="63"/>
      <c r="BS201" s="50"/>
      <c r="BT201" s="76" t="e">
        <v>#DIV/0!</v>
      </c>
      <c r="BU201" s="77" t="e">
        <v>#DIV/0!</v>
      </c>
      <c r="BV201" s="78">
        <v>0</v>
      </c>
      <c r="BW201" s="79">
        <v>0</v>
      </c>
      <c r="BX201" s="62"/>
      <c r="BY201" s="63"/>
      <c r="BZ201" s="63"/>
      <c r="CA201" s="63"/>
      <c r="CB201" s="63"/>
      <c r="CC201" s="63"/>
      <c r="CD201" s="63"/>
      <c r="CE201" s="50"/>
    </row>
    <row r="202" spans="2:83" x14ac:dyDescent="0.3">
      <c r="B202" s="46">
        <v>0</v>
      </c>
      <c r="C202" s="47"/>
      <c r="D202" s="48"/>
      <c r="E202" s="49"/>
      <c r="F202" s="50"/>
      <c r="G202" s="51" t="e">
        <v>#DIV/0!</v>
      </c>
      <c r="H202" s="52" t="e">
        <v>#DIV/0!</v>
      </c>
      <c r="I202" s="53"/>
      <c r="J202" s="54"/>
      <c r="K202" s="54"/>
      <c r="L202" s="55"/>
      <c r="M202" s="56"/>
      <c r="N202" s="57">
        <v>0</v>
      </c>
      <c r="O202" s="58"/>
      <c r="P202" s="59"/>
      <c r="Q202" s="81"/>
      <c r="R202" s="82"/>
      <c r="S202" s="48"/>
      <c r="T202" s="50"/>
      <c r="U202" s="62"/>
      <c r="V202" s="63"/>
      <c r="W202" s="50"/>
      <c r="X202" s="48"/>
      <c r="Y202" s="63"/>
      <c r="Z202" s="63"/>
      <c r="AA202" s="64"/>
      <c r="AB202" s="65"/>
      <c r="AC202" s="66"/>
      <c r="AD202" s="67"/>
      <c r="AE202" s="68"/>
      <c r="AF202" s="48"/>
      <c r="AG202" s="63"/>
      <c r="AH202" s="63"/>
      <c r="AI202" s="63"/>
      <c r="AJ202" s="63"/>
      <c r="AK202" s="63"/>
      <c r="AL202" s="63"/>
      <c r="AM202" s="63"/>
      <c r="AN202" s="63"/>
      <c r="AO202" s="63"/>
      <c r="AP202" s="63"/>
      <c r="AQ202" s="63"/>
      <c r="AR202" s="63"/>
      <c r="AS202" s="63"/>
      <c r="AT202" s="63"/>
      <c r="AU202" s="63"/>
      <c r="AV202" s="63"/>
      <c r="AW202" s="50"/>
      <c r="AX202" s="69"/>
      <c r="AY202" s="69"/>
      <c r="AZ202" s="54"/>
      <c r="BA202" s="54"/>
      <c r="BB202" s="54"/>
      <c r="BC202" s="54"/>
      <c r="BD202" s="54"/>
      <c r="BE202" s="70"/>
      <c r="BF202" s="63"/>
      <c r="BG202" s="71">
        <v>0</v>
      </c>
      <c r="BH202" s="67"/>
      <c r="BI202" s="68"/>
      <c r="BJ202" s="72">
        <v>0</v>
      </c>
      <c r="BK202" s="62"/>
      <c r="BL202" s="70"/>
      <c r="BM202" s="70"/>
      <c r="BN202" s="70"/>
      <c r="BO202" s="70"/>
      <c r="BP202" s="73"/>
      <c r="BQ202" s="48"/>
      <c r="BR202" s="63"/>
      <c r="BS202" s="50"/>
      <c r="BT202" s="76" t="e">
        <v>#DIV/0!</v>
      </c>
      <c r="BU202" s="77" t="e">
        <v>#DIV/0!</v>
      </c>
      <c r="BV202" s="78">
        <v>0</v>
      </c>
      <c r="BW202" s="79">
        <v>0</v>
      </c>
      <c r="BX202" s="62"/>
      <c r="BY202" s="63"/>
      <c r="BZ202" s="63"/>
      <c r="CA202" s="63"/>
      <c r="CB202" s="63"/>
      <c r="CC202" s="63"/>
      <c r="CD202" s="63"/>
      <c r="CE202" s="50"/>
    </row>
    <row r="203" spans="2:83" x14ac:dyDescent="0.3">
      <c r="B203" s="46">
        <v>0</v>
      </c>
      <c r="C203" s="47"/>
      <c r="D203" s="48"/>
      <c r="E203" s="49"/>
      <c r="F203" s="50"/>
      <c r="G203" s="51" t="e">
        <v>#DIV/0!</v>
      </c>
      <c r="H203" s="52" t="e">
        <v>#DIV/0!</v>
      </c>
      <c r="I203" s="53"/>
      <c r="J203" s="54"/>
      <c r="K203" s="54"/>
      <c r="L203" s="55"/>
      <c r="M203" s="56"/>
      <c r="N203" s="57">
        <v>0</v>
      </c>
      <c r="O203" s="58"/>
      <c r="P203" s="59"/>
      <c r="Q203" s="81"/>
      <c r="R203" s="82"/>
      <c r="S203" s="48"/>
      <c r="T203" s="50"/>
      <c r="U203" s="62"/>
      <c r="V203" s="63"/>
      <c r="W203" s="50"/>
      <c r="X203" s="48"/>
      <c r="Y203" s="63"/>
      <c r="Z203" s="63"/>
      <c r="AA203" s="64"/>
      <c r="AB203" s="65"/>
      <c r="AC203" s="66"/>
      <c r="AD203" s="67"/>
      <c r="AE203" s="68"/>
      <c r="AF203" s="48"/>
      <c r="AG203" s="63"/>
      <c r="AH203" s="63"/>
      <c r="AI203" s="63"/>
      <c r="AJ203" s="63"/>
      <c r="AK203" s="63"/>
      <c r="AL203" s="63"/>
      <c r="AM203" s="63"/>
      <c r="AN203" s="63"/>
      <c r="AO203" s="63"/>
      <c r="AP203" s="63"/>
      <c r="AQ203" s="63"/>
      <c r="AR203" s="63"/>
      <c r="AS203" s="63"/>
      <c r="AT203" s="63"/>
      <c r="AU203" s="63"/>
      <c r="AV203" s="63"/>
      <c r="AW203" s="50"/>
      <c r="AX203" s="69"/>
      <c r="AY203" s="69"/>
      <c r="AZ203" s="54"/>
      <c r="BA203" s="54"/>
      <c r="BB203" s="54"/>
      <c r="BC203" s="54"/>
      <c r="BD203" s="54"/>
      <c r="BE203" s="70"/>
      <c r="BF203" s="63"/>
      <c r="BG203" s="71">
        <v>0</v>
      </c>
      <c r="BH203" s="67"/>
      <c r="BI203" s="68"/>
      <c r="BJ203" s="72">
        <v>0</v>
      </c>
      <c r="BK203" s="62"/>
      <c r="BL203" s="70"/>
      <c r="BM203" s="70"/>
      <c r="BN203" s="70"/>
      <c r="BO203" s="70"/>
      <c r="BP203" s="73"/>
      <c r="BQ203" s="48"/>
      <c r="BR203" s="63"/>
      <c r="BS203" s="50"/>
      <c r="BT203" s="76" t="e">
        <v>#DIV/0!</v>
      </c>
      <c r="BU203" s="77" t="e">
        <v>#DIV/0!</v>
      </c>
      <c r="BV203" s="78">
        <v>0</v>
      </c>
      <c r="BW203" s="79">
        <v>0</v>
      </c>
      <c r="BX203" s="62"/>
      <c r="BY203" s="63"/>
      <c r="BZ203" s="63"/>
      <c r="CA203" s="63"/>
      <c r="CB203" s="63"/>
      <c r="CC203" s="63"/>
      <c r="CD203" s="63"/>
      <c r="CE203" s="50"/>
    </row>
    <row r="204" spans="2:83" x14ac:dyDescent="0.3">
      <c r="B204" s="46">
        <v>0</v>
      </c>
      <c r="C204" s="47"/>
      <c r="D204" s="48"/>
      <c r="E204" s="49"/>
      <c r="F204" s="50"/>
      <c r="G204" s="51" t="e">
        <v>#DIV/0!</v>
      </c>
      <c r="H204" s="52" t="e">
        <v>#DIV/0!</v>
      </c>
      <c r="I204" s="53"/>
      <c r="J204" s="54"/>
      <c r="K204" s="54"/>
      <c r="L204" s="55"/>
      <c r="M204" s="56"/>
      <c r="N204" s="57">
        <v>0</v>
      </c>
      <c r="O204" s="58"/>
      <c r="P204" s="59"/>
      <c r="Q204" s="81"/>
      <c r="R204" s="82"/>
      <c r="S204" s="48"/>
      <c r="T204" s="50"/>
      <c r="U204" s="62"/>
      <c r="V204" s="63"/>
      <c r="W204" s="50"/>
      <c r="X204" s="48"/>
      <c r="Y204" s="63"/>
      <c r="Z204" s="63"/>
      <c r="AA204" s="64"/>
      <c r="AB204" s="65"/>
      <c r="AC204" s="66"/>
      <c r="AD204" s="67"/>
      <c r="AE204" s="68"/>
      <c r="AF204" s="48"/>
      <c r="AG204" s="63"/>
      <c r="AH204" s="63"/>
      <c r="AI204" s="63"/>
      <c r="AJ204" s="63"/>
      <c r="AK204" s="63"/>
      <c r="AL204" s="63"/>
      <c r="AM204" s="63"/>
      <c r="AN204" s="63"/>
      <c r="AO204" s="63"/>
      <c r="AP204" s="63"/>
      <c r="AQ204" s="63"/>
      <c r="AR204" s="63"/>
      <c r="AS204" s="63"/>
      <c r="AT204" s="63"/>
      <c r="AU204" s="63"/>
      <c r="AV204" s="63"/>
      <c r="AW204" s="50"/>
      <c r="AX204" s="69"/>
      <c r="AY204" s="69"/>
      <c r="AZ204" s="54"/>
      <c r="BA204" s="54"/>
      <c r="BB204" s="54"/>
      <c r="BC204" s="54"/>
      <c r="BD204" s="54"/>
      <c r="BE204" s="70"/>
      <c r="BF204" s="63"/>
      <c r="BG204" s="71">
        <v>0</v>
      </c>
      <c r="BH204" s="67"/>
      <c r="BI204" s="68"/>
      <c r="BJ204" s="72">
        <v>0</v>
      </c>
      <c r="BK204" s="62"/>
      <c r="BL204" s="70"/>
      <c r="BM204" s="70"/>
      <c r="BN204" s="70"/>
      <c r="BO204" s="70"/>
      <c r="BP204" s="73"/>
      <c r="BQ204" s="48"/>
      <c r="BR204" s="63"/>
      <c r="BS204" s="50"/>
      <c r="BT204" s="76" t="e">
        <v>#DIV/0!</v>
      </c>
      <c r="BU204" s="77" t="e">
        <v>#DIV/0!</v>
      </c>
      <c r="BV204" s="78">
        <v>0</v>
      </c>
      <c r="BW204" s="79">
        <v>0</v>
      </c>
      <c r="BX204" s="62"/>
      <c r="BY204" s="63"/>
      <c r="BZ204" s="63"/>
      <c r="CA204" s="63"/>
      <c r="CB204" s="63"/>
      <c r="CC204" s="63"/>
      <c r="CD204" s="63"/>
      <c r="CE204" s="50"/>
    </row>
    <row r="205" spans="2:83" x14ac:dyDescent="0.3">
      <c r="B205" s="46">
        <v>0</v>
      </c>
      <c r="C205" s="47"/>
      <c r="D205" s="48"/>
      <c r="E205" s="49"/>
      <c r="F205" s="50"/>
      <c r="G205" s="51" t="e">
        <v>#DIV/0!</v>
      </c>
      <c r="H205" s="52" t="e">
        <v>#DIV/0!</v>
      </c>
      <c r="I205" s="53"/>
      <c r="J205" s="54"/>
      <c r="K205" s="54"/>
      <c r="L205" s="55"/>
      <c r="M205" s="56"/>
      <c r="N205" s="57">
        <v>0</v>
      </c>
      <c r="O205" s="58"/>
      <c r="P205" s="59"/>
      <c r="Q205" s="81"/>
      <c r="R205" s="82"/>
      <c r="S205" s="48"/>
      <c r="T205" s="50"/>
      <c r="U205" s="62"/>
      <c r="V205" s="63"/>
      <c r="W205" s="50"/>
      <c r="X205" s="48"/>
      <c r="Y205" s="63"/>
      <c r="Z205" s="63"/>
      <c r="AA205" s="64"/>
      <c r="AB205" s="65"/>
      <c r="AC205" s="66"/>
      <c r="AD205" s="67"/>
      <c r="AE205" s="68"/>
      <c r="AF205" s="48"/>
      <c r="AG205" s="63"/>
      <c r="AH205" s="63"/>
      <c r="AI205" s="63"/>
      <c r="AJ205" s="63"/>
      <c r="AK205" s="63"/>
      <c r="AL205" s="63"/>
      <c r="AM205" s="63"/>
      <c r="AN205" s="63"/>
      <c r="AO205" s="63"/>
      <c r="AP205" s="63"/>
      <c r="AQ205" s="63"/>
      <c r="AR205" s="63"/>
      <c r="AS205" s="63"/>
      <c r="AT205" s="63"/>
      <c r="AU205" s="63"/>
      <c r="AV205" s="63"/>
      <c r="AW205" s="50"/>
      <c r="AX205" s="69"/>
      <c r="AY205" s="69"/>
      <c r="AZ205" s="54"/>
      <c r="BA205" s="54"/>
      <c r="BB205" s="54"/>
      <c r="BC205" s="54"/>
      <c r="BD205" s="54"/>
      <c r="BE205" s="70"/>
      <c r="BF205" s="63"/>
      <c r="BG205" s="71">
        <v>0</v>
      </c>
      <c r="BH205" s="67"/>
      <c r="BI205" s="68"/>
      <c r="BJ205" s="72">
        <v>0</v>
      </c>
      <c r="BK205" s="62"/>
      <c r="BL205" s="70"/>
      <c r="BM205" s="70"/>
      <c r="BN205" s="70"/>
      <c r="BO205" s="70"/>
      <c r="BP205" s="73"/>
      <c r="BQ205" s="48"/>
      <c r="BR205" s="63"/>
      <c r="BS205" s="50"/>
      <c r="BT205" s="76" t="e">
        <v>#DIV/0!</v>
      </c>
      <c r="BU205" s="77" t="e">
        <v>#DIV/0!</v>
      </c>
      <c r="BV205" s="78">
        <v>0</v>
      </c>
      <c r="BW205" s="79">
        <v>0</v>
      </c>
      <c r="BX205" s="62"/>
      <c r="BY205" s="63"/>
      <c r="BZ205" s="63"/>
      <c r="CA205" s="63"/>
      <c r="CB205" s="63"/>
      <c r="CC205" s="63"/>
      <c r="CD205" s="63"/>
      <c r="CE205" s="50"/>
    </row>
    <row r="206" spans="2:83" x14ac:dyDescent="0.3">
      <c r="B206" s="46">
        <v>0</v>
      </c>
      <c r="C206" s="47"/>
      <c r="D206" s="48"/>
      <c r="E206" s="49"/>
      <c r="F206" s="50"/>
      <c r="G206" s="51" t="e">
        <v>#DIV/0!</v>
      </c>
      <c r="H206" s="52" t="e">
        <v>#DIV/0!</v>
      </c>
      <c r="I206" s="53"/>
      <c r="J206" s="54"/>
      <c r="K206" s="54"/>
      <c r="L206" s="55"/>
      <c r="M206" s="56"/>
      <c r="N206" s="57">
        <v>0</v>
      </c>
      <c r="O206" s="58"/>
      <c r="P206" s="59"/>
      <c r="Q206" s="81"/>
      <c r="R206" s="82"/>
      <c r="S206" s="48"/>
      <c r="T206" s="50"/>
      <c r="U206" s="62"/>
      <c r="V206" s="63"/>
      <c r="W206" s="50"/>
      <c r="X206" s="48"/>
      <c r="Y206" s="63"/>
      <c r="Z206" s="63"/>
      <c r="AA206" s="64"/>
      <c r="AB206" s="65"/>
      <c r="AC206" s="66"/>
      <c r="AD206" s="67"/>
      <c r="AE206" s="68"/>
      <c r="AF206" s="48"/>
      <c r="AG206" s="63"/>
      <c r="AH206" s="63"/>
      <c r="AI206" s="63"/>
      <c r="AJ206" s="63"/>
      <c r="AK206" s="63"/>
      <c r="AL206" s="63"/>
      <c r="AM206" s="63"/>
      <c r="AN206" s="63"/>
      <c r="AO206" s="63"/>
      <c r="AP206" s="63"/>
      <c r="AQ206" s="63"/>
      <c r="AR206" s="63"/>
      <c r="AS206" s="63"/>
      <c r="AT206" s="63"/>
      <c r="AU206" s="63"/>
      <c r="AV206" s="63"/>
      <c r="AW206" s="50"/>
      <c r="AX206" s="69"/>
      <c r="AY206" s="69"/>
      <c r="AZ206" s="54"/>
      <c r="BA206" s="54"/>
      <c r="BB206" s="54"/>
      <c r="BC206" s="54"/>
      <c r="BD206" s="54"/>
      <c r="BE206" s="70"/>
      <c r="BF206" s="63"/>
      <c r="BG206" s="71">
        <v>0</v>
      </c>
      <c r="BH206" s="67"/>
      <c r="BI206" s="68"/>
      <c r="BJ206" s="72">
        <v>0</v>
      </c>
      <c r="BK206" s="62"/>
      <c r="BL206" s="70"/>
      <c r="BM206" s="70"/>
      <c r="BN206" s="70"/>
      <c r="BO206" s="70"/>
      <c r="BP206" s="73"/>
      <c r="BQ206" s="48"/>
      <c r="BR206" s="63"/>
      <c r="BS206" s="50"/>
      <c r="BT206" s="76" t="e">
        <v>#DIV/0!</v>
      </c>
      <c r="BU206" s="77" t="e">
        <v>#DIV/0!</v>
      </c>
      <c r="BV206" s="78">
        <v>0</v>
      </c>
      <c r="BW206" s="79">
        <v>0</v>
      </c>
      <c r="BX206" s="62"/>
      <c r="BY206" s="63"/>
      <c r="BZ206" s="63"/>
      <c r="CA206" s="63"/>
      <c r="CB206" s="63"/>
      <c r="CC206" s="63"/>
      <c r="CD206" s="63"/>
      <c r="CE206" s="50"/>
    </row>
    <row r="207" spans="2:83" x14ac:dyDescent="0.3">
      <c r="B207" s="46">
        <v>0</v>
      </c>
      <c r="C207" s="47"/>
      <c r="D207" s="48"/>
      <c r="E207" s="49"/>
      <c r="F207" s="50"/>
      <c r="G207" s="51" t="e">
        <v>#DIV/0!</v>
      </c>
      <c r="H207" s="52" t="e">
        <v>#DIV/0!</v>
      </c>
      <c r="I207" s="53"/>
      <c r="J207" s="54"/>
      <c r="K207" s="54"/>
      <c r="L207" s="55"/>
      <c r="M207" s="56"/>
      <c r="N207" s="57">
        <v>0</v>
      </c>
      <c r="O207" s="58"/>
      <c r="P207" s="59"/>
      <c r="Q207" s="81"/>
      <c r="R207" s="82"/>
      <c r="S207" s="48"/>
      <c r="T207" s="50"/>
      <c r="U207" s="62"/>
      <c r="V207" s="63"/>
      <c r="W207" s="50"/>
      <c r="X207" s="48"/>
      <c r="Y207" s="63"/>
      <c r="Z207" s="63"/>
      <c r="AA207" s="64"/>
      <c r="AB207" s="65"/>
      <c r="AC207" s="66"/>
      <c r="AD207" s="67"/>
      <c r="AE207" s="68"/>
      <c r="AF207" s="48"/>
      <c r="AG207" s="63"/>
      <c r="AH207" s="63"/>
      <c r="AI207" s="63"/>
      <c r="AJ207" s="63"/>
      <c r="AK207" s="63"/>
      <c r="AL207" s="63"/>
      <c r="AM207" s="63"/>
      <c r="AN207" s="63"/>
      <c r="AO207" s="63"/>
      <c r="AP207" s="63"/>
      <c r="AQ207" s="63"/>
      <c r="AR207" s="63"/>
      <c r="AS207" s="63"/>
      <c r="AT207" s="63"/>
      <c r="AU207" s="63"/>
      <c r="AV207" s="63"/>
      <c r="AW207" s="50"/>
      <c r="AX207" s="69"/>
      <c r="AY207" s="69"/>
      <c r="AZ207" s="54"/>
      <c r="BA207" s="54"/>
      <c r="BB207" s="54"/>
      <c r="BC207" s="54"/>
      <c r="BD207" s="54"/>
      <c r="BE207" s="70"/>
      <c r="BF207" s="63"/>
      <c r="BG207" s="71">
        <v>0</v>
      </c>
      <c r="BH207" s="67"/>
      <c r="BI207" s="68"/>
      <c r="BJ207" s="72">
        <v>0</v>
      </c>
      <c r="BK207" s="62"/>
      <c r="BL207" s="70"/>
      <c r="BM207" s="70"/>
      <c r="BN207" s="70"/>
      <c r="BO207" s="70"/>
      <c r="BP207" s="73"/>
      <c r="BQ207" s="48"/>
      <c r="BR207" s="63"/>
      <c r="BS207" s="50"/>
      <c r="BT207" s="76" t="e">
        <v>#DIV/0!</v>
      </c>
      <c r="BU207" s="77" t="e">
        <v>#DIV/0!</v>
      </c>
      <c r="BV207" s="78">
        <v>0</v>
      </c>
      <c r="BW207" s="79">
        <v>0</v>
      </c>
      <c r="BX207" s="62"/>
      <c r="BY207" s="63"/>
      <c r="BZ207" s="63"/>
      <c r="CA207" s="63"/>
      <c r="CB207" s="63"/>
      <c r="CC207" s="63"/>
      <c r="CD207" s="63"/>
      <c r="CE207" s="50"/>
    </row>
    <row r="208" spans="2:83" x14ac:dyDescent="0.3">
      <c r="B208" s="46">
        <v>0</v>
      </c>
      <c r="C208" s="47"/>
      <c r="D208" s="48"/>
      <c r="E208" s="49"/>
      <c r="F208" s="50"/>
      <c r="G208" s="51" t="e">
        <v>#DIV/0!</v>
      </c>
      <c r="H208" s="52" t="e">
        <v>#DIV/0!</v>
      </c>
      <c r="I208" s="53"/>
      <c r="J208" s="54"/>
      <c r="K208" s="54"/>
      <c r="L208" s="55"/>
      <c r="M208" s="56"/>
      <c r="N208" s="57">
        <v>0</v>
      </c>
      <c r="O208" s="58"/>
      <c r="P208" s="59"/>
      <c r="Q208" s="81"/>
      <c r="R208" s="82"/>
      <c r="S208" s="48"/>
      <c r="T208" s="50"/>
      <c r="U208" s="62"/>
      <c r="V208" s="63"/>
      <c r="W208" s="50"/>
      <c r="X208" s="48"/>
      <c r="Y208" s="63"/>
      <c r="Z208" s="63"/>
      <c r="AA208" s="64"/>
      <c r="AB208" s="65"/>
      <c r="AC208" s="66"/>
      <c r="AD208" s="67"/>
      <c r="AE208" s="68"/>
      <c r="AF208" s="48"/>
      <c r="AG208" s="63"/>
      <c r="AH208" s="63"/>
      <c r="AI208" s="63"/>
      <c r="AJ208" s="63"/>
      <c r="AK208" s="63"/>
      <c r="AL208" s="63"/>
      <c r="AM208" s="63"/>
      <c r="AN208" s="63"/>
      <c r="AO208" s="63"/>
      <c r="AP208" s="63"/>
      <c r="AQ208" s="63"/>
      <c r="AR208" s="63"/>
      <c r="AS208" s="63"/>
      <c r="AT208" s="63"/>
      <c r="AU208" s="63"/>
      <c r="AV208" s="63"/>
      <c r="AW208" s="50"/>
      <c r="AX208" s="69"/>
      <c r="AY208" s="69"/>
      <c r="AZ208" s="54"/>
      <c r="BA208" s="54"/>
      <c r="BB208" s="54"/>
      <c r="BC208" s="54"/>
      <c r="BD208" s="54"/>
      <c r="BE208" s="70"/>
      <c r="BF208" s="63"/>
      <c r="BG208" s="71">
        <v>0</v>
      </c>
      <c r="BH208" s="67"/>
      <c r="BI208" s="68"/>
      <c r="BJ208" s="72">
        <v>0</v>
      </c>
      <c r="BK208" s="62"/>
      <c r="BL208" s="70"/>
      <c r="BM208" s="70"/>
      <c r="BN208" s="70"/>
      <c r="BO208" s="70"/>
      <c r="BP208" s="73"/>
      <c r="BQ208" s="48"/>
      <c r="BR208" s="63"/>
      <c r="BS208" s="50"/>
      <c r="BT208" s="76" t="e">
        <v>#DIV/0!</v>
      </c>
      <c r="BU208" s="77" t="e">
        <v>#DIV/0!</v>
      </c>
      <c r="BV208" s="78">
        <v>0</v>
      </c>
      <c r="BW208" s="79">
        <v>0</v>
      </c>
      <c r="BX208" s="62"/>
      <c r="BY208" s="63"/>
      <c r="BZ208" s="63"/>
      <c r="CA208" s="63"/>
      <c r="CB208" s="63"/>
      <c r="CC208" s="63"/>
      <c r="CD208" s="63"/>
      <c r="CE208" s="50"/>
    </row>
    <row r="209" spans="2:83" x14ac:dyDescent="0.3">
      <c r="B209" s="46">
        <v>0</v>
      </c>
      <c r="C209" s="47"/>
      <c r="D209" s="48"/>
      <c r="E209" s="49"/>
      <c r="F209" s="50"/>
      <c r="G209" s="51" t="e">
        <v>#DIV/0!</v>
      </c>
      <c r="H209" s="52" t="e">
        <v>#DIV/0!</v>
      </c>
      <c r="I209" s="53"/>
      <c r="J209" s="54"/>
      <c r="K209" s="54"/>
      <c r="L209" s="55"/>
      <c r="M209" s="56"/>
      <c r="N209" s="57">
        <v>0</v>
      </c>
      <c r="O209" s="58"/>
      <c r="P209" s="59"/>
      <c r="Q209" s="81"/>
      <c r="R209" s="82"/>
      <c r="S209" s="48"/>
      <c r="T209" s="50"/>
      <c r="U209" s="62"/>
      <c r="V209" s="63"/>
      <c r="W209" s="50"/>
      <c r="X209" s="48"/>
      <c r="Y209" s="63"/>
      <c r="Z209" s="63"/>
      <c r="AA209" s="64"/>
      <c r="AB209" s="65"/>
      <c r="AC209" s="66"/>
      <c r="AD209" s="67"/>
      <c r="AE209" s="68"/>
      <c r="AF209" s="48"/>
      <c r="AG209" s="63"/>
      <c r="AH209" s="63"/>
      <c r="AI209" s="63"/>
      <c r="AJ209" s="63"/>
      <c r="AK209" s="63"/>
      <c r="AL209" s="63"/>
      <c r="AM209" s="63"/>
      <c r="AN209" s="63"/>
      <c r="AO209" s="63"/>
      <c r="AP209" s="63"/>
      <c r="AQ209" s="63"/>
      <c r="AR209" s="63"/>
      <c r="AS209" s="63"/>
      <c r="AT209" s="63"/>
      <c r="AU209" s="63"/>
      <c r="AV209" s="63"/>
      <c r="AW209" s="50"/>
      <c r="AX209" s="69"/>
      <c r="AY209" s="69"/>
      <c r="AZ209" s="54"/>
      <c r="BA209" s="54"/>
      <c r="BB209" s="54"/>
      <c r="BC209" s="54"/>
      <c r="BD209" s="54"/>
      <c r="BE209" s="70"/>
      <c r="BF209" s="63"/>
      <c r="BG209" s="71">
        <v>0</v>
      </c>
      <c r="BH209" s="67"/>
      <c r="BI209" s="68"/>
      <c r="BJ209" s="72">
        <v>0</v>
      </c>
      <c r="BK209" s="62"/>
      <c r="BL209" s="70"/>
      <c r="BM209" s="70"/>
      <c r="BN209" s="70"/>
      <c r="BO209" s="70"/>
      <c r="BP209" s="73"/>
      <c r="BQ209" s="48"/>
      <c r="BR209" s="63"/>
      <c r="BS209" s="50"/>
      <c r="BT209" s="76" t="e">
        <v>#DIV/0!</v>
      </c>
      <c r="BU209" s="77" t="e">
        <v>#DIV/0!</v>
      </c>
      <c r="BV209" s="78">
        <v>0</v>
      </c>
      <c r="BW209" s="79">
        <v>0</v>
      </c>
      <c r="BX209" s="62"/>
      <c r="BY209" s="63"/>
      <c r="BZ209" s="63"/>
      <c r="CA209" s="63"/>
      <c r="CB209" s="63"/>
      <c r="CC209" s="63"/>
      <c r="CD209" s="63"/>
      <c r="CE209" s="50"/>
    </row>
    <row r="210" spans="2:83" x14ac:dyDescent="0.3">
      <c r="B210" s="46">
        <v>0</v>
      </c>
      <c r="C210" s="47"/>
      <c r="D210" s="48"/>
      <c r="E210" s="49"/>
      <c r="F210" s="50"/>
      <c r="G210" s="51" t="e">
        <v>#DIV/0!</v>
      </c>
      <c r="H210" s="52" t="e">
        <v>#DIV/0!</v>
      </c>
      <c r="I210" s="53"/>
      <c r="J210" s="54"/>
      <c r="K210" s="54"/>
      <c r="L210" s="55"/>
      <c r="M210" s="56"/>
      <c r="N210" s="57">
        <v>0</v>
      </c>
      <c r="O210" s="58"/>
      <c r="P210" s="59"/>
      <c r="Q210" s="81"/>
      <c r="R210" s="82"/>
      <c r="S210" s="48"/>
      <c r="T210" s="50"/>
      <c r="U210" s="62"/>
      <c r="V210" s="63"/>
      <c r="W210" s="50"/>
      <c r="X210" s="48"/>
      <c r="Y210" s="63"/>
      <c r="Z210" s="63"/>
      <c r="AA210" s="64"/>
      <c r="AB210" s="65"/>
      <c r="AC210" s="66"/>
      <c r="AD210" s="67"/>
      <c r="AE210" s="68"/>
      <c r="AF210" s="48"/>
      <c r="AG210" s="63"/>
      <c r="AH210" s="63"/>
      <c r="AI210" s="63"/>
      <c r="AJ210" s="63"/>
      <c r="AK210" s="63"/>
      <c r="AL210" s="63"/>
      <c r="AM210" s="63"/>
      <c r="AN210" s="63"/>
      <c r="AO210" s="63"/>
      <c r="AP210" s="63"/>
      <c r="AQ210" s="63"/>
      <c r="AR210" s="63"/>
      <c r="AS210" s="63"/>
      <c r="AT210" s="63"/>
      <c r="AU210" s="63"/>
      <c r="AV210" s="63"/>
      <c r="AW210" s="50"/>
      <c r="AX210" s="69"/>
      <c r="AY210" s="69"/>
      <c r="AZ210" s="54"/>
      <c r="BA210" s="54"/>
      <c r="BB210" s="54"/>
      <c r="BC210" s="54"/>
      <c r="BD210" s="54"/>
      <c r="BE210" s="70"/>
      <c r="BF210" s="63"/>
      <c r="BG210" s="71">
        <v>0</v>
      </c>
      <c r="BH210" s="67"/>
      <c r="BI210" s="68"/>
      <c r="BJ210" s="72">
        <v>0</v>
      </c>
      <c r="BK210" s="62"/>
      <c r="BL210" s="70"/>
      <c r="BM210" s="70"/>
      <c r="BN210" s="70"/>
      <c r="BO210" s="70"/>
      <c r="BP210" s="73"/>
      <c r="BQ210" s="48"/>
      <c r="BR210" s="63"/>
      <c r="BS210" s="50"/>
      <c r="BT210" s="76" t="e">
        <v>#DIV/0!</v>
      </c>
      <c r="BU210" s="77" t="e">
        <v>#DIV/0!</v>
      </c>
      <c r="BV210" s="78">
        <v>0</v>
      </c>
      <c r="BW210" s="79">
        <v>0</v>
      </c>
      <c r="BX210" s="62"/>
      <c r="BY210" s="63"/>
      <c r="BZ210" s="63"/>
      <c r="CA210" s="63"/>
      <c r="CB210" s="63"/>
      <c r="CC210" s="63"/>
      <c r="CD210" s="63"/>
      <c r="CE210" s="50"/>
    </row>
    <row r="211" spans="2:83" x14ac:dyDescent="0.3">
      <c r="B211" s="46">
        <v>0</v>
      </c>
      <c r="C211" s="47"/>
      <c r="D211" s="48"/>
      <c r="E211" s="49"/>
      <c r="F211" s="50"/>
      <c r="G211" s="51" t="e">
        <v>#DIV/0!</v>
      </c>
      <c r="H211" s="52" t="e">
        <v>#DIV/0!</v>
      </c>
      <c r="I211" s="53"/>
      <c r="J211" s="54"/>
      <c r="K211" s="54"/>
      <c r="L211" s="55"/>
      <c r="M211" s="56"/>
      <c r="N211" s="57">
        <v>0</v>
      </c>
      <c r="O211" s="58"/>
      <c r="P211" s="59"/>
      <c r="Q211" s="81"/>
      <c r="R211" s="82"/>
      <c r="S211" s="48"/>
      <c r="T211" s="50"/>
      <c r="U211" s="62"/>
      <c r="V211" s="63"/>
      <c r="W211" s="50"/>
      <c r="X211" s="48"/>
      <c r="Y211" s="63"/>
      <c r="Z211" s="63"/>
      <c r="AA211" s="64"/>
      <c r="AB211" s="65"/>
      <c r="AC211" s="66"/>
      <c r="AD211" s="67"/>
      <c r="AE211" s="68"/>
      <c r="AF211" s="48"/>
      <c r="AG211" s="63"/>
      <c r="AH211" s="63"/>
      <c r="AI211" s="63"/>
      <c r="AJ211" s="63"/>
      <c r="AK211" s="63"/>
      <c r="AL211" s="63"/>
      <c r="AM211" s="63"/>
      <c r="AN211" s="63"/>
      <c r="AO211" s="63"/>
      <c r="AP211" s="63"/>
      <c r="AQ211" s="63"/>
      <c r="AR211" s="63"/>
      <c r="AS211" s="63"/>
      <c r="AT211" s="63"/>
      <c r="AU211" s="63"/>
      <c r="AV211" s="63"/>
      <c r="AW211" s="50"/>
      <c r="AX211" s="69"/>
      <c r="AY211" s="69"/>
      <c r="AZ211" s="54"/>
      <c r="BA211" s="54"/>
      <c r="BB211" s="54"/>
      <c r="BC211" s="54"/>
      <c r="BD211" s="54"/>
      <c r="BE211" s="70"/>
      <c r="BF211" s="63"/>
      <c r="BG211" s="71">
        <v>0</v>
      </c>
      <c r="BH211" s="67"/>
      <c r="BI211" s="68"/>
      <c r="BJ211" s="72">
        <v>0</v>
      </c>
      <c r="BK211" s="62"/>
      <c r="BL211" s="70"/>
      <c r="BM211" s="70"/>
      <c r="BN211" s="70"/>
      <c r="BO211" s="70"/>
      <c r="BP211" s="73"/>
      <c r="BQ211" s="48"/>
      <c r="BR211" s="63"/>
      <c r="BS211" s="50"/>
      <c r="BT211" s="76" t="e">
        <v>#DIV/0!</v>
      </c>
      <c r="BU211" s="77" t="e">
        <v>#DIV/0!</v>
      </c>
      <c r="BV211" s="78">
        <v>0</v>
      </c>
      <c r="BW211" s="79">
        <v>0</v>
      </c>
      <c r="BX211" s="62"/>
      <c r="BY211" s="63"/>
      <c r="BZ211" s="63"/>
      <c r="CA211" s="63"/>
      <c r="CB211" s="63"/>
      <c r="CC211" s="63"/>
      <c r="CD211" s="63"/>
      <c r="CE211" s="50"/>
    </row>
    <row r="212" spans="2:83" x14ac:dyDescent="0.3">
      <c r="B212" s="46">
        <v>0</v>
      </c>
      <c r="C212" s="47"/>
      <c r="D212" s="48"/>
      <c r="E212" s="49"/>
      <c r="F212" s="50"/>
      <c r="G212" s="51" t="e">
        <v>#DIV/0!</v>
      </c>
      <c r="H212" s="52" t="e">
        <v>#DIV/0!</v>
      </c>
      <c r="I212" s="53"/>
      <c r="J212" s="54"/>
      <c r="K212" s="54"/>
      <c r="L212" s="55"/>
      <c r="M212" s="56"/>
      <c r="N212" s="57">
        <v>0</v>
      </c>
      <c r="O212" s="58"/>
      <c r="P212" s="59"/>
      <c r="Q212" s="81"/>
      <c r="R212" s="82"/>
      <c r="S212" s="48"/>
      <c r="T212" s="50"/>
      <c r="U212" s="62"/>
      <c r="V212" s="63"/>
      <c r="W212" s="50"/>
      <c r="X212" s="48"/>
      <c r="Y212" s="63"/>
      <c r="Z212" s="63"/>
      <c r="AA212" s="64"/>
      <c r="AB212" s="65"/>
      <c r="AC212" s="66"/>
      <c r="AD212" s="67"/>
      <c r="AE212" s="68"/>
      <c r="AF212" s="48"/>
      <c r="AG212" s="63"/>
      <c r="AH212" s="63"/>
      <c r="AI212" s="63"/>
      <c r="AJ212" s="63"/>
      <c r="AK212" s="63"/>
      <c r="AL212" s="63"/>
      <c r="AM212" s="63"/>
      <c r="AN212" s="63"/>
      <c r="AO212" s="63"/>
      <c r="AP212" s="63"/>
      <c r="AQ212" s="63"/>
      <c r="AR212" s="63"/>
      <c r="AS212" s="63"/>
      <c r="AT212" s="63"/>
      <c r="AU212" s="63"/>
      <c r="AV212" s="63"/>
      <c r="AW212" s="50"/>
      <c r="AX212" s="69"/>
      <c r="AY212" s="69"/>
      <c r="AZ212" s="54"/>
      <c r="BA212" s="54"/>
      <c r="BB212" s="54"/>
      <c r="BC212" s="54"/>
      <c r="BD212" s="54"/>
      <c r="BE212" s="70"/>
      <c r="BF212" s="63"/>
      <c r="BG212" s="71">
        <v>0</v>
      </c>
      <c r="BH212" s="67"/>
      <c r="BI212" s="68"/>
      <c r="BJ212" s="72">
        <v>0</v>
      </c>
      <c r="BK212" s="62"/>
      <c r="BL212" s="70"/>
      <c r="BM212" s="70"/>
      <c r="BN212" s="70"/>
      <c r="BO212" s="70"/>
      <c r="BP212" s="73"/>
      <c r="BQ212" s="48"/>
      <c r="BR212" s="63"/>
      <c r="BS212" s="50"/>
      <c r="BT212" s="76" t="e">
        <v>#DIV/0!</v>
      </c>
      <c r="BU212" s="77" t="e">
        <v>#DIV/0!</v>
      </c>
      <c r="BV212" s="78">
        <v>0</v>
      </c>
      <c r="BW212" s="79">
        <v>0</v>
      </c>
      <c r="BX212" s="62"/>
      <c r="BY212" s="63"/>
      <c r="BZ212" s="63"/>
      <c r="CA212" s="63"/>
      <c r="CB212" s="63"/>
      <c r="CC212" s="63"/>
      <c r="CD212" s="63"/>
      <c r="CE212" s="50"/>
    </row>
    <row r="213" spans="2:83" x14ac:dyDescent="0.3">
      <c r="B213" s="46">
        <v>0</v>
      </c>
      <c r="C213" s="47"/>
      <c r="D213" s="48"/>
      <c r="E213" s="49"/>
      <c r="F213" s="50"/>
      <c r="G213" s="51" t="e">
        <v>#DIV/0!</v>
      </c>
      <c r="H213" s="52" t="e">
        <v>#DIV/0!</v>
      </c>
      <c r="I213" s="53"/>
      <c r="J213" s="54"/>
      <c r="K213" s="54"/>
      <c r="L213" s="55"/>
      <c r="M213" s="56"/>
      <c r="N213" s="57">
        <v>0</v>
      </c>
      <c r="O213" s="58"/>
      <c r="P213" s="59"/>
      <c r="Q213" s="81"/>
      <c r="R213" s="82"/>
      <c r="S213" s="48"/>
      <c r="T213" s="50"/>
      <c r="U213" s="62"/>
      <c r="V213" s="63"/>
      <c r="W213" s="50"/>
      <c r="X213" s="48"/>
      <c r="Y213" s="63"/>
      <c r="Z213" s="63"/>
      <c r="AA213" s="64"/>
      <c r="AB213" s="65"/>
      <c r="AC213" s="66"/>
      <c r="AD213" s="67"/>
      <c r="AE213" s="68"/>
      <c r="AF213" s="48"/>
      <c r="AG213" s="63"/>
      <c r="AH213" s="63"/>
      <c r="AI213" s="63"/>
      <c r="AJ213" s="63"/>
      <c r="AK213" s="63"/>
      <c r="AL213" s="63"/>
      <c r="AM213" s="63"/>
      <c r="AN213" s="63"/>
      <c r="AO213" s="63"/>
      <c r="AP213" s="63"/>
      <c r="AQ213" s="63"/>
      <c r="AR213" s="63"/>
      <c r="AS213" s="63"/>
      <c r="AT213" s="63"/>
      <c r="AU213" s="63"/>
      <c r="AV213" s="63"/>
      <c r="AW213" s="50"/>
      <c r="AX213" s="69"/>
      <c r="AY213" s="69"/>
      <c r="AZ213" s="54"/>
      <c r="BA213" s="54"/>
      <c r="BB213" s="54"/>
      <c r="BC213" s="54"/>
      <c r="BD213" s="54"/>
      <c r="BE213" s="70"/>
      <c r="BF213" s="63"/>
      <c r="BG213" s="71">
        <v>0</v>
      </c>
      <c r="BH213" s="67"/>
      <c r="BI213" s="68"/>
      <c r="BJ213" s="72">
        <v>0</v>
      </c>
      <c r="BK213" s="62"/>
      <c r="BL213" s="70"/>
      <c r="BM213" s="70"/>
      <c r="BN213" s="70"/>
      <c r="BO213" s="70"/>
      <c r="BP213" s="73"/>
      <c r="BQ213" s="48"/>
      <c r="BR213" s="63"/>
      <c r="BS213" s="50"/>
      <c r="BT213" s="76" t="e">
        <v>#DIV/0!</v>
      </c>
      <c r="BU213" s="77" t="e">
        <v>#DIV/0!</v>
      </c>
      <c r="BV213" s="78">
        <v>0</v>
      </c>
      <c r="BW213" s="79">
        <v>0</v>
      </c>
      <c r="BX213" s="62"/>
      <c r="BY213" s="63"/>
      <c r="BZ213" s="63"/>
      <c r="CA213" s="63"/>
      <c r="CB213" s="63"/>
      <c r="CC213" s="63"/>
      <c r="CD213" s="63"/>
      <c r="CE213" s="50"/>
    </row>
    <row r="214" spans="2:83" x14ac:dyDescent="0.3">
      <c r="B214" s="46">
        <v>0</v>
      </c>
      <c r="C214" s="47"/>
      <c r="D214" s="48"/>
      <c r="E214" s="49"/>
      <c r="F214" s="50"/>
      <c r="G214" s="51" t="e">
        <v>#DIV/0!</v>
      </c>
      <c r="H214" s="52" t="e">
        <v>#DIV/0!</v>
      </c>
      <c r="I214" s="53"/>
      <c r="J214" s="54"/>
      <c r="K214" s="54"/>
      <c r="L214" s="55"/>
      <c r="M214" s="56"/>
      <c r="N214" s="57">
        <v>0</v>
      </c>
      <c r="O214" s="58"/>
      <c r="P214" s="59"/>
      <c r="Q214" s="81"/>
      <c r="R214" s="82"/>
      <c r="S214" s="48"/>
      <c r="T214" s="50"/>
      <c r="U214" s="62"/>
      <c r="V214" s="63"/>
      <c r="W214" s="50"/>
      <c r="X214" s="48"/>
      <c r="Y214" s="63"/>
      <c r="Z214" s="63"/>
      <c r="AA214" s="64"/>
      <c r="AB214" s="65"/>
      <c r="AC214" s="66"/>
      <c r="AD214" s="67"/>
      <c r="AE214" s="68"/>
      <c r="AF214" s="48"/>
      <c r="AG214" s="63"/>
      <c r="AH214" s="63"/>
      <c r="AI214" s="63"/>
      <c r="AJ214" s="63"/>
      <c r="AK214" s="63"/>
      <c r="AL214" s="63"/>
      <c r="AM214" s="63"/>
      <c r="AN214" s="63"/>
      <c r="AO214" s="63"/>
      <c r="AP214" s="63"/>
      <c r="AQ214" s="63"/>
      <c r="AR214" s="63"/>
      <c r="AS214" s="63"/>
      <c r="AT214" s="63"/>
      <c r="AU214" s="63"/>
      <c r="AV214" s="63"/>
      <c r="AW214" s="50"/>
      <c r="AX214" s="69"/>
      <c r="AY214" s="69"/>
      <c r="AZ214" s="54"/>
      <c r="BA214" s="54"/>
      <c r="BB214" s="54"/>
      <c r="BC214" s="54"/>
      <c r="BD214" s="54"/>
      <c r="BE214" s="70"/>
      <c r="BF214" s="63"/>
      <c r="BG214" s="71">
        <v>0</v>
      </c>
      <c r="BH214" s="67"/>
      <c r="BI214" s="68"/>
      <c r="BJ214" s="72">
        <v>0</v>
      </c>
      <c r="BK214" s="62"/>
      <c r="BL214" s="70"/>
      <c r="BM214" s="70"/>
      <c r="BN214" s="70"/>
      <c r="BO214" s="70"/>
      <c r="BP214" s="73"/>
      <c r="BQ214" s="48"/>
      <c r="BR214" s="63"/>
      <c r="BS214" s="50"/>
      <c r="BT214" s="76" t="e">
        <v>#DIV/0!</v>
      </c>
      <c r="BU214" s="77" t="e">
        <v>#DIV/0!</v>
      </c>
      <c r="BV214" s="78">
        <v>0</v>
      </c>
      <c r="BW214" s="79">
        <v>0</v>
      </c>
      <c r="BX214" s="62"/>
      <c r="BY214" s="63"/>
      <c r="BZ214" s="63"/>
      <c r="CA214" s="63"/>
      <c r="CB214" s="63"/>
      <c r="CC214" s="63"/>
      <c r="CD214" s="63"/>
      <c r="CE214" s="50"/>
    </row>
    <row r="215" spans="2:83" x14ac:dyDescent="0.3">
      <c r="B215" s="46">
        <v>0</v>
      </c>
      <c r="C215" s="47"/>
      <c r="D215" s="48"/>
      <c r="E215" s="49"/>
      <c r="F215" s="50"/>
      <c r="G215" s="51" t="e">
        <v>#DIV/0!</v>
      </c>
      <c r="H215" s="52" t="e">
        <v>#DIV/0!</v>
      </c>
      <c r="I215" s="53"/>
      <c r="J215" s="54"/>
      <c r="K215" s="54"/>
      <c r="L215" s="55"/>
      <c r="M215" s="56"/>
      <c r="N215" s="57">
        <v>0</v>
      </c>
      <c r="O215" s="58"/>
      <c r="P215" s="59"/>
      <c r="Q215" s="81"/>
      <c r="R215" s="82"/>
      <c r="S215" s="48"/>
      <c r="T215" s="50"/>
      <c r="U215" s="62"/>
      <c r="V215" s="63"/>
      <c r="W215" s="50"/>
      <c r="X215" s="48"/>
      <c r="Y215" s="63"/>
      <c r="Z215" s="63"/>
      <c r="AA215" s="64"/>
      <c r="AB215" s="65"/>
      <c r="AC215" s="66"/>
      <c r="AD215" s="67"/>
      <c r="AE215" s="68"/>
      <c r="AF215" s="48"/>
      <c r="AG215" s="63"/>
      <c r="AH215" s="63"/>
      <c r="AI215" s="63"/>
      <c r="AJ215" s="63"/>
      <c r="AK215" s="63"/>
      <c r="AL215" s="63"/>
      <c r="AM215" s="63"/>
      <c r="AN215" s="63"/>
      <c r="AO215" s="63"/>
      <c r="AP215" s="63"/>
      <c r="AQ215" s="63"/>
      <c r="AR215" s="63"/>
      <c r="AS215" s="63"/>
      <c r="AT215" s="63"/>
      <c r="AU215" s="63"/>
      <c r="AV215" s="63"/>
      <c r="AW215" s="50"/>
      <c r="AX215" s="69"/>
      <c r="AY215" s="69"/>
      <c r="AZ215" s="54"/>
      <c r="BA215" s="54"/>
      <c r="BB215" s="54"/>
      <c r="BC215" s="54"/>
      <c r="BD215" s="54"/>
      <c r="BE215" s="70"/>
      <c r="BF215" s="63"/>
      <c r="BG215" s="71">
        <v>0</v>
      </c>
      <c r="BH215" s="67"/>
      <c r="BI215" s="68"/>
      <c r="BJ215" s="72">
        <v>0</v>
      </c>
      <c r="BK215" s="62"/>
      <c r="BL215" s="70"/>
      <c r="BM215" s="70"/>
      <c r="BN215" s="70"/>
      <c r="BO215" s="70"/>
      <c r="BP215" s="73"/>
      <c r="BQ215" s="48"/>
      <c r="BR215" s="63"/>
      <c r="BS215" s="50"/>
      <c r="BT215" s="76" t="e">
        <v>#DIV/0!</v>
      </c>
      <c r="BU215" s="77" t="e">
        <v>#DIV/0!</v>
      </c>
      <c r="BV215" s="78">
        <v>0</v>
      </c>
      <c r="BW215" s="79">
        <v>0</v>
      </c>
      <c r="BX215" s="62"/>
      <c r="BY215" s="63"/>
      <c r="BZ215" s="63"/>
      <c r="CA215" s="63"/>
      <c r="CB215" s="63"/>
      <c r="CC215" s="63"/>
      <c r="CD215" s="63"/>
      <c r="CE215" s="50"/>
    </row>
    <row r="216" spans="2:83" x14ac:dyDescent="0.3">
      <c r="B216" s="46">
        <v>0</v>
      </c>
      <c r="C216" s="47"/>
      <c r="D216" s="48"/>
      <c r="E216" s="49"/>
      <c r="F216" s="50"/>
      <c r="G216" s="51" t="e">
        <v>#DIV/0!</v>
      </c>
      <c r="H216" s="52" t="e">
        <v>#DIV/0!</v>
      </c>
      <c r="I216" s="53"/>
      <c r="J216" s="54"/>
      <c r="K216" s="54"/>
      <c r="L216" s="55"/>
      <c r="M216" s="56"/>
      <c r="N216" s="57">
        <v>0</v>
      </c>
      <c r="O216" s="58"/>
      <c r="P216" s="59"/>
      <c r="Q216" s="81"/>
      <c r="R216" s="82"/>
      <c r="S216" s="48"/>
      <c r="T216" s="50"/>
      <c r="U216" s="62"/>
      <c r="V216" s="63"/>
      <c r="W216" s="50"/>
      <c r="X216" s="48"/>
      <c r="Y216" s="63"/>
      <c r="Z216" s="63"/>
      <c r="AA216" s="64"/>
      <c r="AB216" s="65"/>
      <c r="AC216" s="66"/>
      <c r="AD216" s="67"/>
      <c r="AE216" s="68"/>
      <c r="AF216" s="48"/>
      <c r="AG216" s="63"/>
      <c r="AH216" s="63"/>
      <c r="AI216" s="63"/>
      <c r="AJ216" s="63"/>
      <c r="AK216" s="63"/>
      <c r="AL216" s="63"/>
      <c r="AM216" s="63"/>
      <c r="AN216" s="63"/>
      <c r="AO216" s="63"/>
      <c r="AP216" s="63"/>
      <c r="AQ216" s="63"/>
      <c r="AR216" s="63"/>
      <c r="AS216" s="63"/>
      <c r="AT216" s="63"/>
      <c r="AU216" s="63"/>
      <c r="AV216" s="63"/>
      <c r="AW216" s="50"/>
      <c r="AX216" s="69"/>
      <c r="AY216" s="69"/>
      <c r="AZ216" s="54"/>
      <c r="BA216" s="54"/>
      <c r="BB216" s="54"/>
      <c r="BC216" s="54"/>
      <c r="BD216" s="54"/>
      <c r="BE216" s="70"/>
      <c r="BF216" s="63"/>
      <c r="BG216" s="71">
        <v>0</v>
      </c>
      <c r="BH216" s="67"/>
      <c r="BI216" s="68"/>
      <c r="BJ216" s="72">
        <v>0</v>
      </c>
      <c r="BK216" s="62"/>
      <c r="BL216" s="70"/>
      <c r="BM216" s="70"/>
      <c r="BN216" s="70"/>
      <c r="BO216" s="70"/>
      <c r="BP216" s="73"/>
      <c r="BQ216" s="48"/>
      <c r="BR216" s="63"/>
      <c r="BS216" s="50"/>
      <c r="BT216" s="76" t="e">
        <v>#DIV/0!</v>
      </c>
      <c r="BU216" s="77" t="e">
        <v>#DIV/0!</v>
      </c>
      <c r="BV216" s="78">
        <v>0</v>
      </c>
      <c r="BW216" s="79">
        <v>0</v>
      </c>
      <c r="BX216" s="62"/>
      <c r="BY216" s="63"/>
      <c r="BZ216" s="63"/>
      <c r="CA216" s="63"/>
      <c r="CB216" s="63"/>
      <c r="CC216" s="63"/>
      <c r="CD216" s="63"/>
      <c r="CE216" s="50"/>
    </row>
    <row r="217" spans="2:83" x14ac:dyDescent="0.3">
      <c r="B217" s="46">
        <v>0</v>
      </c>
      <c r="C217" s="47"/>
      <c r="D217" s="48"/>
      <c r="E217" s="49"/>
      <c r="F217" s="50"/>
      <c r="G217" s="51" t="e">
        <v>#DIV/0!</v>
      </c>
      <c r="H217" s="52" t="e">
        <v>#DIV/0!</v>
      </c>
      <c r="I217" s="53"/>
      <c r="J217" s="54"/>
      <c r="K217" s="54"/>
      <c r="L217" s="55"/>
      <c r="M217" s="56"/>
      <c r="N217" s="57">
        <v>0</v>
      </c>
      <c r="O217" s="58"/>
      <c r="P217" s="59"/>
      <c r="Q217" s="81"/>
      <c r="R217" s="82"/>
      <c r="S217" s="48"/>
      <c r="T217" s="50"/>
      <c r="U217" s="62"/>
      <c r="V217" s="63"/>
      <c r="W217" s="50"/>
      <c r="X217" s="48"/>
      <c r="Y217" s="63"/>
      <c r="Z217" s="63"/>
      <c r="AA217" s="64"/>
      <c r="AB217" s="65"/>
      <c r="AC217" s="66"/>
      <c r="AD217" s="67"/>
      <c r="AE217" s="68"/>
      <c r="AF217" s="48"/>
      <c r="AG217" s="63"/>
      <c r="AH217" s="63"/>
      <c r="AI217" s="63"/>
      <c r="AJ217" s="63"/>
      <c r="AK217" s="63"/>
      <c r="AL217" s="63"/>
      <c r="AM217" s="63"/>
      <c r="AN217" s="63"/>
      <c r="AO217" s="63"/>
      <c r="AP217" s="63"/>
      <c r="AQ217" s="63"/>
      <c r="AR217" s="63"/>
      <c r="AS217" s="63"/>
      <c r="AT217" s="63"/>
      <c r="AU217" s="63"/>
      <c r="AV217" s="63"/>
      <c r="AW217" s="50"/>
      <c r="AX217" s="69"/>
      <c r="AY217" s="69"/>
      <c r="AZ217" s="54"/>
      <c r="BA217" s="54"/>
      <c r="BB217" s="54"/>
      <c r="BC217" s="54"/>
      <c r="BD217" s="54"/>
      <c r="BE217" s="70"/>
      <c r="BF217" s="63"/>
      <c r="BG217" s="71">
        <v>0</v>
      </c>
      <c r="BH217" s="67"/>
      <c r="BI217" s="68"/>
      <c r="BJ217" s="72">
        <v>0</v>
      </c>
      <c r="BK217" s="62"/>
      <c r="BL217" s="70"/>
      <c r="BM217" s="70"/>
      <c r="BN217" s="70"/>
      <c r="BO217" s="70"/>
      <c r="BP217" s="73"/>
      <c r="BQ217" s="48"/>
      <c r="BR217" s="63"/>
      <c r="BS217" s="50"/>
      <c r="BT217" s="76" t="e">
        <v>#DIV/0!</v>
      </c>
      <c r="BU217" s="77" t="e">
        <v>#DIV/0!</v>
      </c>
      <c r="BV217" s="78">
        <v>0</v>
      </c>
      <c r="BW217" s="79">
        <v>0</v>
      </c>
      <c r="BX217" s="62"/>
      <c r="BY217" s="63"/>
      <c r="BZ217" s="63"/>
      <c r="CA217" s="63"/>
      <c r="CB217" s="63"/>
      <c r="CC217" s="63"/>
      <c r="CD217" s="63"/>
      <c r="CE217" s="50"/>
    </row>
    <row r="218" spans="2:83" x14ac:dyDescent="0.3">
      <c r="B218" s="46">
        <v>0</v>
      </c>
      <c r="C218" s="47"/>
      <c r="D218" s="48"/>
      <c r="E218" s="49"/>
      <c r="F218" s="50"/>
      <c r="G218" s="51" t="e">
        <v>#DIV/0!</v>
      </c>
      <c r="H218" s="52" t="e">
        <v>#DIV/0!</v>
      </c>
      <c r="I218" s="53"/>
      <c r="J218" s="54"/>
      <c r="K218" s="54"/>
      <c r="L218" s="55"/>
      <c r="M218" s="56"/>
      <c r="N218" s="57">
        <v>0</v>
      </c>
      <c r="O218" s="58"/>
      <c r="P218" s="59"/>
      <c r="Q218" s="81"/>
      <c r="R218" s="82"/>
      <c r="S218" s="48"/>
      <c r="T218" s="50"/>
      <c r="U218" s="62"/>
      <c r="V218" s="63"/>
      <c r="W218" s="50"/>
      <c r="X218" s="48"/>
      <c r="Y218" s="63"/>
      <c r="Z218" s="63"/>
      <c r="AA218" s="64"/>
      <c r="AB218" s="65"/>
      <c r="AC218" s="66"/>
      <c r="AD218" s="67"/>
      <c r="AE218" s="68"/>
      <c r="AF218" s="48"/>
      <c r="AG218" s="63"/>
      <c r="AH218" s="63"/>
      <c r="AI218" s="63"/>
      <c r="AJ218" s="63"/>
      <c r="AK218" s="63"/>
      <c r="AL218" s="63"/>
      <c r="AM218" s="63"/>
      <c r="AN218" s="63"/>
      <c r="AO218" s="63"/>
      <c r="AP218" s="63"/>
      <c r="AQ218" s="63"/>
      <c r="AR218" s="63"/>
      <c r="AS218" s="63"/>
      <c r="AT218" s="63"/>
      <c r="AU218" s="63"/>
      <c r="AV218" s="63"/>
      <c r="AW218" s="50"/>
      <c r="AX218" s="69"/>
      <c r="AY218" s="69"/>
      <c r="AZ218" s="54"/>
      <c r="BA218" s="54"/>
      <c r="BB218" s="54"/>
      <c r="BC218" s="54"/>
      <c r="BD218" s="54"/>
      <c r="BE218" s="70"/>
      <c r="BF218" s="63"/>
      <c r="BG218" s="71">
        <v>0</v>
      </c>
      <c r="BH218" s="67"/>
      <c r="BI218" s="68"/>
      <c r="BJ218" s="72">
        <v>0</v>
      </c>
      <c r="BK218" s="62"/>
      <c r="BL218" s="70"/>
      <c r="BM218" s="70"/>
      <c r="BN218" s="70"/>
      <c r="BO218" s="70"/>
      <c r="BP218" s="73"/>
      <c r="BQ218" s="48"/>
      <c r="BR218" s="63"/>
      <c r="BS218" s="50"/>
      <c r="BT218" s="76" t="e">
        <v>#DIV/0!</v>
      </c>
      <c r="BU218" s="77" t="e">
        <v>#DIV/0!</v>
      </c>
      <c r="BV218" s="78">
        <v>0</v>
      </c>
      <c r="BW218" s="79">
        <v>0</v>
      </c>
      <c r="BX218" s="62"/>
      <c r="BY218" s="63"/>
      <c r="BZ218" s="63"/>
      <c r="CA218" s="63"/>
      <c r="CB218" s="63"/>
      <c r="CC218" s="63"/>
      <c r="CD218" s="63"/>
      <c r="CE218" s="50"/>
    </row>
    <row r="219" spans="2:83" x14ac:dyDescent="0.3">
      <c r="B219" s="46">
        <v>0</v>
      </c>
      <c r="C219" s="47"/>
      <c r="D219" s="48"/>
      <c r="E219" s="49"/>
      <c r="F219" s="50"/>
      <c r="G219" s="51" t="e">
        <v>#DIV/0!</v>
      </c>
      <c r="H219" s="52" t="e">
        <v>#DIV/0!</v>
      </c>
      <c r="I219" s="53"/>
      <c r="J219" s="54"/>
      <c r="K219" s="54"/>
      <c r="L219" s="55"/>
      <c r="M219" s="56"/>
      <c r="N219" s="57">
        <v>0</v>
      </c>
      <c r="O219" s="58"/>
      <c r="P219" s="59"/>
      <c r="Q219" s="81"/>
      <c r="R219" s="82"/>
      <c r="S219" s="48"/>
      <c r="T219" s="50"/>
      <c r="U219" s="62"/>
      <c r="V219" s="63"/>
      <c r="W219" s="50"/>
      <c r="X219" s="48"/>
      <c r="Y219" s="63"/>
      <c r="Z219" s="63"/>
      <c r="AA219" s="64"/>
      <c r="AB219" s="65"/>
      <c r="AC219" s="66"/>
      <c r="AD219" s="67"/>
      <c r="AE219" s="68"/>
      <c r="AF219" s="48"/>
      <c r="AG219" s="63"/>
      <c r="AH219" s="63"/>
      <c r="AI219" s="63"/>
      <c r="AJ219" s="63"/>
      <c r="AK219" s="63"/>
      <c r="AL219" s="63"/>
      <c r="AM219" s="63"/>
      <c r="AN219" s="63"/>
      <c r="AO219" s="63"/>
      <c r="AP219" s="63"/>
      <c r="AQ219" s="63"/>
      <c r="AR219" s="63"/>
      <c r="AS219" s="63"/>
      <c r="AT219" s="63"/>
      <c r="AU219" s="63"/>
      <c r="AV219" s="63"/>
      <c r="AW219" s="50"/>
      <c r="AX219" s="69"/>
      <c r="AY219" s="69"/>
      <c r="AZ219" s="54"/>
      <c r="BA219" s="54"/>
      <c r="BB219" s="54"/>
      <c r="BC219" s="54"/>
      <c r="BD219" s="54"/>
      <c r="BE219" s="70"/>
      <c r="BF219" s="63"/>
      <c r="BG219" s="71">
        <v>0</v>
      </c>
      <c r="BH219" s="67"/>
      <c r="BI219" s="68"/>
      <c r="BJ219" s="72">
        <v>0</v>
      </c>
      <c r="BK219" s="62"/>
      <c r="BL219" s="70"/>
      <c r="BM219" s="70"/>
      <c r="BN219" s="70"/>
      <c r="BO219" s="70"/>
      <c r="BP219" s="73"/>
      <c r="BQ219" s="48"/>
      <c r="BR219" s="63"/>
      <c r="BS219" s="50"/>
      <c r="BT219" s="76" t="e">
        <v>#DIV/0!</v>
      </c>
      <c r="BU219" s="77" t="e">
        <v>#DIV/0!</v>
      </c>
      <c r="BV219" s="78">
        <v>0</v>
      </c>
      <c r="BW219" s="79">
        <v>0</v>
      </c>
      <c r="BX219" s="62"/>
      <c r="BY219" s="63"/>
      <c r="BZ219" s="63"/>
      <c r="CA219" s="63"/>
      <c r="CB219" s="63"/>
      <c r="CC219" s="63"/>
      <c r="CD219" s="63"/>
      <c r="CE219" s="50"/>
    </row>
    <row r="220" spans="2:83" x14ac:dyDescent="0.3">
      <c r="B220" s="46">
        <v>0</v>
      </c>
      <c r="C220" s="47"/>
      <c r="D220" s="48"/>
      <c r="E220" s="49"/>
      <c r="F220" s="50"/>
      <c r="G220" s="51" t="e">
        <v>#DIV/0!</v>
      </c>
      <c r="H220" s="52" t="e">
        <v>#DIV/0!</v>
      </c>
      <c r="I220" s="53"/>
      <c r="J220" s="54"/>
      <c r="K220" s="54"/>
      <c r="L220" s="55"/>
      <c r="M220" s="56"/>
      <c r="N220" s="57">
        <v>0</v>
      </c>
      <c r="O220" s="58"/>
      <c r="P220" s="59"/>
      <c r="Q220" s="81"/>
      <c r="R220" s="82"/>
      <c r="S220" s="48"/>
      <c r="T220" s="50"/>
      <c r="U220" s="62"/>
      <c r="V220" s="63"/>
      <c r="W220" s="50"/>
      <c r="X220" s="48"/>
      <c r="Y220" s="63"/>
      <c r="Z220" s="63"/>
      <c r="AA220" s="64"/>
      <c r="AB220" s="65"/>
      <c r="AC220" s="66"/>
      <c r="AD220" s="67"/>
      <c r="AE220" s="68"/>
      <c r="AF220" s="48"/>
      <c r="AG220" s="63"/>
      <c r="AH220" s="63"/>
      <c r="AI220" s="63"/>
      <c r="AJ220" s="63"/>
      <c r="AK220" s="63"/>
      <c r="AL220" s="63"/>
      <c r="AM220" s="63"/>
      <c r="AN220" s="63"/>
      <c r="AO220" s="63"/>
      <c r="AP220" s="63"/>
      <c r="AQ220" s="63"/>
      <c r="AR220" s="63"/>
      <c r="AS220" s="63"/>
      <c r="AT220" s="63"/>
      <c r="AU220" s="63"/>
      <c r="AV220" s="63"/>
      <c r="AW220" s="50"/>
      <c r="AX220" s="69"/>
      <c r="AY220" s="69"/>
      <c r="AZ220" s="54"/>
      <c r="BA220" s="54"/>
      <c r="BB220" s="54"/>
      <c r="BC220" s="54"/>
      <c r="BD220" s="54"/>
      <c r="BE220" s="70"/>
      <c r="BF220" s="63"/>
      <c r="BG220" s="71">
        <v>0</v>
      </c>
      <c r="BH220" s="67"/>
      <c r="BI220" s="68"/>
      <c r="BJ220" s="72">
        <v>0</v>
      </c>
      <c r="BK220" s="62"/>
      <c r="BL220" s="70"/>
      <c r="BM220" s="70"/>
      <c r="BN220" s="70"/>
      <c r="BO220" s="70"/>
      <c r="BP220" s="73"/>
      <c r="BQ220" s="48"/>
      <c r="BR220" s="63"/>
      <c r="BS220" s="50"/>
      <c r="BT220" s="76" t="e">
        <v>#DIV/0!</v>
      </c>
      <c r="BU220" s="77" t="e">
        <v>#DIV/0!</v>
      </c>
      <c r="BV220" s="78">
        <v>0</v>
      </c>
      <c r="BW220" s="79">
        <v>0</v>
      </c>
      <c r="BX220" s="62"/>
      <c r="BY220" s="63"/>
      <c r="BZ220" s="63"/>
      <c r="CA220" s="63"/>
      <c r="CB220" s="63"/>
      <c r="CC220" s="63"/>
      <c r="CD220" s="63"/>
      <c r="CE220" s="50"/>
    </row>
    <row r="221" spans="2:83" x14ac:dyDescent="0.3">
      <c r="B221" s="46">
        <v>0</v>
      </c>
      <c r="C221" s="47"/>
      <c r="D221" s="48"/>
      <c r="E221" s="49"/>
      <c r="F221" s="50"/>
      <c r="G221" s="51" t="e">
        <v>#DIV/0!</v>
      </c>
      <c r="H221" s="52" t="e">
        <v>#DIV/0!</v>
      </c>
      <c r="I221" s="53"/>
      <c r="J221" s="54"/>
      <c r="K221" s="54"/>
      <c r="L221" s="55"/>
      <c r="M221" s="56"/>
      <c r="N221" s="57">
        <v>0</v>
      </c>
      <c r="O221" s="58"/>
      <c r="P221" s="59"/>
      <c r="Q221" s="81"/>
      <c r="R221" s="82"/>
      <c r="S221" s="48"/>
      <c r="T221" s="50"/>
      <c r="U221" s="62"/>
      <c r="V221" s="63"/>
      <c r="W221" s="50"/>
      <c r="X221" s="48"/>
      <c r="Y221" s="63"/>
      <c r="Z221" s="63"/>
      <c r="AA221" s="64"/>
      <c r="AB221" s="65"/>
      <c r="AC221" s="66"/>
      <c r="AD221" s="67"/>
      <c r="AE221" s="68"/>
      <c r="AF221" s="48"/>
      <c r="AG221" s="63"/>
      <c r="AH221" s="63"/>
      <c r="AI221" s="63"/>
      <c r="AJ221" s="63"/>
      <c r="AK221" s="63"/>
      <c r="AL221" s="63"/>
      <c r="AM221" s="63"/>
      <c r="AN221" s="63"/>
      <c r="AO221" s="63"/>
      <c r="AP221" s="63"/>
      <c r="AQ221" s="63"/>
      <c r="AR221" s="63"/>
      <c r="AS221" s="63"/>
      <c r="AT221" s="63"/>
      <c r="AU221" s="63"/>
      <c r="AV221" s="63"/>
      <c r="AW221" s="50"/>
      <c r="AX221" s="69"/>
      <c r="AY221" s="69"/>
      <c r="AZ221" s="54"/>
      <c r="BA221" s="54"/>
      <c r="BB221" s="54"/>
      <c r="BC221" s="54"/>
      <c r="BD221" s="54"/>
      <c r="BE221" s="70"/>
      <c r="BF221" s="63"/>
      <c r="BG221" s="71">
        <v>0</v>
      </c>
      <c r="BH221" s="67"/>
      <c r="BI221" s="68"/>
      <c r="BJ221" s="72">
        <v>0</v>
      </c>
      <c r="BK221" s="62"/>
      <c r="BL221" s="70"/>
      <c r="BM221" s="70"/>
      <c r="BN221" s="70"/>
      <c r="BO221" s="70"/>
      <c r="BP221" s="73"/>
      <c r="BQ221" s="48"/>
      <c r="BR221" s="63"/>
      <c r="BS221" s="50"/>
      <c r="BT221" s="76" t="e">
        <v>#DIV/0!</v>
      </c>
      <c r="BU221" s="77" t="e">
        <v>#DIV/0!</v>
      </c>
      <c r="BV221" s="78">
        <v>0</v>
      </c>
      <c r="BW221" s="79">
        <v>0</v>
      </c>
      <c r="BX221" s="62"/>
      <c r="BY221" s="63"/>
      <c r="BZ221" s="63"/>
      <c r="CA221" s="63"/>
      <c r="CB221" s="63"/>
      <c r="CC221" s="63"/>
      <c r="CD221" s="63"/>
      <c r="CE221" s="50"/>
    </row>
    <row r="222" spans="2:83" x14ac:dyDescent="0.3">
      <c r="B222" s="46">
        <v>0</v>
      </c>
      <c r="C222" s="47"/>
      <c r="D222" s="48"/>
      <c r="E222" s="49"/>
      <c r="F222" s="50"/>
      <c r="G222" s="51" t="e">
        <v>#DIV/0!</v>
      </c>
      <c r="H222" s="52" t="e">
        <v>#DIV/0!</v>
      </c>
      <c r="I222" s="53"/>
      <c r="J222" s="54"/>
      <c r="K222" s="54"/>
      <c r="L222" s="55"/>
      <c r="M222" s="56"/>
      <c r="N222" s="57">
        <v>0</v>
      </c>
      <c r="O222" s="58"/>
      <c r="P222" s="59"/>
      <c r="Q222" s="81"/>
      <c r="R222" s="82"/>
      <c r="S222" s="48"/>
      <c r="T222" s="50"/>
      <c r="U222" s="62"/>
      <c r="V222" s="63"/>
      <c r="W222" s="50"/>
      <c r="X222" s="48"/>
      <c r="Y222" s="63"/>
      <c r="Z222" s="63"/>
      <c r="AA222" s="64"/>
      <c r="AB222" s="65"/>
      <c r="AC222" s="66"/>
      <c r="AD222" s="67"/>
      <c r="AE222" s="68"/>
      <c r="AF222" s="48"/>
      <c r="AG222" s="63"/>
      <c r="AH222" s="63"/>
      <c r="AI222" s="63"/>
      <c r="AJ222" s="63"/>
      <c r="AK222" s="63"/>
      <c r="AL222" s="63"/>
      <c r="AM222" s="63"/>
      <c r="AN222" s="63"/>
      <c r="AO222" s="63"/>
      <c r="AP222" s="63"/>
      <c r="AQ222" s="63"/>
      <c r="AR222" s="63"/>
      <c r="AS222" s="63"/>
      <c r="AT222" s="63"/>
      <c r="AU222" s="63"/>
      <c r="AV222" s="63"/>
      <c r="AW222" s="50"/>
      <c r="AX222" s="69"/>
      <c r="AY222" s="69"/>
      <c r="AZ222" s="54"/>
      <c r="BA222" s="54"/>
      <c r="BB222" s="54"/>
      <c r="BC222" s="54"/>
      <c r="BD222" s="54"/>
      <c r="BE222" s="70"/>
      <c r="BF222" s="63"/>
      <c r="BG222" s="71">
        <v>0</v>
      </c>
      <c r="BH222" s="67"/>
      <c r="BI222" s="68"/>
      <c r="BJ222" s="72">
        <v>0</v>
      </c>
      <c r="BK222" s="62"/>
      <c r="BL222" s="70"/>
      <c r="BM222" s="70"/>
      <c r="BN222" s="70"/>
      <c r="BO222" s="70"/>
      <c r="BP222" s="73"/>
      <c r="BQ222" s="48"/>
      <c r="BR222" s="63"/>
      <c r="BS222" s="50"/>
      <c r="BT222" s="76" t="e">
        <v>#DIV/0!</v>
      </c>
      <c r="BU222" s="77" t="e">
        <v>#DIV/0!</v>
      </c>
      <c r="BV222" s="78">
        <v>0</v>
      </c>
      <c r="BW222" s="79">
        <v>0</v>
      </c>
      <c r="BX222" s="62"/>
      <c r="BY222" s="63"/>
      <c r="BZ222" s="63"/>
      <c r="CA222" s="63"/>
      <c r="CB222" s="63"/>
      <c r="CC222" s="63"/>
      <c r="CD222" s="63"/>
      <c r="CE222" s="50"/>
    </row>
    <row r="223" spans="2:83" x14ac:dyDescent="0.3">
      <c r="B223" s="46">
        <v>0</v>
      </c>
      <c r="C223" s="47"/>
      <c r="D223" s="48"/>
      <c r="E223" s="49"/>
      <c r="F223" s="50"/>
      <c r="G223" s="51" t="e">
        <v>#DIV/0!</v>
      </c>
      <c r="H223" s="52" t="e">
        <v>#DIV/0!</v>
      </c>
      <c r="I223" s="53"/>
      <c r="J223" s="54"/>
      <c r="K223" s="54"/>
      <c r="L223" s="55"/>
      <c r="M223" s="56"/>
      <c r="N223" s="57">
        <v>0</v>
      </c>
      <c r="O223" s="58"/>
      <c r="P223" s="59"/>
      <c r="Q223" s="81"/>
      <c r="R223" s="82"/>
      <c r="S223" s="48"/>
      <c r="T223" s="50"/>
      <c r="U223" s="62"/>
      <c r="V223" s="63"/>
      <c r="W223" s="50"/>
      <c r="X223" s="48"/>
      <c r="Y223" s="63"/>
      <c r="Z223" s="63"/>
      <c r="AA223" s="64"/>
      <c r="AB223" s="65"/>
      <c r="AC223" s="66"/>
      <c r="AD223" s="67"/>
      <c r="AE223" s="68"/>
      <c r="AF223" s="48"/>
      <c r="AG223" s="63"/>
      <c r="AH223" s="63"/>
      <c r="AI223" s="63"/>
      <c r="AJ223" s="63"/>
      <c r="AK223" s="63"/>
      <c r="AL223" s="63"/>
      <c r="AM223" s="63"/>
      <c r="AN223" s="63"/>
      <c r="AO223" s="63"/>
      <c r="AP223" s="63"/>
      <c r="AQ223" s="63"/>
      <c r="AR223" s="63"/>
      <c r="AS223" s="63"/>
      <c r="AT223" s="63"/>
      <c r="AU223" s="63"/>
      <c r="AV223" s="63"/>
      <c r="AW223" s="50"/>
      <c r="AX223" s="69"/>
      <c r="AY223" s="69"/>
      <c r="AZ223" s="54"/>
      <c r="BA223" s="54"/>
      <c r="BB223" s="54"/>
      <c r="BC223" s="54"/>
      <c r="BD223" s="54"/>
      <c r="BE223" s="70"/>
      <c r="BF223" s="63"/>
      <c r="BG223" s="71">
        <v>0</v>
      </c>
      <c r="BH223" s="67"/>
      <c r="BI223" s="68"/>
      <c r="BJ223" s="72">
        <v>0</v>
      </c>
      <c r="BK223" s="62"/>
      <c r="BL223" s="70"/>
      <c r="BM223" s="70"/>
      <c r="BN223" s="70"/>
      <c r="BO223" s="70"/>
      <c r="BP223" s="73"/>
      <c r="BQ223" s="48"/>
      <c r="BR223" s="63"/>
      <c r="BS223" s="50"/>
      <c r="BT223" s="76" t="e">
        <v>#DIV/0!</v>
      </c>
      <c r="BU223" s="77" t="e">
        <v>#DIV/0!</v>
      </c>
      <c r="BV223" s="78">
        <v>0</v>
      </c>
      <c r="BW223" s="79">
        <v>0</v>
      </c>
      <c r="BX223" s="62"/>
      <c r="BY223" s="63"/>
      <c r="BZ223" s="63"/>
      <c r="CA223" s="63"/>
      <c r="CB223" s="63"/>
      <c r="CC223" s="63"/>
      <c r="CD223" s="63"/>
      <c r="CE223" s="50"/>
    </row>
    <row r="224" spans="2:83" x14ac:dyDescent="0.3">
      <c r="B224" s="46">
        <v>0</v>
      </c>
      <c r="C224" s="47"/>
      <c r="D224" s="48"/>
      <c r="E224" s="49"/>
      <c r="F224" s="50"/>
      <c r="G224" s="51" t="e">
        <v>#DIV/0!</v>
      </c>
      <c r="H224" s="52" t="e">
        <v>#DIV/0!</v>
      </c>
      <c r="I224" s="53"/>
      <c r="J224" s="54"/>
      <c r="K224" s="54"/>
      <c r="L224" s="55"/>
      <c r="M224" s="56"/>
      <c r="N224" s="57">
        <v>0</v>
      </c>
      <c r="O224" s="58"/>
      <c r="P224" s="59"/>
      <c r="Q224" s="81"/>
      <c r="R224" s="82"/>
      <c r="S224" s="48"/>
      <c r="T224" s="50"/>
      <c r="U224" s="62"/>
      <c r="V224" s="63"/>
      <c r="W224" s="50"/>
      <c r="X224" s="48"/>
      <c r="Y224" s="63"/>
      <c r="Z224" s="63"/>
      <c r="AA224" s="64"/>
      <c r="AB224" s="65"/>
      <c r="AC224" s="66"/>
      <c r="AD224" s="67"/>
      <c r="AE224" s="68"/>
      <c r="AF224" s="48"/>
      <c r="AG224" s="63"/>
      <c r="AH224" s="63"/>
      <c r="AI224" s="63"/>
      <c r="AJ224" s="63"/>
      <c r="AK224" s="63"/>
      <c r="AL224" s="63"/>
      <c r="AM224" s="63"/>
      <c r="AN224" s="63"/>
      <c r="AO224" s="63"/>
      <c r="AP224" s="63"/>
      <c r="AQ224" s="63"/>
      <c r="AR224" s="63"/>
      <c r="AS224" s="63"/>
      <c r="AT224" s="63"/>
      <c r="AU224" s="63"/>
      <c r="AV224" s="63"/>
      <c r="AW224" s="50"/>
      <c r="AX224" s="69"/>
      <c r="AY224" s="69"/>
      <c r="AZ224" s="54"/>
      <c r="BA224" s="54"/>
      <c r="BB224" s="54"/>
      <c r="BC224" s="54"/>
      <c r="BD224" s="54"/>
      <c r="BE224" s="70"/>
      <c r="BF224" s="63"/>
      <c r="BG224" s="71">
        <v>0</v>
      </c>
      <c r="BH224" s="67"/>
      <c r="BI224" s="68"/>
      <c r="BJ224" s="72">
        <v>0</v>
      </c>
      <c r="BK224" s="62"/>
      <c r="BL224" s="70"/>
      <c r="BM224" s="70"/>
      <c r="BN224" s="70"/>
      <c r="BO224" s="70"/>
      <c r="BP224" s="73"/>
      <c r="BQ224" s="48"/>
      <c r="BR224" s="63"/>
      <c r="BS224" s="50"/>
      <c r="BT224" s="76" t="e">
        <v>#DIV/0!</v>
      </c>
      <c r="BU224" s="77" t="e">
        <v>#DIV/0!</v>
      </c>
      <c r="BV224" s="78">
        <v>0</v>
      </c>
      <c r="BW224" s="79">
        <v>0</v>
      </c>
      <c r="BX224" s="62"/>
      <c r="BY224" s="63"/>
      <c r="BZ224" s="63"/>
      <c r="CA224" s="63"/>
      <c r="CB224" s="63"/>
      <c r="CC224" s="63"/>
      <c r="CD224" s="63"/>
      <c r="CE224" s="50"/>
    </row>
    <row r="225" spans="2:83" x14ac:dyDescent="0.3">
      <c r="B225" s="46">
        <v>0</v>
      </c>
      <c r="C225" s="47"/>
      <c r="D225" s="48"/>
      <c r="E225" s="49"/>
      <c r="F225" s="50"/>
      <c r="G225" s="51" t="e">
        <v>#DIV/0!</v>
      </c>
      <c r="H225" s="52" t="e">
        <v>#DIV/0!</v>
      </c>
      <c r="I225" s="53"/>
      <c r="J225" s="54"/>
      <c r="K225" s="54"/>
      <c r="L225" s="55"/>
      <c r="M225" s="56"/>
      <c r="N225" s="57">
        <v>0</v>
      </c>
      <c r="O225" s="58"/>
      <c r="P225" s="59"/>
      <c r="Q225" s="81"/>
      <c r="R225" s="82"/>
      <c r="S225" s="48"/>
      <c r="T225" s="50"/>
      <c r="U225" s="62"/>
      <c r="V225" s="63"/>
      <c r="W225" s="50"/>
      <c r="X225" s="48"/>
      <c r="Y225" s="63"/>
      <c r="Z225" s="63"/>
      <c r="AA225" s="64"/>
      <c r="AB225" s="65"/>
      <c r="AC225" s="66"/>
      <c r="AD225" s="67"/>
      <c r="AE225" s="68"/>
      <c r="AF225" s="48"/>
      <c r="AG225" s="63"/>
      <c r="AH225" s="63"/>
      <c r="AI225" s="63"/>
      <c r="AJ225" s="63"/>
      <c r="AK225" s="63"/>
      <c r="AL225" s="63"/>
      <c r="AM225" s="63"/>
      <c r="AN225" s="63"/>
      <c r="AO225" s="63"/>
      <c r="AP225" s="63"/>
      <c r="AQ225" s="63"/>
      <c r="AR225" s="63"/>
      <c r="AS225" s="63"/>
      <c r="AT225" s="63"/>
      <c r="AU225" s="63"/>
      <c r="AV225" s="63"/>
      <c r="AW225" s="50"/>
      <c r="AX225" s="69"/>
      <c r="AY225" s="69"/>
      <c r="AZ225" s="54"/>
      <c r="BA225" s="54"/>
      <c r="BB225" s="54"/>
      <c r="BC225" s="54"/>
      <c r="BD225" s="54"/>
      <c r="BE225" s="70"/>
      <c r="BF225" s="63"/>
      <c r="BG225" s="71">
        <v>0</v>
      </c>
      <c r="BH225" s="67"/>
      <c r="BI225" s="68"/>
      <c r="BJ225" s="72">
        <v>0</v>
      </c>
      <c r="BK225" s="62"/>
      <c r="BL225" s="70"/>
      <c r="BM225" s="70"/>
      <c r="BN225" s="70"/>
      <c r="BO225" s="70"/>
      <c r="BP225" s="73"/>
      <c r="BQ225" s="48"/>
      <c r="BR225" s="63"/>
      <c r="BS225" s="50"/>
      <c r="BT225" s="76" t="e">
        <v>#DIV/0!</v>
      </c>
      <c r="BU225" s="77" t="e">
        <v>#DIV/0!</v>
      </c>
      <c r="BV225" s="78">
        <v>0</v>
      </c>
      <c r="BW225" s="79">
        <v>0</v>
      </c>
      <c r="BX225" s="62"/>
      <c r="BY225" s="63"/>
      <c r="BZ225" s="63"/>
      <c r="CA225" s="63"/>
      <c r="CB225" s="63"/>
      <c r="CC225" s="63"/>
      <c r="CD225" s="63"/>
      <c r="CE225" s="50"/>
    </row>
    <row r="226" spans="2:83" x14ac:dyDescent="0.3">
      <c r="B226" s="46">
        <v>0</v>
      </c>
      <c r="C226" s="47"/>
      <c r="D226" s="48"/>
      <c r="E226" s="49"/>
      <c r="F226" s="50"/>
      <c r="G226" s="51" t="e">
        <v>#DIV/0!</v>
      </c>
      <c r="H226" s="52" t="e">
        <v>#DIV/0!</v>
      </c>
      <c r="I226" s="53"/>
      <c r="J226" s="54"/>
      <c r="K226" s="54"/>
      <c r="L226" s="55"/>
      <c r="M226" s="56"/>
      <c r="N226" s="57">
        <v>0</v>
      </c>
      <c r="O226" s="58"/>
      <c r="P226" s="59"/>
      <c r="Q226" s="81"/>
      <c r="R226" s="82"/>
      <c r="S226" s="48"/>
      <c r="T226" s="50"/>
      <c r="U226" s="62"/>
      <c r="V226" s="63"/>
      <c r="W226" s="50"/>
      <c r="X226" s="48"/>
      <c r="Y226" s="63"/>
      <c r="Z226" s="63"/>
      <c r="AA226" s="64"/>
      <c r="AB226" s="65"/>
      <c r="AC226" s="66"/>
      <c r="AD226" s="67"/>
      <c r="AE226" s="68"/>
      <c r="AF226" s="48"/>
      <c r="AG226" s="63"/>
      <c r="AH226" s="63"/>
      <c r="AI226" s="63"/>
      <c r="AJ226" s="63"/>
      <c r="AK226" s="63"/>
      <c r="AL226" s="63"/>
      <c r="AM226" s="63"/>
      <c r="AN226" s="63"/>
      <c r="AO226" s="63"/>
      <c r="AP226" s="63"/>
      <c r="AQ226" s="63"/>
      <c r="AR226" s="63"/>
      <c r="AS226" s="63"/>
      <c r="AT226" s="63"/>
      <c r="AU226" s="63"/>
      <c r="AV226" s="63"/>
      <c r="AW226" s="50"/>
      <c r="AX226" s="69"/>
      <c r="AY226" s="69"/>
      <c r="AZ226" s="54"/>
      <c r="BA226" s="54"/>
      <c r="BB226" s="54"/>
      <c r="BC226" s="54"/>
      <c r="BD226" s="54"/>
      <c r="BE226" s="70"/>
      <c r="BF226" s="63"/>
      <c r="BG226" s="71">
        <v>0</v>
      </c>
      <c r="BH226" s="67"/>
      <c r="BI226" s="68"/>
      <c r="BJ226" s="72">
        <v>0</v>
      </c>
      <c r="BK226" s="62"/>
      <c r="BL226" s="70"/>
      <c r="BM226" s="70"/>
      <c r="BN226" s="70"/>
      <c r="BO226" s="70"/>
      <c r="BP226" s="73"/>
      <c r="BQ226" s="48"/>
      <c r="BR226" s="63"/>
      <c r="BS226" s="50"/>
      <c r="BT226" s="76" t="e">
        <v>#DIV/0!</v>
      </c>
      <c r="BU226" s="77" t="e">
        <v>#DIV/0!</v>
      </c>
      <c r="BV226" s="78">
        <v>0</v>
      </c>
      <c r="BW226" s="79">
        <v>0</v>
      </c>
      <c r="BX226" s="62"/>
      <c r="BY226" s="63"/>
      <c r="BZ226" s="63"/>
      <c r="CA226" s="63"/>
      <c r="CB226" s="63"/>
      <c r="CC226" s="63"/>
      <c r="CD226" s="63"/>
      <c r="CE226" s="50"/>
    </row>
    <row r="227" spans="2:83" x14ac:dyDescent="0.3">
      <c r="B227" s="46">
        <v>0</v>
      </c>
      <c r="C227" s="47"/>
      <c r="D227" s="48"/>
      <c r="E227" s="49"/>
      <c r="F227" s="50"/>
      <c r="G227" s="51" t="e">
        <v>#DIV/0!</v>
      </c>
      <c r="H227" s="52" t="e">
        <v>#DIV/0!</v>
      </c>
      <c r="I227" s="53"/>
      <c r="J227" s="54"/>
      <c r="K227" s="54"/>
      <c r="L227" s="55"/>
      <c r="M227" s="56"/>
      <c r="N227" s="57">
        <v>0</v>
      </c>
      <c r="O227" s="58"/>
      <c r="P227" s="59"/>
      <c r="Q227" s="81"/>
      <c r="R227" s="82"/>
      <c r="S227" s="48"/>
      <c r="T227" s="50"/>
      <c r="U227" s="62"/>
      <c r="V227" s="63"/>
      <c r="W227" s="50"/>
      <c r="X227" s="48"/>
      <c r="Y227" s="63"/>
      <c r="Z227" s="63"/>
      <c r="AA227" s="64"/>
      <c r="AB227" s="65"/>
      <c r="AC227" s="66"/>
      <c r="AD227" s="67"/>
      <c r="AE227" s="68"/>
      <c r="AF227" s="48"/>
      <c r="AG227" s="63"/>
      <c r="AH227" s="63"/>
      <c r="AI227" s="63"/>
      <c r="AJ227" s="63"/>
      <c r="AK227" s="63"/>
      <c r="AL227" s="63"/>
      <c r="AM227" s="63"/>
      <c r="AN227" s="63"/>
      <c r="AO227" s="63"/>
      <c r="AP227" s="63"/>
      <c r="AQ227" s="63"/>
      <c r="AR227" s="63"/>
      <c r="AS227" s="63"/>
      <c r="AT227" s="63"/>
      <c r="AU227" s="63"/>
      <c r="AV227" s="63"/>
      <c r="AW227" s="50"/>
      <c r="AX227" s="69"/>
      <c r="AY227" s="69"/>
      <c r="AZ227" s="54"/>
      <c r="BA227" s="54"/>
      <c r="BB227" s="54"/>
      <c r="BC227" s="54"/>
      <c r="BD227" s="54"/>
      <c r="BE227" s="70"/>
      <c r="BF227" s="63"/>
      <c r="BG227" s="71">
        <v>0</v>
      </c>
      <c r="BH227" s="67"/>
      <c r="BI227" s="68"/>
      <c r="BJ227" s="72">
        <v>0</v>
      </c>
      <c r="BK227" s="62"/>
      <c r="BL227" s="70"/>
      <c r="BM227" s="70"/>
      <c r="BN227" s="70"/>
      <c r="BO227" s="70"/>
      <c r="BP227" s="73"/>
      <c r="BQ227" s="48"/>
      <c r="BR227" s="63"/>
      <c r="BS227" s="50"/>
      <c r="BT227" s="76" t="e">
        <v>#DIV/0!</v>
      </c>
      <c r="BU227" s="77" t="e">
        <v>#DIV/0!</v>
      </c>
      <c r="BV227" s="78">
        <v>0</v>
      </c>
      <c r="BW227" s="79">
        <v>0</v>
      </c>
      <c r="BX227" s="62"/>
      <c r="BY227" s="63"/>
      <c r="BZ227" s="63"/>
      <c r="CA227" s="63"/>
      <c r="CB227" s="63"/>
      <c r="CC227" s="63"/>
      <c r="CD227" s="63"/>
      <c r="CE227" s="50"/>
    </row>
    <row r="228" spans="2:83" x14ac:dyDescent="0.3">
      <c r="B228" s="46">
        <v>0</v>
      </c>
      <c r="C228" s="47"/>
      <c r="D228" s="48"/>
      <c r="E228" s="49"/>
      <c r="F228" s="50"/>
      <c r="G228" s="51" t="e">
        <v>#DIV/0!</v>
      </c>
      <c r="H228" s="52" t="e">
        <v>#DIV/0!</v>
      </c>
      <c r="I228" s="53"/>
      <c r="J228" s="54"/>
      <c r="K228" s="54"/>
      <c r="L228" s="55"/>
      <c r="M228" s="56"/>
      <c r="N228" s="57">
        <v>0</v>
      </c>
      <c r="O228" s="58"/>
      <c r="P228" s="59"/>
      <c r="Q228" s="81"/>
      <c r="R228" s="82"/>
      <c r="S228" s="48"/>
      <c r="T228" s="50"/>
      <c r="U228" s="62"/>
      <c r="V228" s="63"/>
      <c r="W228" s="50"/>
      <c r="X228" s="48"/>
      <c r="Y228" s="63"/>
      <c r="Z228" s="63"/>
      <c r="AA228" s="64"/>
      <c r="AB228" s="65"/>
      <c r="AC228" s="66"/>
      <c r="AD228" s="67"/>
      <c r="AE228" s="68"/>
      <c r="AF228" s="48"/>
      <c r="AG228" s="63"/>
      <c r="AH228" s="63"/>
      <c r="AI228" s="63"/>
      <c r="AJ228" s="63"/>
      <c r="AK228" s="63"/>
      <c r="AL228" s="63"/>
      <c r="AM228" s="63"/>
      <c r="AN228" s="63"/>
      <c r="AO228" s="63"/>
      <c r="AP228" s="63"/>
      <c r="AQ228" s="63"/>
      <c r="AR228" s="63"/>
      <c r="AS228" s="63"/>
      <c r="AT228" s="63"/>
      <c r="AU228" s="63"/>
      <c r="AV228" s="63"/>
      <c r="AW228" s="50"/>
      <c r="AX228" s="69"/>
      <c r="AY228" s="69"/>
      <c r="AZ228" s="54"/>
      <c r="BA228" s="54"/>
      <c r="BB228" s="54"/>
      <c r="BC228" s="54"/>
      <c r="BD228" s="54"/>
      <c r="BE228" s="70"/>
      <c r="BF228" s="63"/>
      <c r="BG228" s="71">
        <v>0</v>
      </c>
      <c r="BH228" s="67"/>
      <c r="BI228" s="68"/>
      <c r="BJ228" s="72">
        <v>0</v>
      </c>
      <c r="BK228" s="62"/>
      <c r="BL228" s="70"/>
      <c r="BM228" s="70"/>
      <c r="BN228" s="70"/>
      <c r="BO228" s="70"/>
      <c r="BP228" s="73"/>
      <c r="BQ228" s="48"/>
      <c r="BR228" s="63"/>
      <c r="BS228" s="50"/>
      <c r="BT228" s="76" t="e">
        <v>#DIV/0!</v>
      </c>
      <c r="BU228" s="77" t="e">
        <v>#DIV/0!</v>
      </c>
      <c r="BV228" s="78">
        <v>0</v>
      </c>
      <c r="BW228" s="79">
        <v>0</v>
      </c>
      <c r="BX228" s="62"/>
      <c r="BY228" s="63"/>
      <c r="BZ228" s="63"/>
      <c r="CA228" s="63"/>
      <c r="CB228" s="63"/>
      <c r="CC228" s="63"/>
      <c r="CD228" s="63"/>
      <c r="CE228" s="50"/>
    </row>
    <row r="229" spans="2:83" x14ac:dyDescent="0.3">
      <c r="B229" s="46">
        <v>0</v>
      </c>
      <c r="C229" s="47"/>
      <c r="D229" s="48"/>
      <c r="E229" s="49"/>
      <c r="F229" s="50"/>
      <c r="G229" s="51" t="e">
        <v>#DIV/0!</v>
      </c>
      <c r="H229" s="52" t="e">
        <v>#DIV/0!</v>
      </c>
      <c r="I229" s="53"/>
      <c r="J229" s="54"/>
      <c r="K229" s="54"/>
      <c r="L229" s="55"/>
      <c r="M229" s="56"/>
      <c r="N229" s="57">
        <v>0</v>
      </c>
      <c r="O229" s="58"/>
      <c r="P229" s="59"/>
      <c r="Q229" s="81"/>
      <c r="R229" s="82"/>
      <c r="S229" s="48"/>
      <c r="T229" s="50"/>
      <c r="U229" s="62"/>
      <c r="V229" s="63"/>
      <c r="W229" s="50"/>
      <c r="X229" s="48"/>
      <c r="Y229" s="63"/>
      <c r="Z229" s="63"/>
      <c r="AA229" s="64"/>
      <c r="AB229" s="65"/>
      <c r="AC229" s="66"/>
      <c r="AD229" s="67"/>
      <c r="AE229" s="68"/>
      <c r="AF229" s="48"/>
      <c r="AG229" s="63"/>
      <c r="AH229" s="63"/>
      <c r="AI229" s="63"/>
      <c r="AJ229" s="63"/>
      <c r="AK229" s="63"/>
      <c r="AL229" s="63"/>
      <c r="AM229" s="63"/>
      <c r="AN229" s="63"/>
      <c r="AO229" s="63"/>
      <c r="AP229" s="63"/>
      <c r="AQ229" s="63"/>
      <c r="AR229" s="63"/>
      <c r="AS229" s="63"/>
      <c r="AT229" s="63"/>
      <c r="AU229" s="63"/>
      <c r="AV229" s="63"/>
      <c r="AW229" s="50"/>
      <c r="AX229" s="69"/>
      <c r="AY229" s="69"/>
      <c r="AZ229" s="54"/>
      <c r="BA229" s="54"/>
      <c r="BB229" s="54"/>
      <c r="BC229" s="54"/>
      <c r="BD229" s="54"/>
      <c r="BE229" s="70"/>
      <c r="BF229" s="63"/>
      <c r="BG229" s="71">
        <v>0</v>
      </c>
      <c r="BH229" s="67"/>
      <c r="BI229" s="68"/>
      <c r="BJ229" s="72">
        <v>0</v>
      </c>
      <c r="BK229" s="62"/>
      <c r="BL229" s="70"/>
      <c r="BM229" s="70"/>
      <c r="BN229" s="70"/>
      <c r="BO229" s="70"/>
      <c r="BP229" s="73"/>
      <c r="BQ229" s="48"/>
      <c r="BR229" s="63"/>
      <c r="BS229" s="50"/>
      <c r="BT229" s="76" t="e">
        <v>#DIV/0!</v>
      </c>
      <c r="BU229" s="77" t="e">
        <v>#DIV/0!</v>
      </c>
      <c r="BV229" s="78">
        <v>0</v>
      </c>
      <c r="BW229" s="79">
        <v>0</v>
      </c>
      <c r="BX229" s="62"/>
      <c r="BY229" s="63"/>
      <c r="BZ229" s="63"/>
      <c r="CA229" s="63"/>
      <c r="CB229" s="63"/>
      <c r="CC229" s="63"/>
      <c r="CD229" s="63"/>
      <c r="CE229" s="50"/>
    </row>
    <row r="230" spans="2:83" x14ac:dyDescent="0.3">
      <c r="B230" s="46">
        <v>0</v>
      </c>
      <c r="C230" s="47"/>
      <c r="D230" s="48"/>
      <c r="E230" s="49"/>
      <c r="F230" s="50"/>
      <c r="G230" s="51" t="e">
        <v>#DIV/0!</v>
      </c>
      <c r="H230" s="52" t="e">
        <v>#DIV/0!</v>
      </c>
      <c r="I230" s="53"/>
      <c r="J230" s="54"/>
      <c r="K230" s="54"/>
      <c r="L230" s="55"/>
      <c r="M230" s="56"/>
      <c r="N230" s="57">
        <v>0</v>
      </c>
      <c r="O230" s="58"/>
      <c r="P230" s="59"/>
      <c r="Q230" s="81"/>
      <c r="R230" s="82"/>
      <c r="S230" s="48"/>
      <c r="T230" s="50"/>
      <c r="U230" s="62"/>
      <c r="V230" s="63"/>
      <c r="W230" s="50"/>
      <c r="X230" s="48"/>
      <c r="Y230" s="63"/>
      <c r="Z230" s="63"/>
      <c r="AA230" s="64"/>
      <c r="AB230" s="65"/>
      <c r="AC230" s="66"/>
      <c r="AD230" s="67"/>
      <c r="AE230" s="68"/>
      <c r="AF230" s="48"/>
      <c r="AG230" s="63"/>
      <c r="AH230" s="63"/>
      <c r="AI230" s="63"/>
      <c r="AJ230" s="63"/>
      <c r="AK230" s="63"/>
      <c r="AL230" s="63"/>
      <c r="AM230" s="63"/>
      <c r="AN230" s="63"/>
      <c r="AO230" s="63"/>
      <c r="AP230" s="63"/>
      <c r="AQ230" s="63"/>
      <c r="AR230" s="63"/>
      <c r="AS230" s="63"/>
      <c r="AT230" s="63"/>
      <c r="AU230" s="63"/>
      <c r="AV230" s="63"/>
      <c r="AW230" s="50"/>
      <c r="AX230" s="69"/>
      <c r="AY230" s="69"/>
      <c r="AZ230" s="54"/>
      <c r="BA230" s="54"/>
      <c r="BB230" s="54"/>
      <c r="BC230" s="54"/>
      <c r="BD230" s="54"/>
      <c r="BE230" s="70"/>
      <c r="BF230" s="63"/>
      <c r="BG230" s="71">
        <v>0</v>
      </c>
      <c r="BH230" s="67"/>
      <c r="BI230" s="68"/>
      <c r="BJ230" s="72">
        <v>0</v>
      </c>
      <c r="BK230" s="62"/>
      <c r="BL230" s="70"/>
      <c r="BM230" s="70"/>
      <c r="BN230" s="70"/>
      <c r="BO230" s="70"/>
      <c r="BP230" s="73"/>
      <c r="BQ230" s="48"/>
      <c r="BR230" s="63"/>
      <c r="BS230" s="50"/>
      <c r="BT230" s="76" t="e">
        <v>#DIV/0!</v>
      </c>
      <c r="BU230" s="77" t="e">
        <v>#DIV/0!</v>
      </c>
      <c r="BV230" s="78">
        <v>0</v>
      </c>
      <c r="BW230" s="79">
        <v>0</v>
      </c>
      <c r="BX230" s="62"/>
      <c r="BY230" s="63"/>
      <c r="BZ230" s="63"/>
      <c r="CA230" s="63"/>
      <c r="CB230" s="63"/>
      <c r="CC230" s="63"/>
      <c r="CD230" s="63"/>
      <c r="CE230" s="50"/>
    </row>
    <row r="231" spans="2:83" x14ac:dyDescent="0.3">
      <c r="B231" s="46">
        <v>0</v>
      </c>
      <c r="C231" s="47"/>
      <c r="D231" s="48"/>
      <c r="E231" s="49"/>
      <c r="F231" s="50"/>
      <c r="G231" s="51" t="e">
        <v>#DIV/0!</v>
      </c>
      <c r="H231" s="52" t="e">
        <v>#DIV/0!</v>
      </c>
      <c r="I231" s="53"/>
      <c r="J231" s="54"/>
      <c r="K231" s="54"/>
      <c r="L231" s="55"/>
      <c r="M231" s="56"/>
      <c r="N231" s="57">
        <v>0</v>
      </c>
      <c r="O231" s="58"/>
      <c r="P231" s="59"/>
      <c r="Q231" s="81"/>
      <c r="R231" s="82"/>
      <c r="S231" s="48"/>
      <c r="T231" s="50"/>
      <c r="U231" s="62"/>
      <c r="V231" s="63"/>
      <c r="W231" s="50"/>
      <c r="X231" s="48"/>
      <c r="Y231" s="63"/>
      <c r="Z231" s="63"/>
      <c r="AA231" s="64"/>
      <c r="AB231" s="65"/>
      <c r="AC231" s="66"/>
      <c r="AD231" s="67"/>
      <c r="AE231" s="68"/>
      <c r="AF231" s="48"/>
      <c r="AG231" s="63"/>
      <c r="AH231" s="63"/>
      <c r="AI231" s="63"/>
      <c r="AJ231" s="63"/>
      <c r="AK231" s="63"/>
      <c r="AL231" s="63"/>
      <c r="AM231" s="63"/>
      <c r="AN231" s="63"/>
      <c r="AO231" s="63"/>
      <c r="AP231" s="63"/>
      <c r="AQ231" s="63"/>
      <c r="AR231" s="63"/>
      <c r="AS231" s="63"/>
      <c r="AT231" s="63"/>
      <c r="AU231" s="63"/>
      <c r="AV231" s="63"/>
      <c r="AW231" s="50"/>
      <c r="AX231" s="69"/>
      <c r="AY231" s="69"/>
      <c r="AZ231" s="54"/>
      <c r="BA231" s="54"/>
      <c r="BB231" s="54"/>
      <c r="BC231" s="54"/>
      <c r="BD231" s="54"/>
      <c r="BE231" s="70"/>
      <c r="BF231" s="63"/>
      <c r="BG231" s="71">
        <v>0</v>
      </c>
      <c r="BH231" s="67"/>
      <c r="BI231" s="68"/>
      <c r="BJ231" s="72">
        <v>0</v>
      </c>
      <c r="BK231" s="62"/>
      <c r="BL231" s="70"/>
      <c r="BM231" s="70"/>
      <c r="BN231" s="70"/>
      <c r="BO231" s="70"/>
      <c r="BP231" s="73"/>
      <c r="BQ231" s="48"/>
      <c r="BR231" s="63"/>
      <c r="BS231" s="50"/>
      <c r="BT231" s="76" t="e">
        <v>#DIV/0!</v>
      </c>
      <c r="BU231" s="77" t="e">
        <v>#DIV/0!</v>
      </c>
      <c r="BV231" s="78">
        <v>0</v>
      </c>
      <c r="BW231" s="79">
        <v>0</v>
      </c>
      <c r="BX231" s="62"/>
      <c r="BY231" s="63"/>
      <c r="BZ231" s="63"/>
      <c r="CA231" s="63"/>
      <c r="CB231" s="63"/>
      <c r="CC231" s="63"/>
      <c r="CD231" s="63"/>
      <c r="CE231" s="50"/>
    </row>
    <row r="232" spans="2:83" x14ac:dyDescent="0.3">
      <c r="B232" s="46">
        <v>0</v>
      </c>
      <c r="C232" s="47"/>
      <c r="D232" s="48"/>
      <c r="E232" s="49"/>
      <c r="F232" s="50"/>
      <c r="G232" s="51" t="e">
        <v>#DIV/0!</v>
      </c>
      <c r="H232" s="52" t="e">
        <v>#DIV/0!</v>
      </c>
      <c r="I232" s="53"/>
      <c r="J232" s="54"/>
      <c r="K232" s="54"/>
      <c r="L232" s="55"/>
      <c r="M232" s="56"/>
      <c r="N232" s="57">
        <v>0</v>
      </c>
      <c r="O232" s="58"/>
      <c r="P232" s="59"/>
      <c r="Q232" s="81"/>
      <c r="R232" s="82"/>
      <c r="S232" s="48"/>
      <c r="T232" s="50"/>
      <c r="U232" s="62"/>
      <c r="V232" s="63"/>
      <c r="W232" s="50"/>
      <c r="X232" s="48"/>
      <c r="Y232" s="63"/>
      <c r="Z232" s="63"/>
      <c r="AA232" s="64"/>
      <c r="AB232" s="65"/>
      <c r="AC232" s="66"/>
      <c r="AD232" s="67"/>
      <c r="AE232" s="68"/>
      <c r="AF232" s="48"/>
      <c r="AG232" s="63"/>
      <c r="AH232" s="63"/>
      <c r="AI232" s="63"/>
      <c r="AJ232" s="63"/>
      <c r="AK232" s="63"/>
      <c r="AL232" s="63"/>
      <c r="AM232" s="63"/>
      <c r="AN232" s="63"/>
      <c r="AO232" s="63"/>
      <c r="AP232" s="63"/>
      <c r="AQ232" s="63"/>
      <c r="AR232" s="63"/>
      <c r="AS232" s="63"/>
      <c r="AT232" s="63"/>
      <c r="AU232" s="63"/>
      <c r="AV232" s="63"/>
      <c r="AW232" s="50"/>
      <c r="AX232" s="69"/>
      <c r="AY232" s="69"/>
      <c r="AZ232" s="54"/>
      <c r="BA232" s="54"/>
      <c r="BB232" s="54"/>
      <c r="BC232" s="54"/>
      <c r="BD232" s="54"/>
      <c r="BE232" s="70"/>
      <c r="BF232" s="63"/>
      <c r="BG232" s="71">
        <v>0</v>
      </c>
      <c r="BH232" s="67"/>
      <c r="BI232" s="68"/>
      <c r="BJ232" s="72">
        <v>0</v>
      </c>
      <c r="BK232" s="62"/>
      <c r="BL232" s="70"/>
      <c r="BM232" s="70"/>
      <c r="BN232" s="70"/>
      <c r="BO232" s="70"/>
      <c r="BP232" s="73"/>
      <c r="BQ232" s="48"/>
      <c r="BR232" s="63"/>
      <c r="BS232" s="50"/>
      <c r="BT232" s="76" t="e">
        <v>#DIV/0!</v>
      </c>
      <c r="BU232" s="77" t="e">
        <v>#DIV/0!</v>
      </c>
      <c r="BV232" s="78">
        <v>0</v>
      </c>
      <c r="BW232" s="79">
        <v>0</v>
      </c>
      <c r="BX232" s="62"/>
      <c r="BY232" s="63"/>
      <c r="BZ232" s="63"/>
      <c r="CA232" s="63"/>
      <c r="CB232" s="63"/>
      <c r="CC232" s="63"/>
      <c r="CD232" s="63"/>
      <c r="CE232" s="50"/>
    </row>
    <row r="233" spans="2:83" x14ac:dyDescent="0.3">
      <c r="B233" s="46">
        <v>0</v>
      </c>
      <c r="C233" s="47"/>
      <c r="D233" s="48"/>
      <c r="E233" s="49"/>
      <c r="F233" s="50"/>
      <c r="G233" s="51" t="e">
        <v>#DIV/0!</v>
      </c>
      <c r="H233" s="52" t="e">
        <v>#DIV/0!</v>
      </c>
      <c r="I233" s="53"/>
      <c r="J233" s="54"/>
      <c r="K233" s="54"/>
      <c r="L233" s="55"/>
      <c r="M233" s="56"/>
      <c r="N233" s="57">
        <v>0</v>
      </c>
      <c r="O233" s="58"/>
      <c r="P233" s="59"/>
      <c r="Q233" s="81"/>
      <c r="R233" s="82"/>
      <c r="S233" s="48"/>
      <c r="T233" s="50"/>
      <c r="U233" s="62"/>
      <c r="V233" s="63"/>
      <c r="W233" s="50"/>
      <c r="X233" s="48"/>
      <c r="Y233" s="63"/>
      <c r="Z233" s="63"/>
      <c r="AA233" s="64"/>
      <c r="AB233" s="65"/>
      <c r="AC233" s="66"/>
      <c r="AD233" s="67"/>
      <c r="AE233" s="68"/>
      <c r="AF233" s="48"/>
      <c r="AG233" s="63"/>
      <c r="AH233" s="63"/>
      <c r="AI233" s="63"/>
      <c r="AJ233" s="63"/>
      <c r="AK233" s="63"/>
      <c r="AL233" s="63"/>
      <c r="AM233" s="63"/>
      <c r="AN233" s="63"/>
      <c r="AO233" s="63"/>
      <c r="AP233" s="63"/>
      <c r="AQ233" s="63"/>
      <c r="AR233" s="63"/>
      <c r="AS233" s="63"/>
      <c r="AT233" s="63"/>
      <c r="AU233" s="63"/>
      <c r="AV233" s="63"/>
      <c r="AW233" s="50"/>
      <c r="AX233" s="69"/>
      <c r="AY233" s="69"/>
      <c r="AZ233" s="54"/>
      <c r="BA233" s="54"/>
      <c r="BB233" s="54"/>
      <c r="BC233" s="54"/>
      <c r="BD233" s="54"/>
      <c r="BE233" s="70"/>
      <c r="BF233" s="63"/>
      <c r="BG233" s="71">
        <v>0</v>
      </c>
      <c r="BH233" s="67"/>
      <c r="BI233" s="68"/>
      <c r="BJ233" s="72">
        <v>0</v>
      </c>
      <c r="BK233" s="62"/>
      <c r="BL233" s="70"/>
      <c r="BM233" s="70"/>
      <c r="BN233" s="70"/>
      <c r="BO233" s="70"/>
      <c r="BP233" s="73"/>
      <c r="BQ233" s="48"/>
      <c r="BR233" s="63"/>
      <c r="BS233" s="50"/>
      <c r="BT233" s="76" t="e">
        <v>#DIV/0!</v>
      </c>
      <c r="BU233" s="77" t="e">
        <v>#DIV/0!</v>
      </c>
      <c r="BV233" s="78">
        <v>0</v>
      </c>
      <c r="BW233" s="79">
        <v>0</v>
      </c>
      <c r="BX233" s="62"/>
      <c r="BY233" s="63"/>
      <c r="BZ233" s="63"/>
      <c r="CA233" s="63"/>
      <c r="CB233" s="63"/>
      <c r="CC233" s="63"/>
      <c r="CD233" s="63"/>
      <c r="CE233" s="50"/>
    </row>
    <row r="234" spans="2:83" x14ac:dyDescent="0.3">
      <c r="B234" s="46">
        <v>0</v>
      </c>
      <c r="C234" s="47"/>
      <c r="D234" s="48"/>
      <c r="E234" s="49"/>
      <c r="F234" s="50"/>
      <c r="G234" s="51" t="e">
        <v>#DIV/0!</v>
      </c>
      <c r="H234" s="52" t="e">
        <v>#DIV/0!</v>
      </c>
      <c r="I234" s="53"/>
      <c r="J234" s="54"/>
      <c r="K234" s="54"/>
      <c r="L234" s="55"/>
      <c r="M234" s="56"/>
      <c r="N234" s="57">
        <v>0</v>
      </c>
      <c r="O234" s="58"/>
      <c r="P234" s="59"/>
      <c r="Q234" s="81"/>
      <c r="R234" s="82"/>
      <c r="S234" s="48"/>
      <c r="T234" s="50"/>
      <c r="U234" s="62"/>
      <c r="V234" s="63"/>
      <c r="W234" s="50"/>
      <c r="X234" s="48"/>
      <c r="Y234" s="63"/>
      <c r="Z234" s="63"/>
      <c r="AA234" s="64"/>
      <c r="AB234" s="65"/>
      <c r="AC234" s="66"/>
      <c r="AD234" s="67"/>
      <c r="AE234" s="68"/>
      <c r="AF234" s="48"/>
      <c r="AG234" s="63"/>
      <c r="AH234" s="63"/>
      <c r="AI234" s="63"/>
      <c r="AJ234" s="63"/>
      <c r="AK234" s="63"/>
      <c r="AL234" s="63"/>
      <c r="AM234" s="63"/>
      <c r="AN234" s="63"/>
      <c r="AO234" s="63"/>
      <c r="AP234" s="63"/>
      <c r="AQ234" s="63"/>
      <c r="AR234" s="63"/>
      <c r="AS234" s="63"/>
      <c r="AT234" s="63"/>
      <c r="AU234" s="63"/>
      <c r="AV234" s="63"/>
      <c r="AW234" s="50"/>
      <c r="AX234" s="69"/>
      <c r="AY234" s="69"/>
      <c r="AZ234" s="54"/>
      <c r="BA234" s="54"/>
      <c r="BB234" s="54"/>
      <c r="BC234" s="54"/>
      <c r="BD234" s="54"/>
      <c r="BE234" s="70"/>
      <c r="BF234" s="63"/>
      <c r="BG234" s="71">
        <v>0</v>
      </c>
      <c r="BH234" s="67"/>
      <c r="BI234" s="68"/>
      <c r="BJ234" s="72">
        <v>0</v>
      </c>
      <c r="BK234" s="62"/>
      <c r="BL234" s="70"/>
      <c r="BM234" s="70"/>
      <c r="BN234" s="70"/>
      <c r="BO234" s="70"/>
      <c r="BP234" s="73"/>
      <c r="BQ234" s="48"/>
      <c r="BR234" s="63"/>
      <c r="BS234" s="50"/>
      <c r="BT234" s="76" t="e">
        <v>#DIV/0!</v>
      </c>
      <c r="BU234" s="77" t="e">
        <v>#DIV/0!</v>
      </c>
      <c r="BV234" s="78">
        <v>0</v>
      </c>
      <c r="BW234" s="79">
        <v>0</v>
      </c>
      <c r="BX234" s="62"/>
      <c r="BY234" s="63"/>
      <c r="BZ234" s="63"/>
      <c r="CA234" s="63"/>
      <c r="CB234" s="63"/>
      <c r="CC234" s="63"/>
      <c r="CD234" s="63"/>
      <c r="CE234" s="50"/>
    </row>
    <row r="235" spans="2:83" x14ac:dyDescent="0.3">
      <c r="B235" s="46">
        <v>0</v>
      </c>
      <c r="C235" s="47"/>
      <c r="D235" s="48"/>
      <c r="E235" s="49"/>
      <c r="F235" s="50"/>
      <c r="G235" s="51" t="e">
        <v>#DIV/0!</v>
      </c>
      <c r="H235" s="52" t="e">
        <v>#DIV/0!</v>
      </c>
      <c r="I235" s="53"/>
      <c r="J235" s="54"/>
      <c r="K235" s="54"/>
      <c r="L235" s="55"/>
      <c r="M235" s="56"/>
      <c r="N235" s="57">
        <v>0</v>
      </c>
      <c r="O235" s="58"/>
      <c r="P235" s="59"/>
      <c r="Q235" s="81"/>
      <c r="R235" s="82"/>
      <c r="S235" s="48"/>
      <c r="T235" s="50"/>
      <c r="U235" s="62"/>
      <c r="V235" s="63"/>
      <c r="W235" s="50"/>
      <c r="X235" s="48"/>
      <c r="Y235" s="63"/>
      <c r="Z235" s="63"/>
      <c r="AA235" s="64"/>
      <c r="AB235" s="65"/>
      <c r="AC235" s="66"/>
      <c r="AD235" s="67"/>
      <c r="AE235" s="68"/>
      <c r="AF235" s="48"/>
      <c r="AG235" s="63"/>
      <c r="AH235" s="63"/>
      <c r="AI235" s="63"/>
      <c r="AJ235" s="63"/>
      <c r="AK235" s="63"/>
      <c r="AL235" s="63"/>
      <c r="AM235" s="63"/>
      <c r="AN235" s="63"/>
      <c r="AO235" s="63"/>
      <c r="AP235" s="63"/>
      <c r="AQ235" s="63"/>
      <c r="AR235" s="63"/>
      <c r="AS235" s="63"/>
      <c r="AT235" s="63"/>
      <c r="AU235" s="63"/>
      <c r="AV235" s="63"/>
      <c r="AW235" s="50"/>
      <c r="AX235" s="69"/>
      <c r="AY235" s="69"/>
      <c r="AZ235" s="54"/>
      <c r="BA235" s="54"/>
      <c r="BB235" s="54"/>
      <c r="BC235" s="54"/>
      <c r="BD235" s="54"/>
      <c r="BE235" s="70"/>
      <c r="BF235" s="63"/>
      <c r="BG235" s="71">
        <v>0</v>
      </c>
      <c r="BH235" s="67"/>
      <c r="BI235" s="68"/>
      <c r="BJ235" s="72">
        <v>0</v>
      </c>
      <c r="BK235" s="62"/>
      <c r="BL235" s="70"/>
      <c r="BM235" s="70"/>
      <c r="BN235" s="70"/>
      <c r="BO235" s="70"/>
      <c r="BP235" s="73"/>
      <c r="BQ235" s="48"/>
      <c r="BR235" s="63"/>
      <c r="BS235" s="50"/>
      <c r="BT235" s="76" t="e">
        <v>#DIV/0!</v>
      </c>
      <c r="BU235" s="77" t="e">
        <v>#DIV/0!</v>
      </c>
      <c r="BV235" s="78">
        <v>0</v>
      </c>
      <c r="BW235" s="79">
        <v>0</v>
      </c>
      <c r="BX235" s="62"/>
      <c r="BY235" s="63"/>
      <c r="BZ235" s="63"/>
      <c r="CA235" s="63"/>
      <c r="CB235" s="63"/>
      <c r="CC235" s="63"/>
      <c r="CD235" s="63"/>
      <c r="CE235" s="50"/>
    </row>
    <row r="236" spans="2:83" x14ac:dyDescent="0.3">
      <c r="B236" s="46">
        <v>0</v>
      </c>
      <c r="C236" s="47"/>
      <c r="D236" s="48"/>
      <c r="E236" s="49"/>
      <c r="F236" s="50"/>
      <c r="G236" s="51" t="e">
        <v>#DIV/0!</v>
      </c>
      <c r="H236" s="52" t="e">
        <v>#DIV/0!</v>
      </c>
      <c r="I236" s="53"/>
      <c r="J236" s="54"/>
      <c r="K236" s="54"/>
      <c r="L236" s="55"/>
      <c r="M236" s="56"/>
      <c r="N236" s="57">
        <v>0</v>
      </c>
      <c r="O236" s="58"/>
      <c r="P236" s="59"/>
      <c r="Q236" s="81"/>
      <c r="R236" s="82"/>
      <c r="S236" s="48"/>
      <c r="T236" s="50"/>
      <c r="U236" s="62"/>
      <c r="V236" s="63"/>
      <c r="W236" s="50"/>
      <c r="X236" s="48"/>
      <c r="Y236" s="63"/>
      <c r="Z236" s="63"/>
      <c r="AA236" s="64"/>
      <c r="AB236" s="65"/>
      <c r="AC236" s="66"/>
      <c r="AD236" s="67"/>
      <c r="AE236" s="68"/>
      <c r="AF236" s="48"/>
      <c r="AG236" s="63"/>
      <c r="AH236" s="63"/>
      <c r="AI236" s="63"/>
      <c r="AJ236" s="63"/>
      <c r="AK236" s="63"/>
      <c r="AL236" s="63"/>
      <c r="AM236" s="63"/>
      <c r="AN236" s="63"/>
      <c r="AO236" s="63"/>
      <c r="AP236" s="63"/>
      <c r="AQ236" s="63"/>
      <c r="AR236" s="63"/>
      <c r="AS236" s="63"/>
      <c r="AT236" s="63"/>
      <c r="AU236" s="63"/>
      <c r="AV236" s="63"/>
      <c r="AW236" s="50"/>
      <c r="AX236" s="69"/>
      <c r="AY236" s="69"/>
      <c r="AZ236" s="54"/>
      <c r="BA236" s="54"/>
      <c r="BB236" s="54"/>
      <c r="BC236" s="54"/>
      <c r="BD236" s="54"/>
      <c r="BE236" s="70"/>
      <c r="BF236" s="63"/>
      <c r="BG236" s="71">
        <v>0</v>
      </c>
      <c r="BH236" s="67"/>
      <c r="BI236" s="68"/>
      <c r="BJ236" s="72">
        <v>0</v>
      </c>
      <c r="BK236" s="62"/>
      <c r="BL236" s="70"/>
      <c r="BM236" s="70"/>
      <c r="BN236" s="70"/>
      <c r="BO236" s="70"/>
      <c r="BP236" s="73"/>
      <c r="BQ236" s="48"/>
      <c r="BR236" s="63"/>
      <c r="BS236" s="50"/>
      <c r="BT236" s="76" t="e">
        <v>#DIV/0!</v>
      </c>
      <c r="BU236" s="77" t="e">
        <v>#DIV/0!</v>
      </c>
      <c r="BV236" s="78">
        <v>0</v>
      </c>
      <c r="BW236" s="79">
        <v>0</v>
      </c>
      <c r="BX236" s="62"/>
      <c r="BY236" s="63"/>
      <c r="BZ236" s="63"/>
      <c r="CA236" s="63"/>
      <c r="CB236" s="63"/>
      <c r="CC236" s="63"/>
      <c r="CD236" s="63"/>
      <c r="CE236" s="50"/>
    </row>
    <row r="237" spans="2:83" x14ac:dyDescent="0.3">
      <c r="B237" s="46">
        <v>0</v>
      </c>
      <c r="C237" s="47"/>
      <c r="D237" s="48"/>
      <c r="E237" s="49"/>
      <c r="F237" s="50"/>
      <c r="G237" s="51" t="e">
        <v>#DIV/0!</v>
      </c>
      <c r="H237" s="52" t="e">
        <v>#DIV/0!</v>
      </c>
      <c r="I237" s="53"/>
      <c r="J237" s="54"/>
      <c r="K237" s="54"/>
      <c r="L237" s="55"/>
      <c r="M237" s="56"/>
      <c r="N237" s="57">
        <v>0</v>
      </c>
      <c r="O237" s="58"/>
      <c r="P237" s="59"/>
      <c r="Q237" s="81"/>
      <c r="R237" s="82"/>
      <c r="S237" s="48"/>
      <c r="T237" s="50"/>
      <c r="U237" s="62"/>
      <c r="V237" s="63"/>
      <c r="W237" s="50"/>
      <c r="X237" s="48"/>
      <c r="Y237" s="63"/>
      <c r="Z237" s="63"/>
      <c r="AA237" s="64"/>
      <c r="AB237" s="65"/>
      <c r="AC237" s="66"/>
      <c r="AD237" s="67"/>
      <c r="AE237" s="68"/>
      <c r="AF237" s="48"/>
      <c r="AG237" s="63"/>
      <c r="AH237" s="63"/>
      <c r="AI237" s="63"/>
      <c r="AJ237" s="63"/>
      <c r="AK237" s="63"/>
      <c r="AL237" s="63"/>
      <c r="AM237" s="63"/>
      <c r="AN237" s="63"/>
      <c r="AO237" s="63"/>
      <c r="AP237" s="63"/>
      <c r="AQ237" s="63"/>
      <c r="AR237" s="63"/>
      <c r="AS237" s="63"/>
      <c r="AT237" s="63"/>
      <c r="AU237" s="63"/>
      <c r="AV237" s="63"/>
      <c r="AW237" s="50"/>
      <c r="AX237" s="69"/>
      <c r="AY237" s="69"/>
      <c r="AZ237" s="54"/>
      <c r="BA237" s="54"/>
      <c r="BB237" s="54"/>
      <c r="BC237" s="54"/>
      <c r="BD237" s="54"/>
      <c r="BE237" s="70"/>
      <c r="BF237" s="63"/>
      <c r="BG237" s="71">
        <v>0</v>
      </c>
      <c r="BH237" s="67"/>
      <c r="BI237" s="68"/>
      <c r="BJ237" s="72">
        <v>0</v>
      </c>
      <c r="BK237" s="62"/>
      <c r="BL237" s="70"/>
      <c r="BM237" s="70"/>
      <c r="BN237" s="70"/>
      <c r="BO237" s="70"/>
      <c r="BP237" s="73"/>
      <c r="BQ237" s="48"/>
      <c r="BR237" s="63"/>
      <c r="BS237" s="50"/>
      <c r="BT237" s="76" t="e">
        <v>#DIV/0!</v>
      </c>
      <c r="BU237" s="77" t="e">
        <v>#DIV/0!</v>
      </c>
      <c r="BV237" s="78">
        <v>0</v>
      </c>
      <c r="BW237" s="79">
        <v>0</v>
      </c>
      <c r="BX237" s="62"/>
      <c r="BY237" s="63"/>
      <c r="BZ237" s="63"/>
      <c r="CA237" s="63"/>
      <c r="CB237" s="63"/>
      <c r="CC237" s="63"/>
      <c r="CD237" s="63"/>
      <c r="CE237" s="50"/>
    </row>
    <row r="238" spans="2:83" x14ac:dyDescent="0.3">
      <c r="B238" s="46">
        <v>0</v>
      </c>
      <c r="C238" s="47"/>
      <c r="D238" s="48"/>
      <c r="E238" s="49"/>
      <c r="F238" s="50"/>
      <c r="G238" s="51" t="e">
        <v>#DIV/0!</v>
      </c>
      <c r="H238" s="52" t="e">
        <v>#DIV/0!</v>
      </c>
      <c r="I238" s="53"/>
      <c r="J238" s="54"/>
      <c r="K238" s="54"/>
      <c r="L238" s="55"/>
      <c r="M238" s="56"/>
      <c r="N238" s="57">
        <v>0</v>
      </c>
      <c r="O238" s="58"/>
      <c r="P238" s="59"/>
      <c r="Q238" s="81"/>
      <c r="R238" s="82"/>
      <c r="S238" s="48"/>
      <c r="T238" s="50"/>
      <c r="U238" s="62"/>
      <c r="V238" s="63"/>
      <c r="W238" s="50"/>
      <c r="X238" s="48"/>
      <c r="Y238" s="63"/>
      <c r="Z238" s="63"/>
      <c r="AA238" s="64"/>
      <c r="AB238" s="65"/>
      <c r="AC238" s="66"/>
      <c r="AD238" s="67"/>
      <c r="AE238" s="68"/>
      <c r="AF238" s="48"/>
      <c r="AG238" s="63"/>
      <c r="AH238" s="63"/>
      <c r="AI238" s="63"/>
      <c r="AJ238" s="63"/>
      <c r="AK238" s="63"/>
      <c r="AL238" s="63"/>
      <c r="AM238" s="63"/>
      <c r="AN238" s="63"/>
      <c r="AO238" s="63"/>
      <c r="AP238" s="63"/>
      <c r="AQ238" s="63"/>
      <c r="AR238" s="63"/>
      <c r="AS238" s="63"/>
      <c r="AT238" s="63"/>
      <c r="AU238" s="63"/>
      <c r="AV238" s="63"/>
      <c r="AW238" s="50"/>
      <c r="AX238" s="69"/>
      <c r="AY238" s="69"/>
      <c r="AZ238" s="54"/>
      <c r="BA238" s="54"/>
      <c r="BB238" s="54"/>
      <c r="BC238" s="54"/>
      <c r="BD238" s="54"/>
      <c r="BE238" s="70"/>
      <c r="BF238" s="63"/>
      <c r="BG238" s="71">
        <v>0</v>
      </c>
      <c r="BH238" s="67"/>
      <c r="BI238" s="68"/>
      <c r="BJ238" s="72">
        <v>0</v>
      </c>
      <c r="BK238" s="62"/>
      <c r="BL238" s="70"/>
      <c r="BM238" s="70"/>
      <c r="BN238" s="70"/>
      <c r="BO238" s="70"/>
      <c r="BP238" s="73"/>
      <c r="BQ238" s="48"/>
      <c r="BR238" s="63"/>
      <c r="BS238" s="50"/>
      <c r="BT238" s="76" t="e">
        <v>#DIV/0!</v>
      </c>
      <c r="BU238" s="77" t="e">
        <v>#DIV/0!</v>
      </c>
      <c r="BV238" s="78">
        <v>0</v>
      </c>
      <c r="BW238" s="79">
        <v>0</v>
      </c>
      <c r="BX238" s="62"/>
      <c r="BY238" s="63"/>
      <c r="BZ238" s="63"/>
      <c r="CA238" s="63"/>
      <c r="CB238" s="63"/>
      <c r="CC238" s="63"/>
      <c r="CD238" s="63"/>
      <c r="CE238" s="50"/>
    </row>
    <row r="239" spans="2:83" x14ac:dyDescent="0.3">
      <c r="B239" s="46">
        <v>0</v>
      </c>
      <c r="C239" s="47"/>
      <c r="D239" s="48"/>
      <c r="E239" s="49"/>
      <c r="F239" s="50"/>
      <c r="G239" s="51" t="e">
        <v>#DIV/0!</v>
      </c>
      <c r="H239" s="52" t="e">
        <v>#DIV/0!</v>
      </c>
      <c r="I239" s="53"/>
      <c r="J239" s="54"/>
      <c r="K239" s="54"/>
      <c r="L239" s="55"/>
      <c r="M239" s="56"/>
      <c r="N239" s="57">
        <v>0</v>
      </c>
      <c r="O239" s="58"/>
      <c r="P239" s="59"/>
      <c r="Q239" s="81"/>
      <c r="R239" s="82"/>
      <c r="S239" s="48"/>
      <c r="T239" s="50"/>
      <c r="U239" s="62"/>
      <c r="V239" s="63"/>
      <c r="W239" s="50"/>
      <c r="X239" s="48"/>
      <c r="Y239" s="63"/>
      <c r="Z239" s="63"/>
      <c r="AA239" s="64"/>
      <c r="AB239" s="65"/>
      <c r="AC239" s="66"/>
      <c r="AD239" s="67"/>
      <c r="AE239" s="68"/>
      <c r="AF239" s="48"/>
      <c r="AG239" s="63"/>
      <c r="AH239" s="63"/>
      <c r="AI239" s="63"/>
      <c r="AJ239" s="63"/>
      <c r="AK239" s="63"/>
      <c r="AL239" s="63"/>
      <c r="AM239" s="63"/>
      <c r="AN239" s="63"/>
      <c r="AO239" s="63"/>
      <c r="AP239" s="63"/>
      <c r="AQ239" s="63"/>
      <c r="AR239" s="63"/>
      <c r="AS239" s="63"/>
      <c r="AT239" s="63"/>
      <c r="AU239" s="63"/>
      <c r="AV239" s="63"/>
      <c r="AW239" s="50"/>
      <c r="AX239" s="69"/>
      <c r="AY239" s="69"/>
      <c r="AZ239" s="54"/>
      <c r="BA239" s="54"/>
      <c r="BB239" s="54"/>
      <c r="BC239" s="54"/>
      <c r="BD239" s="54"/>
      <c r="BE239" s="70"/>
      <c r="BF239" s="63"/>
      <c r="BG239" s="71">
        <v>0</v>
      </c>
      <c r="BH239" s="67"/>
      <c r="BI239" s="68"/>
      <c r="BJ239" s="72">
        <v>0</v>
      </c>
      <c r="BK239" s="62"/>
      <c r="BL239" s="70"/>
      <c r="BM239" s="70"/>
      <c r="BN239" s="70"/>
      <c r="BO239" s="70"/>
      <c r="BP239" s="73"/>
      <c r="BQ239" s="48"/>
      <c r="BR239" s="63"/>
      <c r="BS239" s="50"/>
      <c r="BT239" s="76" t="e">
        <v>#DIV/0!</v>
      </c>
      <c r="BU239" s="77" t="e">
        <v>#DIV/0!</v>
      </c>
      <c r="BV239" s="78">
        <v>0</v>
      </c>
      <c r="BW239" s="79">
        <v>0</v>
      </c>
      <c r="BX239" s="62"/>
      <c r="BY239" s="63"/>
      <c r="BZ239" s="63"/>
      <c r="CA239" s="63"/>
      <c r="CB239" s="63"/>
      <c r="CC239" s="63"/>
      <c r="CD239" s="63"/>
      <c r="CE239" s="50"/>
    </row>
    <row r="240" spans="2:83" x14ac:dyDescent="0.3">
      <c r="B240" s="46">
        <v>0</v>
      </c>
      <c r="C240" s="47"/>
      <c r="D240" s="48"/>
      <c r="E240" s="49"/>
      <c r="F240" s="50"/>
      <c r="G240" s="51" t="e">
        <v>#DIV/0!</v>
      </c>
      <c r="H240" s="52" t="e">
        <v>#DIV/0!</v>
      </c>
      <c r="I240" s="53"/>
      <c r="J240" s="54"/>
      <c r="K240" s="54"/>
      <c r="L240" s="55"/>
      <c r="M240" s="56"/>
      <c r="N240" s="57">
        <v>0</v>
      </c>
      <c r="O240" s="58"/>
      <c r="P240" s="59"/>
      <c r="Q240" s="81"/>
      <c r="R240" s="82"/>
      <c r="S240" s="48"/>
      <c r="T240" s="50"/>
      <c r="U240" s="62"/>
      <c r="V240" s="63"/>
      <c r="W240" s="50"/>
      <c r="X240" s="48"/>
      <c r="Y240" s="63"/>
      <c r="Z240" s="63"/>
      <c r="AA240" s="64"/>
      <c r="AB240" s="65"/>
      <c r="AC240" s="66"/>
      <c r="AD240" s="67"/>
      <c r="AE240" s="68"/>
      <c r="AF240" s="48"/>
      <c r="AG240" s="63"/>
      <c r="AH240" s="63"/>
      <c r="AI240" s="63"/>
      <c r="AJ240" s="63"/>
      <c r="AK240" s="63"/>
      <c r="AL240" s="63"/>
      <c r="AM240" s="63"/>
      <c r="AN240" s="63"/>
      <c r="AO240" s="63"/>
      <c r="AP240" s="63"/>
      <c r="AQ240" s="63"/>
      <c r="AR240" s="63"/>
      <c r="AS240" s="63"/>
      <c r="AT240" s="63"/>
      <c r="AU240" s="63"/>
      <c r="AV240" s="63"/>
      <c r="AW240" s="50"/>
      <c r="AX240" s="69"/>
      <c r="AY240" s="69"/>
      <c r="AZ240" s="54"/>
      <c r="BA240" s="54"/>
      <c r="BB240" s="54"/>
      <c r="BC240" s="54"/>
      <c r="BD240" s="54"/>
      <c r="BE240" s="70"/>
      <c r="BF240" s="63"/>
      <c r="BG240" s="71">
        <v>0</v>
      </c>
      <c r="BH240" s="67"/>
      <c r="BI240" s="68"/>
      <c r="BJ240" s="72">
        <v>0</v>
      </c>
      <c r="BK240" s="62"/>
      <c r="BL240" s="70"/>
      <c r="BM240" s="70"/>
      <c r="BN240" s="70"/>
      <c r="BO240" s="70"/>
      <c r="BP240" s="73"/>
      <c r="BQ240" s="48"/>
      <c r="BR240" s="63"/>
      <c r="BS240" s="50"/>
      <c r="BT240" s="76" t="e">
        <v>#DIV/0!</v>
      </c>
      <c r="BU240" s="77" t="e">
        <v>#DIV/0!</v>
      </c>
      <c r="BV240" s="78">
        <v>0</v>
      </c>
      <c r="BW240" s="79">
        <v>0</v>
      </c>
      <c r="BX240" s="62"/>
      <c r="BY240" s="63"/>
      <c r="BZ240" s="63"/>
      <c r="CA240" s="63"/>
      <c r="CB240" s="63"/>
      <c r="CC240" s="63"/>
      <c r="CD240" s="63"/>
      <c r="CE240" s="50"/>
    </row>
    <row r="241" spans="2:83" x14ac:dyDescent="0.3">
      <c r="B241" s="46">
        <v>0</v>
      </c>
      <c r="C241" s="47"/>
      <c r="D241" s="48"/>
      <c r="E241" s="49"/>
      <c r="F241" s="50"/>
      <c r="G241" s="51" t="e">
        <v>#DIV/0!</v>
      </c>
      <c r="H241" s="52" t="e">
        <v>#DIV/0!</v>
      </c>
      <c r="I241" s="53"/>
      <c r="J241" s="54"/>
      <c r="K241" s="54"/>
      <c r="L241" s="55"/>
      <c r="M241" s="56"/>
      <c r="N241" s="57">
        <v>0</v>
      </c>
      <c r="O241" s="58"/>
      <c r="P241" s="59"/>
      <c r="Q241" s="81"/>
      <c r="R241" s="82"/>
      <c r="S241" s="48"/>
      <c r="T241" s="50"/>
      <c r="U241" s="62"/>
      <c r="V241" s="63"/>
      <c r="W241" s="50"/>
      <c r="X241" s="48"/>
      <c r="Y241" s="63"/>
      <c r="Z241" s="63"/>
      <c r="AA241" s="64"/>
      <c r="AB241" s="65"/>
      <c r="AC241" s="66"/>
      <c r="AD241" s="67"/>
      <c r="AE241" s="68"/>
      <c r="AF241" s="48"/>
      <c r="AG241" s="63"/>
      <c r="AH241" s="63"/>
      <c r="AI241" s="63"/>
      <c r="AJ241" s="63"/>
      <c r="AK241" s="63"/>
      <c r="AL241" s="63"/>
      <c r="AM241" s="63"/>
      <c r="AN241" s="63"/>
      <c r="AO241" s="63"/>
      <c r="AP241" s="63"/>
      <c r="AQ241" s="63"/>
      <c r="AR241" s="63"/>
      <c r="AS241" s="63"/>
      <c r="AT241" s="63"/>
      <c r="AU241" s="63"/>
      <c r="AV241" s="63"/>
      <c r="AW241" s="50"/>
      <c r="AX241" s="69"/>
      <c r="AY241" s="69"/>
      <c r="AZ241" s="54"/>
      <c r="BA241" s="54"/>
      <c r="BB241" s="54"/>
      <c r="BC241" s="54"/>
      <c r="BD241" s="54"/>
      <c r="BE241" s="70"/>
      <c r="BF241" s="63"/>
      <c r="BG241" s="71">
        <v>0</v>
      </c>
      <c r="BH241" s="67"/>
      <c r="BI241" s="68"/>
      <c r="BJ241" s="72">
        <v>0</v>
      </c>
      <c r="BK241" s="62"/>
      <c r="BL241" s="70"/>
      <c r="BM241" s="70"/>
      <c r="BN241" s="70"/>
      <c r="BO241" s="70"/>
      <c r="BP241" s="73"/>
      <c r="BQ241" s="48"/>
      <c r="BR241" s="63"/>
      <c r="BS241" s="50"/>
      <c r="BT241" s="76" t="e">
        <v>#DIV/0!</v>
      </c>
      <c r="BU241" s="77" t="e">
        <v>#DIV/0!</v>
      </c>
      <c r="BV241" s="78">
        <v>0</v>
      </c>
      <c r="BW241" s="79">
        <v>0</v>
      </c>
      <c r="BX241" s="62"/>
      <c r="BY241" s="63"/>
      <c r="BZ241" s="63"/>
      <c r="CA241" s="63"/>
      <c r="CB241" s="63"/>
      <c r="CC241" s="63"/>
      <c r="CD241" s="63"/>
      <c r="CE241" s="50"/>
    </row>
    <row r="242" spans="2:83" x14ac:dyDescent="0.3">
      <c r="B242" s="46">
        <v>0</v>
      </c>
      <c r="C242" s="47"/>
      <c r="D242" s="48"/>
      <c r="E242" s="49"/>
      <c r="F242" s="50"/>
      <c r="G242" s="51" t="e">
        <v>#DIV/0!</v>
      </c>
      <c r="H242" s="52" t="e">
        <v>#DIV/0!</v>
      </c>
      <c r="I242" s="53"/>
      <c r="J242" s="54"/>
      <c r="K242" s="54"/>
      <c r="L242" s="55"/>
      <c r="M242" s="56"/>
      <c r="N242" s="57">
        <v>0</v>
      </c>
      <c r="O242" s="58"/>
      <c r="P242" s="59"/>
      <c r="Q242" s="81"/>
      <c r="R242" s="82"/>
      <c r="S242" s="48"/>
      <c r="T242" s="50"/>
      <c r="U242" s="62"/>
      <c r="V242" s="63"/>
      <c r="W242" s="50"/>
      <c r="X242" s="48"/>
      <c r="Y242" s="63"/>
      <c r="Z242" s="63"/>
      <c r="AA242" s="64"/>
      <c r="AB242" s="65"/>
      <c r="AC242" s="66"/>
      <c r="AD242" s="67"/>
      <c r="AE242" s="68"/>
      <c r="AF242" s="48"/>
      <c r="AG242" s="63"/>
      <c r="AH242" s="63"/>
      <c r="AI242" s="63"/>
      <c r="AJ242" s="63"/>
      <c r="AK242" s="63"/>
      <c r="AL242" s="63"/>
      <c r="AM242" s="63"/>
      <c r="AN242" s="63"/>
      <c r="AO242" s="63"/>
      <c r="AP242" s="63"/>
      <c r="AQ242" s="63"/>
      <c r="AR242" s="63"/>
      <c r="AS242" s="63"/>
      <c r="AT242" s="63"/>
      <c r="AU242" s="63"/>
      <c r="AV242" s="63"/>
      <c r="AW242" s="50"/>
      <c r="AX242" s="69"/>
      <c r="AY242" s="69"/>
      <c r="AZ242" s="54"/>
      <c r="BA242" s="54"/>
      <c r="BB242" s="54"/>
      <c r="BC242" s="54"/>
      <c r="BD242" s="54"/>
      <c r="BE242" s="70"/>
      <c r="BF242" s="63"/>
      <c r="BG242" s="71">
        <v>0</v>
      </c>
      <c r="BH242" s="67"/>
      <c r="BI242" s="68"/>
      <c r="BJ242" s="72">
        <v>0</v>
      </c>
      <c r="BK242" s="62"/>
      <c r="BL242" s="70"/>
      <c r="BM242" s="70"/>
      <c r="BN242" s="70"/>
      <c r="BO242" s="70"/>
      <c r="BP242" s="73"/>
      <c r="BQ242" s="48"/>
      <c r="BR242" s="63"/>
      <c r="BS242" s="50"/>
      <c r="BT242" s="76" t="e">
        <v>#DIV/0!</v>
      </c>
      <c r="BU242" s="77" t="e">
        <v>#DIV/0!</v>
      </c>
      <c r="BV242" s="78">
        <v>0</v>
      </c>
      <c r="BW242" s="79">
        <v>0</v>
      </c>
      <c r="BX242" s="62"/>
      <c r="BY242" s="63"/>
      <c r="BZ242" s="63"/>
      <c r="CA242" s="63"/>
      <c r="CB242" s="63"/>
      <c r="CC242" s="63"/>
      <c r="CD242" s="63"/>
      <c r="CE242" s="50"/>
    </row>
    <row r="243" spans="2:83" x14ac:dyDescent="0.3">
      <c r="B243" s="46">
        <v>0</v>
      </c>
      <c r="C243" s="47"/>
      <c r="D243" s="48"/>
      <c r="E243" s="49"/>
      <c r="F243" s="50"/>
      <c r="G243" s="51" t="e">
        <v>#DIV/0!</v>
      </c>
      <c r="H243" s="52" t="e">
        <v>#DIV/0!</v>
      </c>
      <c r="I243" s="53"/>
      <c r="J243" s="54"/>
      <c r="K243" s="54"/>
      <c r="L243" s="55"/>
      <c r="M243" s="56"/>
      <c r="N243" s="57">
        <v>0</v>
      </c>
      <c r="O243" s="58"/>
      <c r="P243" s="59"/>
      <c r="Q243" s="81"/>
      <c r="R243" s="82"/>
      <c r="S243" s="48"/>
      <c r="T243" s="50"/>
      <c r="U243" s="62"/>
      <c r="V243" s="63"/>
      <c r="W243" s="50"/>
      <c r="X243" s="48"/>
      <c r="Y243" s="63"/>
      <c r="Z243" s="63"/>
      <c r="AA243" s="64"/>
      <c r="AB243" s="65"/>
      <c r="AC243" s="66"/>
      <c r="AD243" s="67"/>
      <c r="AE243" s="68"/>
      <c r="AF243" s="48"/>
      <c r="AG243" s="63"/>
      <c r="AH243" s="63"/>
      <c r="AI243" s="63"/>
      <c r="AJ243" s="63"/>
      <c r="AK243" s="63"/>
      <c r="AL243" s="63"/>
      <c r="AM243" s="63"/>
      <c r="AN243" s="63"/>
      <c r="AO243" s="63"/>
      <c r="AP243" s="63"/>
      <c r="AQ243" s="63"/>
      <c r="AR243" s="63"/>
      <c r="AS243" s="63"/>
      <c r="AT243" s="63"/>
      <c r="AU243" s="63"/>
      <c r="AV243" s="63"/>
      <c r="AW243" s="50"/>
      <c r="AX243" s="69"/>
      <c r="AY243" s="69"/>
      <c r="AZ243" s="54"/>
      <c r="BA243" s="54"/>
      <c r="BB243" s="54"/>
      <c r="BC243" s="54"/>
      <c r="BD243" s="54"/>
      <c r="BE243" s="70"/>
      <c r="BF243" s="63"/>
      <c r="BG243" s="71">
        <v>0</v>
      </c>
      <c r="BH243" s="67"/>
      <c r="BI243" s="68"/>
      <c r="BJ243" s="72">
        <v>0</v>
      </c>
      <c r="BK243" s="62"/>
      <c r="BL243" s="70"/>
      <c r="BM243" s="70"/>
      <c r="BN243" s="70"/>
      <c r="BO243" s="70"/>
      <c r="BP243" s="73"/>
      <c r="BQ243" s="48"/>
      <c r="BR243" s="63"/>
      <c r="BS243" s="50"/>
      <c r="BT243" s="76" t="e">
        <v>#DIV/0!</v>
      </c>
      <c r="BU243" s="77" t="e">
        <v>#DIV/0!</v>
      </c>
      <c r="BV243" s="78">
        <v>0</v>
      </c>
      <c r="BW243" s="79">
        <v>0</v>
      </c>
      <c r="BX243" s="62"/>
      <c r="BY243" s="63"/>
      <c r="BZ243" s="63"/>
      <c r="CA243" s="63"/>
      <c r="CB243" s="63"/>
      <c r="CC243" s="63"/>
      <c r="CD243" s="63"/>
      <c r="CE243" s="50"/>
    </row>
    <row r="244" spans="2:83" x14ac:dyDescent="0.3">
      <c r="B244" s="46">
        <v>0</v>
      </c>
      <c r="C244" s="47"/>
      <c r="D244" s="48"/>
      <c r="E244" s="49"/>
      <c r="F244" s="50"/>
      <c r="G244" s="51" t="e">
        <v>#DIV/0!</v>
      </c>
      <c r="H244" s="52" t="e">
        <v>#DIV/0!</v>
      </c>
      <c r="I244" s="53"/>
      <c r="J244" s="54"/>
      <c r="K244" s="54"/>
      <c r="L244" s="55"/>
      <c r="M244" s="56"/>
      <c r="N244" s="57">
        <v>0</v>
      </c>
      <c r="O244" s="58"/>
      <c r="P244" s="59"/>
      <c r="Q244" s="81"/>
      <c r="R244" s="82"/>
      <c r="S244" s="48"/>
      <c r="T244" s="50"/>
      <c r="U244" s="62"/>
      <c r="V244" s="63"/>
      <c r="W244" s="50"/>
      <c r="X244" s="48"/>
      <c r="Y244" s="63"/>
      <c r="Z244" s="63"/>
      <c r="AA244" s="64"/>
      <c r="AB244" s="65"/>
      <c r="AC244" s="66"/>
      <c r="AD244" s="67"/>
      <c r="AE244" s="68"/>
      <c r="AF244" s="48"/>
      <c r="AG244" s="63"/>
      <c r="AH244" s="63"/>
      <c r="AI244" s="63"/>
      <c r="AJ244" s="63"/>
      <c r="AK244" s="63"/>
      <c r="AL244" s="63"/>
      <c r="AM244" s="63"/>
      <c r="AN244" s="63"/>
      <c r="AO244" s="63"/>
      <c r="AP244" s="63"/>
      <c r="AQ244" s="63"/>
      <c r="AR244" s="63"/>
      <c r="AS244" s="63"/>
      <c r="AT244" s="63"/>
      <c r="AU244" s="63"/>
      <c r="AV244" s="63"/>
      <c r="AW244" s="50"/>
      <c r="AX244" s="69"/>
      <c r="AY244" s="69"/>
      <c r="AZ244" s="54"/>
      <c r="BA244" s="54"/>
      <c r="BB244" s="54"/>
      <c r="BC244" s="54"/>
      <c r="BD244" s="54"/>
      <c r="BE244" s="70"/>
      <c r="BF244" s="63"/>
      <c r="BG244" s="71">
        <v>0</v>
      </c>
      <c r="BH244" s="67"/>
      <c r="BI244" s="68"/>
      <c r="BJ244" s="72">
        <v>0</v>
      </c>
      <c r="BK244" s="62"/>
      <c r="BL244" s="70"/>
      <c r="BM244" s="70"/>
      <c r="BN244" s="70"/>
      <c r="BO244" s="70"/>
      <c r="BP244" s="73"/>
      <c r="BQ244" s="48"/>
      <c r="BR244" s="63"/>
      <c r="BS244" s="50"/>
      <c r="BT244" s="76" t="e">
        <v>#DIV/0!</v>
      </c>
      <c r="BU244" s="77" t="e">
        <v>#DIV/0!</v>
      </c>
      <c r="BV244" s="78">
        <v>0</v>
      </c>
      <c r="BW244" s="79">
        <v>0</v>
      </c>
      <c r="BX244" s="62"/>
      <c r="BY244" s="63"/>
      <c r="BZ244" s="63"/>
      <c r="CA244" s="63"/>
      <c r="CB244" s="63"/>
      <c r="CC244" s="63"/>
      <c r="CD244" s="63"/>
      <c r="CE244" s="50"/>
    </row>
    <row r="245" spans="2:83" x14ac:dyDescent="0.3">
      <c r="B245" s="46">
        <v>0</v>
      </c>
      <c r="C245" s="47"/>
      <c r="D245" s="48"/>
      <c r="E245" s="49"/>
      <c r="F245" s="50"/>
      <c r="G245" s="51" t="e">
        <v>#DIV/0!</v>
      </c>
      <c r="H245" s="52" t="e">
        <v>#DIV/0!</v>
      </c>
      <c r="I245" s="53"/>
      <c r="J245" s="54"/>
      <c r="K245" s="54"/>
      <c r="L245" s="55"/>
      <c r="M245" s="56"/>
      <c r="N245" s="57">
        <v>0</v>
      </c>
      <c r="O245" s="58"/>
      <c r="P245" s="59"/>
      <c r="Q245" s="81"/>
      <c r="R245" s="82"/>
      <c r="S245" s="48"/>
      <c r="T245" s="50"/>
      <c r="U245" s="62"/>
      <c r="V245" s="63"/>
      <c r="W245" s="50"/>
      <c r="X245" s="48"/>
      <c r="Y245" s="63"/>
      <c r="Z245" s="63"/>
      <c r="AA245" s="64"/>
      <c r="AB245" s="65"/>
      <c r="AC245" s="66"/>
      <c r="AD245" s="67"/>
      <c r="AE245" s="68"/>
      <c r="AF245" s="48"/>
      <c r="AG245" s="63"/>
      <c r="AH245" s="63"/>
      <c r="AI245" s="63"/>
      <c r="AJ245" s="63"/>
      <c r="AK245" s="63"/>
      <c r="AL245" s="63"/>
      <c r="AM245" s="63"/>
      <c r="AN245" s="63"/>
      <c r="AO245" s="63"/>
      <c r="AP245" s="63"/>
      <c r="AQ245" s="63"/>
      <c r="AR245" s="63"/>
      <c r="AS245" s="63"/>
      <c r="AT245" s="63"/>
      <c r="AU245" s="63"/>
      <c r="AV245" s="63"/>
      <c r="AW245" s="50"/>
      <c r="AX245" s="69"/>
      <c r="AY245" s="69"/>
      <c r="AZ245" s="54"/>
      <c r="BA245" s="54"/>
      <c r="BB245" s="54"/>
      <c r="BC245" s="54"/>
      <c r="BD245" s="54"/>
      <c r="BE245" s="70"/>
      <c r="BF245" s="63"/>
      <c r="BG245" s="71">
        <v>0</v>
      </c>
      <c r="BH245" s="67"/>
      <c r="BI245" s="68"/>
      <c r="BJ245" s="72">
        <v>0</v>
      </c>
      <c r="BK245" s="62"/>
      <c r="BL245" s="70"/>
      <c r="BM245" s="70"/>
      <c r="BN245" s="70"/>
      <c r="BO245" s="70"/>
      <c r="BP245" s="73"/>
      <c r="BQ245" s="48"/>
      <c r="BR245" s="63"/>
      <c r="BS245" s="50"/>
      <c r="BT245" s="76" t="e">
        <v>#DIV/0!</v>
      </c>
      <c r="BU245" s="77" t="e">
        <v>#DIV/0!</v>
      </c>
      <c r="BV245" s="78">
        <v>0</v>
      </c>
      <c r="BW245" s="79">
        <v>0</v>
      </c>
      <c r="BX245" s="62"/>
      <c r="BY245" s="63"/>
      <c r="BZ245" s="63"/>
      <c r="CA245" s="63"/>
      <c r="CB245" s="63"/>
      <c r="CC245" s="63"/>
      <c r="CD245" s="63"/>
      <c r="CE245" s="50"/>
    </row>
    <row r="246" spans="2:83" x14ac:dyDescent="0.3">
      <c r="B246" s="46">
        <v>0</v>
      </c>
      <c r="C246" s="47"/>
      <c r="D246" s="48"/>
      <c r="E246" s="49"/>
      <c r="F246" s="50"/>
      <c r="G246" s="51" t="e">
        <v>#DIV/0!</v>
      </c>
      <c r="H246" s="52" t="e">
        <v>#DIV/0!</v>
      </c>
      <c r="I246" s="53"/>
      <c r="J246" s="54"/>
      <c r="K246" s="54"/>
      <c r="L246" s="55"/>
      <c r="M246" s="56"/>
      <c r="N246" s="57">
        <v>0</v>
      </c>
      <c r="O246" s="58"/>
      <c r="P246" s="59"/>
      <c r="Q246" s="81"/>
      <c r="R246" s="82"/>
      <c r="S246" s="48"/>
      <c r="T246" s="50"/>
      <c r="U246" s="62"/>
      <c r="V246" s="63"/>
      <c r="W246" s="50"/>
      <c r="X246" s="48"/>
      <c r="Y246" s="63"/>
      <c r="Z246" s="63"/>
      <c r="AA246" s="64"/>
      <c r="AB246" s="65"/>
      <c r="AC246" s="66"/>
      <c r="AD246" s="67"/>
      <c r="AE246" s="68"/>
      <c r="AF246" s="48"/>
      <c r="AG246" s="63"/>
      <c r="AH246" s="63"/>
      <c r="AI246" s="63"/>
      <c r="AJ246" s="63"/>
      <c r="AK246" s="63"/>
      <c r="AL246" s="63"/>
      <c r="AM246" s="63"/>
      <c r="AN246" s="63"/>
      <c r="AO246" s="63"/>
      <c r="AP246" s="63"/>
      <c r="AQ246" s="63"/>
      <c r="AR246" s="63"/>
      <c r="AS246" s="63"/>
      <c r="AT246" s="63"/>
      <c r="AU246" s="63"/>
      <c r="AV246" s="63"/>
      <c r="AW246" s="50"/>
      <c r="AX246" s="69"/>
      <c r="AY246" s="69"/>
      <c r="AZ246" s="54"/>
      <c r="BA246" s="54"/>
      <c r="BB246" s="54"/>
      <c r="BC246" s="54"/>
      <c r="BD246" s="54"/>
      <c r="BE246" s="70"/>
      <c r="BF246" s="63"/>
      <c r="BG246" s="71">
        <v>0</v>
      </c>
      <c r="BH246" s="67"/>
      <c r="BI246" s="68"/>
      <c r="BJ246" s="72">
        <v>0</v>
      </c>
      <c r="BK246" s="62"/>
      <c r="BL246" s="70"/>
      <c r="BM246" s="70"/>
      <c r="BN246" s="70"/>
      <c r="BO246" s="70"/>
      <c r="BP246" s="73"/>
      <c r="BQ246" s="48"/>
      <c r="BR246" s="63"/>
      <c r="BS246" s="50"/>
      <c r="BT246" s="76" t="e">
        <v>#DIV/0!</v>
      </c>
      <c r="BU246" s="77" t="e">
        <v>#DIV/0!</v>
      </c>
      <c r="BV246" s="78">
        <v>0</v>
      </c>
      <c r="BW246" s="79">
        <v>0</v>
      </c>
      <c r="BX246" s="62"/>
      <c r="BY246" s="63"/>
      <c r="BZ246" s="63"/>
      <c r="CA246" s="63"/>
      <c r="CB246" s="63"/>
      <c r="CC246" s="63"/>
      <c r="CD246" s="63"/>
      <c r="CE246" s="50"/>
    </row>
    <row r="247" spans="2:83" x14ac:dyDescent="0.3">
      <c r="B247" s="46">
        <v>0</v>
      </c>
      <c r="C247" s="47"/>
      <c r="D247" s="48"/>
      <c r="E247" s="49"/>
      <c r="F247" s="50"/>
      <c r="G247" s="51" t="e">
        <v>#DIV/0!</v>
      </c>
      <c r="H247" s="52" t="e">
        <v>#DIV/0!</v>
      </c>
      <c r="I247" s="53"/>
      <c r="J247" s="54"/>
      <c r="K247" s="54"/>
      <c r="L247" s="55"/>
      <c r="M247" s="56"/>
      <c r="N247" s="57">
        <v>0</v>
      </c>
      <c r="O247" s="58"/>
      <c r="P247" s="59"/>
      <c r="Q247" s="81"/>
      <c r="R247" s="82"/>
      <c r="S247" s="48"/>
      <c r="T247" s="50"/>
      <c r="U247" s="62"/>
      <c r="V247" s="63"/>
      <c r="W247" s="50"/>
      <c r="X247" s="48"/>
      <c r="Y247" s="63"/>
      <c r="Z247" s="63"/>
      <c r="AA247" s="64"/>
      <c r="AB247" s="65"/>
      <c r="AC247" s="66"/>
      <c r="AD247" s="67"/>
      <c r="AE247" s="68"/>
      <c r="AF247" s="48"/>
      <c r="AG247" s="63"/>
      <c r="AH247" s="63"/>
      <c r="AI247" s="63"/>
      <c r="AJ247" s="63"/>
      <c r="AK247" s="63"/>
      <c r="AL247" s="63"/>
      <c r="AM247" s="63"/>
      <c r="AN247" s="63"/>
      <c r="AO247" s="63"/>
      <c r="AP247" s="63"/>
      <c r="AQ247" s="63"/>
      <c r="AR247" s="63"/>
      <c r="AS247" s="63"/>
      <c r="AT247" s="63"/>
      <c r="AU247" s="63"/>
      <c r="AV247" s="63"/>
      <c r="AW247" s="50"/>
      <c r="AX247" s="69"/>
      <c r="AY247" s="69"/>
      <c r="AZ247" s="54"/>
      <c r="BA247" s="54"/>
      <c r="BB247" s="54"/>
      <c r="BC247" s="54"/>
      <c r="BD247" s="54"/>
      <c r="BE247" s="70"/>
      <c r="BF247" s="63"/>
      <c r="BG247" s="71">
        <v>0</v>
      </c>
      <c r="BH247" s="67"/>
      <c r="BI247" s="68"/>
      <c r="BJ247" s="72">
        <v>0</v>
      </c>
      <c r="BK247" s="62"/>
      <c r="BL247" s="70"/>
      <c r="BM247" s="70"/>
      <c r="BN247" s="70"/>
      <c r="BO247" s="70"/>
      <c r="BP247" s="73"/>
      <c r="BQ247" s="48"/>
      <c r="BR247" s="63"/>
      <c r="BS247" s="50"/>
      <c r="BT247" s="76" t="e">
        <v>#DIV/0!</v>
      </c>
      <c r="BU247" s="77" t="e">
        <v>#DIV/0!</v>
      </c>
      <c r="BV247" s="78">
        <v>0</v>
      </c>
      <c r="BW247" s="79">
        <v>0</v>
      </c>
      <c r="BX247" s="62"/>
      <c r="BY247" s="63"/>
      <c r="BZ247" s="63"/>
      <c r="CA247" s="63"/>
      <c r="CB247" s="63"/>
      <c r="CC247" s="63"/>
      <c r="CD247" s="63"/>
      <c r="CE247" s="50"/>
    </row>
    <row r="248" spans="2:83" x14ac:dyDescent="0.3">
      <c r="B248" s="46">
        <v>0</v>
      </c>
      <c r="C248" s="47"/>
      <c r="D248" s="48"/>
      <c r="E248" s="49"/>
      <c r="F248" s="50"/>
      <c r="G248" s="51" t="e">
        <v>#DIV/0!</v>
      </c>
      <c r="H248" s="52" t="e">
        <v>#DIV/0!</v>
      </c>
      <c r="I248" s="53"/>
      <c r="J248" s="54"/>
      <c r="K248" s="54"/>
      <c r="L248" s="55"/>
      <c r="M248" s="56"/>
      <c r="N248" s="57">
        <v>0</v>
      </c>
      <c r="O248" s="58"/>
      <c r="P248" s="59"/>
      <c r="Q248" s="81"/>
      <c r="R248" s="82"/>
      <c r="S248" s="48"/>
      <c r="T248" s="50"/>
      <c r="U248" s="62"/>
      <c r="V248" s="63"/>
      <c r="W248" s="50"/>
      <c r="X248" s="48"/>
      <c r="Y248" s="63"/>
      <c r="Z248" s="63"/>
      <c r="AA248" s="64"/>
      <c r="AB248" s="65"/>
      <c r="AC248" s="66"/>
      <c r="AD248" s="67"/>
      <c r="AE248" s="68"/>
      <c r="AF248" s="48"/>
      <c r="AG248" s="63"/>
      <c r="AH248" s="63"/>
      <c r="AI248" s="63"/>
      <c r="AJ248" s="63"/>
      <c r="AK248" s="63"/>
      <c r="AL248" s="63"/>
      <c r="AM248" s="63"/>
      <c r="AN248" s="63"/>
      <c r="AO248" s="63"/>
      <c r="AP248" s="63"/>
      <c r="AQ248" s="63"/>
      <c r="AR248" s="63"/>
      <c r="AS248" s="63"/>
      <c r="AT248" s="63"/>
      <c r="AU248" s="63"/>
      <c r="AV248" s="63"/>
      <c r="AW248" s="50"/>
      <c r="AX248" s="69"/>
      <c r="AY248" s="69"/>
      <c r="AZ248" s="54"/>
      <c r="BA248" s="54"/>
      <c r="BB248" s="54"/>
      <c r="BC248" s="54"/>
      <c r="BD248" s="54"/>
      <c r="BE248" s="70"/>
      <c r="BF248" s="63"/>
      <c r="BG248" s="71">
        <v>0</v>
      </c>
      <c r="BH248" s="67"/>
      <c r="BI248" s="68"/>
      <c r="BJ248" s="72">
        <v>0</v>
      </c>
      <c r="BK248" s="62"/>
      <c r="BL248" s="70"/>
      <c r="BM248" s="70"/>
      <c r="BN248" s="70"/>
      <c r="BO248" s="70"/>
      <c r="BP248" s="73"/>
      <c r="BQ248" s="48"/>
      <c r="BR248" s="63"/>
      <c r="BS248" s="50"/>
      <c r="BT248" s="76" t="e">
        <v>#DIV/0!</v>
      </c>
      <c r="BU248" s="77" t="e">
        <v>#DIV/0!</v>
      </c>
      <c r="BV248" s="78">
        <v>0</v>
      </c>
      <c r="BW248" s="79">
        <v>0</v>
      </c>
      <c r="BX248" s="62"/>
      <c r="BY248" s="63"/>
      <c r="BZ248" s="63"/>
      <c r="CA248" s="63"/>
      <c r="CB248" s="63"/>
      <c r="CC248" s="63"/>
      <c r="CD248" s="63"/>
      <c r="CE248" s="50"/>
    </row>
    <row r="249" spans="2:83" x14ac:dyDescent="0.3">
      <c r="B249" s="46">
        <v>0</v>
      </c>
      <c r="C249" s="47"/>
      <c r="D249" s="48"/>
      <c r="E249" s="49"/>
      <c r="F249" s="50"/>
      <c r="G249" s="51" t="e">
        <v>#DIV/0!</v>
      </c>
      <c r="H249" s="52" t="e">
        <v>#DIV/0!</v>
      </c>
      <c r="I249" s="53"/>
      <c r="J249" s="54"/>
      <c r="K249" s="54"/>
      <c r="L249" s="55"/>
      <c r="M249" s="56"/>
      <c r="N249" s="57">
        <v>0</v>
      </c>
      <c r="O249" s="58"/>
      <c r="P249" s="59"/>
      <c r="Q249" s="81"/>
      <c r="R249" s="82"/>
      <c r="S249" s="48"/>
      <c r="T249" s="50"/>
      <c r="U249" s="62"/>
      <c r="V249" s="63"/>
      <c r="W249" s="50"/>
      <c r="X249" s="48"/>
      <c r="Y249" s="63"/>
      <c r="Z249" s="63"/>
      <c r="AA249" s="64"/>
      <c r="AB249" s="65"/>
      <c r="AC249" s="66"/>
      <c r="AD249" s="67"/>
      <c r="AE249" s="68"/>
      <c r="AF249" s="48"/>
      <c r="AG249" s="63"/>
      <c r="AH249" s="63"/>
      <c r="AI249" s="63"/>
      <c r="AJ249" s="63"/>
      <c r="AK249" s="63"/>
      <c r="AL249" s="63"/>
      <c r="AM249" s="63"/>
      <c r="AN249" s="63"/>
      <c r="AO249" s="63"/>
      <c r="AP249" s="63"/>
      <c r="AQ249" s="63"/>
      <c r="AR249" s="63"/>
      <c r="AS249" s="63"/>
      <c r="AT249" s="63"/>
      <c r="AU249" s="63"/>
      <c r="AV249" s="63"/>
      <c r="AW249" s="50"/>
      <c r="AX249" s="69"/>
      <c r="AY249" s="69"/>
      <c r="AZ249" s="54"/>
      <c r="BA249" s="54"/>
      <c r="BB249" s="54"/>
      <c r="BC249" s="54"/>
      <c r="BD249" s="54"/>
      <c r="BE249" s="70"/>
      <c r="BF249" s="63"/>
      <c r="BG249" s="71">
        <v>0</v>
      </c>
      <c r="BH249" s="67"/>
      <c r="BI249" s="68"/>
      <c r="BJ249" s="72">
        <v>0</v>
      </c>
      <c r="BK249" s="62"/>
      <c r="BL249" s="70"/>
      <c r="BM249" s="70"/>
      <c r="BN249" s="70"/>
      <c r="BO249" s="70"/>
      <c r="BP249" s="73"/>
      <c r="BQ249" s="48"/>
      <c r="BR249" s="63"/>
      <c r="BS249" s="50"/>
      <c r="BT249" s="76" t="e">
        <v>#DIV/0!</v>
      </c>
      <c r="BU249" s="77" t="e">
        <v>#DIV/0!</v>
      </c>
      <c r="BV249" s="78">
        <v>0</v>
      </c>
      <c r="BW249" s="79">
        <v>0</v>
      </c>
      <c r="BX249" s="62"/>
      <c r="BY249" s="63"/>
      <c r="BZ249" s="63"/>
      <c r="CA249" s="63"/>
      <c r="CB249" s="63"/>
      <c r="CC249" s="63"/>
      <c r="CD249" s="63"/>
      <c r="CE249" s="50"/>
    </row>
    <row r="250" spans="2:83" x14ac:dyDescent="0.3">
      <c r="B250" s="46">
        <v>0</v>
      </c>
      <c r="C250" s="47"/>
      <c r="D250" s="48"/>
      <c r="E250" s="49"/>
      <c r="F250" s="50"/>
      <c r="G250" s="51" t="e">
        <v>#DIV/0!</v>
      </c>
      <c r="H250" s="52" t="e">
        <v>#DIV/0!</v>
      </c>
      <c r="I250" s="53"/>
      <c r="J250" s="54"/>
      <c r="K250" s="54"/>
      <c r="L250" s="55"/>
      <c r="M250" s="56"/>
      <c r="N250" s="57">
        <v>0</v>
      </c>
      <c r="O250" s="58"/>
      <c r="P250" s="59"/>
      <c r="Q250" s="81"/>
      <c r="R250" s="82"/>
      <c r="S250" s="48"/>
      <c r="T250" s="50"/>
      <c r="U250" s="62"/>
      <c r="V250" s="63"/>
      <c r="W250" s="50"/>
      <c r="X250" s="48"/>
      <c r="Y250" s="63"/>
      <c r="Z250" s="63"/>
      <c r="AA250" s="64"/>
      <c r="AB250" s="65"/>
      <c r="AC250" s="66"/>
      <c r="AD250" s="67"/>
      <c r="AE250" s="68"/>
      <c r="AF250" s="48"/>
      <c r="AG250" s="63"/>
      <c r="AH250" s="63"/>
      <c r="AI250" s="63"/>
      <c r="AJ250" s="63"/>
      <c r="AK250" s="63"/>
      <c r="AL250" s="63"/>
      <c r="AM250" s="63"/>
      <c r="AN250" s="63"/>
      <c r="AO250" s="63"/>
      <c r="AP250" s="63"/>
      <c r="AQ250" s="63"/>
      <c r="AR250" s="63"/>
      <c r="AS250" s="63"/>
      <c r="AT250" s="63"/>
      <c r="AU250" s="63"/>
      <c r="AV250" s="63"/>
      <c r="AW250" s="50"/>
      <c r="AX250" s="69"/>
      <c r="AY250" s="69"/>
      <c r="AZ250" s="54"/>
      <c r="BA250" s="54"/>
      <c r="BB250" s="54"/>
      <c r="BC250" s="54"/>
      <c r="BD250" s="54"/>
      <c r="BE250" s="70"/>
      <c r="BF250" s="63"/>
      <c r="BG250" s="71">
        <v>0</v>
      </c>
      <c r="BH250" s="67"/>
      <c r="BI250" s="68"/>
      <c r="BJ250" s="72">
        <v>0</v>
      </c>
      <c r="BK250" s="62"/>
      <c r="BL250" s="70"/>
      <c r="BM250" s="70"/>
      <c r="BN250" s="70"/>
      <c r="BO250" s="70"/>
      <c r="BP250" s="73"/>
      <c r="BQ250" s="48"/>
      <c r="BR250" s="63"/>
      <c r="BS250" s="50"/>
      <c r="BT250" s="76" t="e">
        <v>#DIV/0!</v>
      </c>
      <c r="BU250" s="77" t="e">
        <v>#DIV/0!</v>
      </c>
      <c r="BV250" s="78">
        <v>0</v>
      </c>
      <c r="BW250" s="79">
        <v>0</v>
      </c>
      <c r="BX250" s="62"/>
      <c r="BY250" s="63"/>
      <c r="BZ250" s="63"/>
      <c r="CA250" s="63"/>
      <c r="CB250" s="63"/>
      <c r="CC250" s="63"/>
      <c r="CD250" s="63"/>
      <c r="CE250" s="50"/>
    </row>
    <row r="251" spans="2:83" x14ac:dyDescent="0.3">
      <c r="B251" s="46">
        <v>0</v>
      </c>
      <c r="C251" s="47"/>
      <c r="D251" s="48"/>
      <c r="E251" s="49"/>
      <c r="F251" s="50"/>
      <c r="G251" s="51" t="e">
        <v>#DIV/0!</v>
      </c>
      <c r="H251" s="52" t="e">
        <v>#DIV/0!</v>
      </c>
      <c r="I251" s="53"/>
      <c r="J251" s="54"/>
      <c r="K251" s="54"/>
      <c r="L251" s="55"/>
      <c r="M251" s="56"/>
      <c r="N251" s="57">
        <v>0</v>
      </c>
      <c r="O251" s="58"/>
      <c r="P251" s="59"/>
      <c r="Q251" s="81"/>
      <c r="R251" s="82"/>
      <c r="S251" s="48"/>
      <c r="T251" s="50"/>
      <c r="U251" s="62"/>
      <c r="V251" s="63"/>
      <c r="W251" s="50"/>
      <c r="X251" s="48"/>
      <c r="Y251" s="63"/>
      <c r="Z251" s="63"/>
      <c r="AA251" s="64"/>
      <c r="AB251" s="65"/>
      <c r="AC251" s="66"/>
      <c r="AD251" s="67"/>
      <c r="AE251" s="68"/>
      <c r="AF251" s="48"/>
      <c r="AG251" s="63"/>
      <c r="AH251" s="63"/>
      <c r="AI251" s="63"/>
      <c r="AJ251" s="63"/>
      <c r="AK251" s="63"/>
      <c r="AL251" s="63"/>
      <c r="AM251" s="63"/>
      <c r="AN251" s="63"/>
      <c r="AO251" s="63"/>
      <c r="AP251" s="63"/>
      <c r="AQ251" s="63"/>
      <c r="AR251" s="63"/>
      <c r="AS251" s="63"/>
      <c r="AT251" s="63"/>
      <c r="AU251" s="63"/>
      <c r="AV251" s="63"/>
      <c r="AW251" s="50"/>
      <c r="AX251" s="69"/>
      <c r="AY251" s="69"/>
      <c r="AZ251" s="54"/>
      <c r="BA251" s="54"/>
      <c r="BB251" s="54"/>
      <c r="BC251" s="54"/>
      <c r="BD251" s="54"/>
      <c r="BE251" s="70"/>
      <c r="BF251" s="63"/>
      <c r="BG251" s="71">
        <v>0</v>
      </c>
      <c r="BH251" s="67"/>
      <c r="BI251" s="68"/>
      <c r="BJ251" s="72">
        <v>0</v>
      </c>
      <c r="BK251" s="62"/>
      <c r="BL251" s="70"/>
      <c r="BM251" s="70"/>
      <c r="BN251" s="70"/>
      <c r="BO251" s="70"/>
      <c r="BP251" s="73"/>
      <c r="BQ251" s="48"/>
      <c r="BR251" s="63"/>
      <c r="BS251" s="50"/>
      <c r="BT251" s="76" t="e">
        <v>#DIV/0!</v>
      </c>
      <c r="BU251" s="77" t="e">
        <v>#DIV/0!</v>
      </c>
      <c r="BV251" s="78">
        <v>0</v>
      </c>
      <c r="BW251" s="79">
        <v>0</v>
      </c>
      <c r="BX251" s="62"/>
      <c r="BY251" s="63"/>
      <c r="BZ251" s="63"/>
      <c r="CA251" s="63"/>
      <c r="CB251" s="63"/>
      <c r="CC251" s="63"/>
      <c r="CD251" s="63"/>
      <c r="CE251" s="50"/>
    </row>
    <row r="252" spans="2:83" x14ac:dyDescent="0.3">
      <c r="B252" s="46">
        <v>0</v>
      </c>
      <c r="C252" s="47"/>
      <c r="D252" s="48"/>
      <c r="E252" s="49"/>
      <c r="F252" s="50"/>
      <c r="G252" s="51" t="e">
        <v>#DIV/0!</v>
      </c>
      <c r="H252" s="52" t="e">
        <v>#DIV/0!</v>
      </c>
      <c r="I252" s="53"/>
      <c r="J252" s="54"/>
      <c r="K252" s="54"/>
      <c r="L252" s="55"/>
      <c r="M252" s="56"/>
      <c r="N252" s="57">
        <v>0</v>
      </c>
      <c r="O252" s="58"/>
      <c r="P252" s="59"/>
      <c r="Q252" s="81"/>
      <c r="R252" s="82"/>
      <c r="S252" s="48"/>
      <c r="T252" s="50"/>
      <c r="U252" s="62"/>
      <c r="V252" s="63"/>
      <c r="W252" s="50"/>
      <c r="X252" s="48"/>
      <c r="Y252" s="63"/>
      <c r="Z252" s="63"/>
      <c r="AA252" s="64"/>
      <c r="AB252" s="65"/>
      <c r="AC252" s="66"/>
      <c r="AD252" s="67"/>
      <c r="AE252" s="68"/>
      <c r="AF252" s="48"/>
      <c r="AG252" s="63"/>
      <c r="AH252" s="63"/>
      <c r="AI252" s="63"/>
      <c r="AJ252" s="63"/>
      <c r="AK252" s="63"/>
      <c r="AL252" s="63"/>
      <c r="AM252" s="63"/>
      <c r="AN252" s="63"/>
      <c r="AO252" s="63"/>
      <c r="AP252" s="63"/>
      <c r="AQ252" s="63"/>
      <c r="AR252" s="63"/>
      <c r="AS252" s="63"/>
      <c r="AT252" s="63"/>
      <c r="AU252" s="63"/>
      <c r="AV252" s="63"/>
      <c r="AW252" s="50"/>
      <c r="AX252" s="69"/>
      <c r="AY252" s="69"/>
      <c r="AZ252" s="54"/>
      <c r="BA252" s="54"/>
      <c r="BB252" s="54"/>
      <c r="BC252" s="54"/>
      <c r="BD252" s="54"/>
      <c r="BE252" s="70"/>
      <c r="BF252" s="63"/>
      <c r="BG252" s="71">
        <v>0</v>
      </c>
      <c r="BH252" s="67"/>
      <c r="BI252" s="68"/>
      <c r="BJ252" s="72">
        <v>0</v>
      </c>
      <c r="BK252" s="62"/>
      <c r="BL252" s="70"/>
      <c r="BM252" s="70"/>
      <c r="BN252" s="70"/>
      <c r="BO252" s="70"/>
      <c r="BP252" s="73"/>
      <c r="BQ252" s="48"/>
      <c r="BR252" s="63"/>
      <c r="BS252" s="50"/>
      <c r="BT252" s="76" t="e">
        <v>#DIV/0!</v>
      </c>
      <c r="BU252" s="77" t="e">
        <v>#DIV/0!</v>
      </c>
      <c r="BV252" s="78">
        <v>0</v>
      </c>
      <c r="BW252" s="79">
        <v>0</v>
      </c>
      <c r="BX252" s="62"/>
      <c r="BY252" s="63"/>
      <c r="BZ252" s="63"/>
      <c r="CA252" s="63"/>
      <c r="CB252" s="63"/>
      <c r="CC252" s="63"/>
      <c r="CD252" s="63"/>
      <c r="CE252" s="50"/>
    </row>
    <row r="253" spans="2:83" x14ac:dyDescent="0.3">
      <c r="B253" s="46">
        <v>0</v>
      </c>
      <c r="C253" s="47"/>
      <c r="D253" s="48"/>
      <c r="E253" s="49"/>
      <c r="F253" s="50"/>
      <c r="G253" s="51" t="e">
        <v>#DIV/0!</v>
      </c>
      <c r="H253" s="52" t="e">
        <v>#DIV/0!</v>
      </c>
      <c r="I253" s="53"/>
      <c r="J253" s="54"/>
      <c r="K253" s="54"/>
      <c r="L253" s="55"/>
      <c r="M253" s="56"/>
      <c r="N253" s="57">
        <v>0</v>
      </c>
      <c r="O253" s="58"/>
      <c r="P253" s="59"/>
      <c r="Q253" s="81"/>
      <c r="R253" s="82"/>
      <c r="S253" s="48"/>
      <c r="T253" s="50"/>
      <c r="U253" s="62"/>
      <c r="V253" s="63"/>
      <c r="W253" s="50"/>
      <c r="X253" s="48"/>
      <c r="Y253" s="63"/>
      <c r="Z253" s="63"/>
      <c r="AA253" s="64"/>
      <c r="AB253" s="65"/>
      <c r="AC253" s="66"/>
      <c r="AD253" s="67"/>
      <c r="AE253" s="68"/>
      <c r="AF253" s="48"/>
      <c r="AG253" s="63"/>
      <c r="AH253" s="63"/>
      <c r="AI253" s="63"/>
      <c r="AJ253" s="63"/>
      <c r="AK253" s="63"/>
      <c r="AL253" s="63"/>
      <c r="AM253" s="63"/>
      <c r="AN253" s="63"/>
      <c r="AO253" s="63"/>
      <c r="AP253" s="63"/>
      <c r="AQ253" s="63"/>
      <c r="AR253" s="63"/>
      <c r="AS253" s="63"/>
      <c r="AT253" s="63"/>
      <c r="AU253" s="63"/>
      <c r="AV253" s="63"/>
      <c r="AW253" s="50"/>
      <c r="AX253" s="69"/>
      <c r="AY253" s="69"/>
      <c r="AZ253" s="54"/>
      <c r="BA253" s="54"/>
      <c r="BB253" s="54"/>
      <c r="BC253" s="54"/>
      <c r="BD253" s="54"/>
      <c r="BE253" s="70"/>
      <c r="BF253" s="63"/>
      <c r="BG253" s="71">
        <v>0</v>
      </c>
      <c r="BH253" s="67"/>
      <c r="BI253" s="68"/>
      <c r="BJ253" s="72">
        <v>0</v>
      </c>
      <c r="BK253" s="62"/>
      <c r="BL253" s="70"/>
      <c r="BM253" s="70"/>
      <c r="BN253" s="70"/>
      <c r="BO253" s="70"/>
      <c r="BP253" s="73"/>
      <c r="BQ253" s="48"/>
      <c r="BR253" s="63"/>
      <c r="BS253" s="50"/>
      <c r="BT253" s="76" t="e">
        <v>#DIV/0!</v>
      </c>
      <c r="BU253" s="77" t="e">
        <v>#DIV/0!</v>
      </c>
      <c r="BV253" s="78">
        <v>0</v>
      </c>
      <c r="BW253" s="79">
        <v>0</v>
      </c>
      <c r="BX253" s="62"/>
      <c r="BY253" s="63"/>
      <c r="BZ253" s="63"/>
      <c r="CA253" s="63"/>
      <c r="CB253" s="63"/>
      <c r="CC253" s="63"/>
      <c r="CD253" s="63"/>
      <c r="CE253" s="50"/>
    </row>
    <row r="254" spans="2:83" x14ac:dyDescent="0.3">
      <c r="B254" s="46">
        <v>0</v>
      </c>
      <c r="C254" s="47"/>
      <c r="D254" s="48"/>
      <c r="E254" s="49"/>
      <c r="F254" s="50"/>
      <c r="G254" s="51" t="e">
        <v>#DIV/0!</v>
      </c>
      <c r="H254" s="52" t="e">
        <v>#DIV/0!</v>
      </c>
      <c r="I254" s="53"/>
      <c r="J254" s="54"/>
      <c r="K254" s="54"/>
      <c r="L254" s="55"/>
      <c r="M254" s="56"/>
      <c r="N254" s="57">
        <v>0</v>
      </c>
      <c r="O254" s="58"/>
      <c r="P254" s="59"/>
      <c r="Q254" s="81"/>
      <c r="R254" s="82"/>
      <c r="S254" s="48"/>
      <c r="T254" s="50"/>
      <c r="U254" s="62"/>
      <c r="V254" s="63"/>
      <c r="W254" s="50"/>
      <c r="X254" s="48"/>
      <c r="Y254" s="63"/>
      <c r="Z254" s="63"/>
      <c r="AA254" s="64"/>
      <c r="AB254" s="65"/>
      <c r="AC254" s="66"/>
      <c r="AD254" s="67"/>
      <c r="AE254" s="68"/>
      <c r="AF254" s="48"/>
      <c r="AG254" s="63"/>
      <c r="AH254" s="63"/>
      <c r="AI254" s="63"/>
      <c r="AJ254" s="63"/>
      <c r="AK254" s="63"/>
      <c r="AL254" s="63"/>
      <c r="AM254" s="63"/>
      <c r="AN254" s="63"/>
      <c r="AO254" s="63"/>
      <c r="AP254" s="63"/>
      <c r="AQ254" s="63"/>
      <c r="AR254" s="63"/>
      <c r="AS254" s="63"/>
      <c r="AT254" s="63"/>
      <c r="AU254" s="63"/>
      <c r="AV254" s="63"/>
      <c r="AW254" s="50"/>
      <c r="AX254" s="69"/>
      <c r="AY254" s="69"/>
      <c r="AZ254" s="54"/>
      <c r="BA254" s="54"/>
      <c r="BB254" s="54"/>
      <c r="BC254" s="54"/>
      <c r="BD254" s="54"/>
      <c r="BE254" s="70"/>
      <c r="BF254" s="63"/>
      <c r="BG254" s="71">
        <v>0</v>
      </c>
      <c r="BH254" s="67"/>
      <c r="BI254" s="68"/>
      <c r="BJ254" s="72">
        <v>0</v>
      </c>
      <c r="BK254" s="62"/>
      <c r="BL254" s="70"/>
      <c r="BM254" s="70"/>
      <c r="BN254" s="70"/>
      <c r="BO254" s="70"/>
      <c r="BP254" s="73"/>
      <c r="BQ254" s="48"/>
      <c r="BR254" s="63"/>
      <c r="BS254" s="50"/>
      <c r="BT254" s="76" t="e">
        <v>#DIV/0!</v>
      </c>
      <c r="BU254" s="77" t="e">
        <v>#DIV/0!</v>
      </c>
      <c r="BV254" s="78">
        <v>0</v>
      </c>
      <c r="BW254" s="79">
        <v>0</v>
      </c>
      <c r="BX254" s="62"/>
      <c r="BY254" s="63"/>
      <c r="BZ254" s="63"/>
      <c r="CA254" s="63"/>
      <c r="CB254" s="63"/>
      <c r="CC254" s="63"/>
      <c r="CD254" s="63"/>
      <c r="CE254" s="50"/>
    </row>
    <row r="255" spans="2:83" x14ac:dyDescent="0.3">
      <c r="B255" s="46">
        <v>0</v>
      </c>
      <c r="C255" s="47"/>
      <c r="D255" s="48"/>
      <c r="E255" s="49"/>
      <c r="F255" s="50"/>
      <c r="G255" s="51" t="e">
        <v>#DIV/0!</v>
      </c>
      <c r="H255" s="52" t="e">
        <v>#DIV/0!</v>
      </c>
      <c r="I255" s="53"/>
      <c r="J255" s="54"/>
      <c r="K255" s="54"/>
      <c r="L255" s="55"/>
      <c r="M255" s="56"/>
      <c r="N255" s="57">
        <v>0</v>
      </c>
      <c r="O255" s="58"/>
      <c r="P255" s="59"/>
      <c r="Q255" s="81"/>
      <c r="R255" s="82"/>
      <c r="S255" s="48"/>
      <c r="T255" s="50"/>
      <c r="U255" s="62"/>
      <c r="V255" s="63"/>
      <c r="W255" s="50"/>
      <c r="X255" s="48"/>
      <c r="Y255" s="63"/>
      <c r="Z255" s="63"/>
      <c r="AA255" s="64"/>
      <c r="AB255" s="65"/>
      <c r="AC255" s="66"/>
      <c r="AD255" s="67"/>
      <c r="AE255" s="68"/>
      <c r="AF255" s="48"/>
      <c r="AG255" s="63"/>
      <c r="AH255" s="63"/>
      <c r="AI255" s="63"/>
      <c r="AJ255" s="63"/>
      <c r="AK255" s="63"/>
      <c r="AL255" s="63"/>
      <c r="AM255" s="63"/>
      <c r="AN255" s="63"/>
      <c r="AO255" s="63"/>
      <c r="AP255" s="63"/>
      <c r="AQ255" s="63"/>
      <c r="AR255" s="63"/>
      <c r="AS255" s="63"/>
      <c r="AT255" s="63"/>
      <c r="AU255" s="63"/>
      <c r="AV255" s="63"/>
      <c r="AW255" s="50"/>
      <c r="AX255" s="69"/>
      <c r="AY255" s="69"/>
      <c r="AZ255" s="54"/>
      <c r="BA255" s="54"/>
      <c r="BB255" s="54"/>
      <c r="BC255" s="54"/>
      <c r="BD255" s="54"/>
      <c r="BE255" s="70"/>
      <c r="BF255" s="63"/>
      <c r="BG255" s="71">
        <v>0</v>
      </c>
      <c r="BH255" s="67"/>
      <c r="BI255" s="68"/>
      <c r="BJ255" s="72">
        <v>0</v>
      </c>
      <c r="BK255" s="62"/>
      <c r="BL255" s="70"/>
      <c r="BM255" s="70"/>
      <c r="BN255" s="70"/>
      <c r="BO255" s="70"/>
      <c r="BP255" s="73"/>
      <c r="BQ255" s="48"/>
      <c r="BR255" s="63"/>
      <c r="BS255" s="50"/>
      <c r="BT255" s="76" t="e">
        <v>#DIV/0!</v>
      </c>
      <c r="BU255" s="77" t="e">
        <v>#DIV/0!</v>
      </c>
      <c r="BV255" s="78">
        <v>0</v>
      </c>
      <c r="BW255" s="79">
        <v>0</v>
      </c>
      <c r="BX255" s="62"/>
      <c r="BY255" s="63"/>
      <c r="BZ255" s="63"/>
      <c r="CA255" s="63"/>
      <c r="CB255" s="63"/>
      <c r="CC255" s="63"/>
      <c r="CD255" s="63"/>
      <c r="CE255" s="50"/>
    </row>
    <row r="256" spans="2:83" x14ac:dyDescent="0.3">
      <c r="B256" s="46">
        <v>0</v>
      </c>
      <c r="C256" s="47"/>
      <c r="D256" s="48"/>
      <c r="E256" s="49"/>
      <c r="F256" s="50"/>
      <c r="G256" s="51" t="e">
        <v>#DIV/0!</v>
      </c>
      <c r="H256" s="52" t="e">
        <v>#DIV/0!</v>
      </c>
      <c r="I256" s="53"/>
      <c r="J256" s="54"/>
      <c r="K256" s="54"/>
      <c r="L256" s="55"/>
      <c r="M256" s="56"/>
      <c r="N256" s="57">
        <v>0</v>
      </c>
      <c r="O256" s="58"/>
      <c r="P256" s="59"/>
      <c r="Q256" s="81"/>
      <c r="R256" s="82"/>
      <c r="S256" s="48"/>
      <c r="T256" s="50"/>
      <c r="U256" s="62"/>
      <c r="V256" s="63"/>
      <c r="W256" s="50"/>
      <c r="X256" s="48"/>
      <c r="Y256" s="63"/>
      <c r="Z256" s="63"/>
      <c r="AA256" s="64"/>
      <c r="AB256" s="65"/>
      <c r="AC256" s="66"/>
      <c r="AD256" s="67"/>
      <c r="AE256" s="68"/>
      <c r="AF256" s="48"/>
      <c r="AG256" s="63"/>
      <c r="AH256" s="63"/>
      <c r="AI256" s="63"/>
      <c r="AJ256" s="63"/>
      <c r="AK256" s="63"/>
      <c r="AL256" s="63"/>
      <c r="AM256" s="63"/>
      <c r="AN256" s="63"/>
      <c r="AO256" s="63"/>
      <c r="AP256" s="63"/>
      <c r="AQ256" s="63"/>
      <c r="AR256" s="63"/>
      <c r="AS256" s="63"/>
      <c r="AT256" s="63"/>
      <c r="AU256" s="63"/>
      <c r="AV256" s="63"/>
      <c r="AW256" s="50"/>
      <c r="AX256" s="69"/>
      <c r="AY256" s="69"/>
      <c r="AZ256" s="54"/>
      <c r="BA256" s="54"/>
      <c r="BB256" s="54"/>
      <c r="BC256" s="54"/>
      <c r="BD256" s="54"/>
      <c r="BE256" s="70"/>
      <c r="BF256" s="63"/>
      <c r="BG256" s="71">
        <v>0</v>
      </c>
      <c r="BH256" s="67"/>
      <c r="BI256" s="68"/>
      <c r="BJ256" s="72">
        <v>0</v>
      </c>
      <c r="BK256" s="62"/>
      <c r="BL256" s="70"/>
      <c r="BM256" s="70"/>
      <c r="BN256" s="70"/>
      <c r="BO256" s="70"/>
      <c r="BP256" s="73"/>
      <c r="BQ256" s="48"/>
      <c r="BR256" s="63"/>
      <c r="BS256" s="50"/>
      <c r="BT256" s="76" t="e">
        <v>#DIV/0!</v>
      </c>
      <c r="BU256" s="77" t="e">
        <v>#DIV/0!</v>
      </c>
      <c r="BV256" s="78">
        <v>0</v>
      </c>
      <c r="BW256" s="79">
        <v>0</v>
      </c>
      <c r="BX256" s="62"/>
      <c r="BY256" s="63"/>
      <c r="BZ256" s="63"/>
      <c r="CA256" s="63"/>
      <c r="CB256" s="63"/>
      <c r="CC256" s="63"/>
      <c r="CD256" s="63"/>
      <c r="CE256" s="50"/>
    </row>
    <row r="257" spans="2:83" x14ac:dyDescent="0.3">
      <c r="B257" s="46">
        <v>0</v>
      </c>
      <c r="C257" s="47"/>
      <c r="D257" s="48"/>
      <c r="E257" s="49"/>
      <c r="F257" s="50"/>
      <c r="G257" s="51" t="e">
        <v>#DIV/0!</v>
      </c>
      <c r="H257" s="52" t="e">
        <v>#DIV/0!</v>
      </c>
      <c r="I257" s="53"/>
      <c r="J257" s="54"/>
      <c r="K257" s="54"/>
      <c r="L257" s="55"/>
      <c r="M257" s="56"/>
      <c r="N257" s="57">
        <v>0</v>
      </c>
      <c r="O257" s="58"/>
      <c r="P257" s="59"/>
      <c r="Q257" s="81"/>
      <c r="R257" s="82"/>
      <c r="S257" s="48"/>
      <c r="T257" s="50"/>
      <c r="U257" s="62"/>
      <c r="V257" s="63"/>
      <c r="W257" s="50"/>
      <c r="X257" s="48"/>
      <c r="Y257" s="63"/>
      <c r="Z257" s="63"/>
      <c r="AA257" s="64"/>
      <c r="AB257" s="65"/>
      <c r="AC257" s="66"/>
      <c r="AD257" s="67"/>
      <c r="AE257" s="68"/>
      <c r="AF257" s="48"/>
      <c r="AG257" s="63"/>
      <c r="AH257" s="63"/>
      <c r="AI257" s="63"/>
      <c r="AJ257" s="63"/>
      <c r="AK257" s="63"/>
      <c r="AL257" s="63"/>
      <c r="AM257" s="63"/>
      <c r="AN257" s="63"/>
      <c r="AO257" s="63"/>
      <c r="AP257" s="63"/>
      <c r="AQ257" s="63"/>
      <c r="AR257" s="63"/>
      <c r="AS257" s="63"/>
      <c r="AT257" s="63"/>
      <c r="AU257" s="63"/>
      <c r="AV257" s="63"/>
      <c r="AW257" s="50"/>
      <c r="AX257" s="69"/>
      <c r="AY257" s="69"/>
      <c r="AZ257" s="54"/>
      <c r="BA257" s="54"/>
      <c r="BB257" s="54"/>
      <c r="BC257" s="54"/>
      <c r="BD257" s="54"/>
      <c r="BE257" s="70"/>
      <c r="BF257" s="63"/>
      <c r="BG257" s="71">
        <v>0</v>
      </c>
      <c r="BH257" s="67"/>
      <c r="BI257" s="68"/>
      <c r="BJ257" s="72">
        <v>0</v>
      </c>
      <c r="BK257" s="62"/>
      <c r="BL257" s="70"/>
      <c r="BM257" s="70"/>
      <c r="BN257" s="70"/>
      <c r="BO257" s="70"/>
      <c r="BP257" s="73"/>
      <c r="BQ257" s="48"/>
      <c r="BR257" s="63"/>
      <c r="BS257" s="50"/>
      <c r="BT257" s="76" t="e">
        <v>#DIV/0!</v>
      </c>
      <c r="BU257" s="77" t="e">
        <v>#DIV/0!</v>
      </c>
      <c r="BV257" s="78">
        <v>0</v>
      </c>
      <c r="BW257" s="79">
        <v>0</v>
      </c>
      <c r="BX257" s="62"/>
      <c r="BY257" s="63"/>
      <c r="BZ257" s="63"/>
      <c r="CA257" s="63"/>
      <c r="CB257" s="63"/>
      <c r="CC257" s="63"/>
      <c r="CD257" s="63"/>
      <c r="CE257" s="50"/>
    </row>
    <row r="258" spans="2:83" x14ac:dyDescent="0.3">
      <c r="B258" s="46">
        <v>0</v>
      </c>
      <c r="C258" s="47"/>
      <c r="D258" s="48"/>
      <c r="E258" s="49"/>
      <c r="F258" s="50"/>
      <c r="G258" s="51" t="e">
        <v>#DIV/0!</v>
      </c>
      <c r="H258" s="52" t="e">
        <v>#DIV/0!</v>
      </c>
      <c r="I258" s="53"/>
      <c r="J258" s="54"/>
      <c r="K258" s="54"/>
      <c r="L258" s="55"/>
      <c r="M258" s="56"/>
      <c r="N258" s="57">
        <v>0</v>
      </c>
      <c r="O258" s="58"/>
      <c r="P258" s="59"/>
      <c r="Q258" s="81"/>
      <c r="R258" s="82"/>
      <c r="S258" s="48"/>
      <c r="T258" s="50"/>
      <c r="U258" s="62"/>
      <c r="V258" s="63"/>
      <c r="W258" s="50"/>
      <c r="X258" s="48"/>
      <c r="Y258" s="63"/>
      <c r="Z258" s="63"/>
      <c r="AA258" s="64"/>
      <c r="AB258" s="65"/>
      <c r="AC258" s="66"/>
      <c r="AD258" s="67"/>
      <c r="AE258" s="68"/>
      <c r="AF258" s="48"/>
      <c r="AG258" s="63"/>
      <c r="AH258" s="63"/>
      <c r="AI258" s="63"/>
      <c r="AJ258" s="63"/>
      <c r="AK258" s="63"/>
      <c r="AL258" s="63"/>
      <c r="AM258" s="63"/>
      <c r="AN258" s="63"/>
      <c r="AO258" s="63"/>
      <c r="AP258" s="63"/>
      <c r="AQ258" s="63"/>
      <c r="AR258" s="63"/>
      <c r="AS258" s="63"/>
      <c r="AT258" s="63"/>
      <c r="AU258" s="63"/>
      <c r="AV258" s="63"/>
      <c r="AW258" s="50"/>
      <c r="AX258" s="69"/>
      <c r="AY258" s="69"/>
      <c r="AZ258" s="54"/>
      <c r="BA258" s="54"/>
      <c r="BB258" s="54"/>
      <c r="BC258" s="54"/>
      <c r="BD258" s="54"/>
      <c r="BE258" s="70"/>
      <c r="BF258" s="63"/>
      <c r="BG258" s="71">
        <v>0</v>
      </c>
      <c r="BH258" s="67"/>
      <c r="BI258" s="68"/>
      <c r="BJ258" s="72">
        <v>0</v>
      </c>
      <c r="BK258" s="62"/>
      <c r="BL258" s="70"/>
      <c r="BM258" s="70"/>
      <c r="BN258" s="70"/>
      <c r="BO258" s="70"/>
      <c r="BP258" s="73"/>
      <c r="BQ258" s="48"/>
      <c r="BR258" s="63"/>
      <c r="BS258" s="50"/>
      <c r="BT258" s="76" t="e">
        <v>#DIV/0!</v>
      </c>
      <c r="BU258" s="77" t="e">
        <v>#DIV/0!</v>
      </c>
      <c r="BV258" s="78">
        <v>0</v>
      </c>
      <c r="BW258" s="79">
        <v>0</v>
      </c>
      <c r="BX258" s="62"/>
      <c r="BY258" s="63"/>
      <c r="BZ258" s="63"/>
      <c r="CA258" s="63"/>
      <c r="CB258" s="63"/>
      <c r="CC258" s="63"/>
      <c r="CD258" s="63"/>
      <c r="CE258" s="50"/>
    </row>
    <row r="259" spans="2:83" x14ac:dyDescent="0.3">
      <c r="B259" s="46">
        <v>0</v>
      </c>
      <c r="C259" s="47"/>
      <c r="D259" s="48"/>
      <c r="E259" s="49"/>
      <c r="F259" s="50"/>
      <c r="G259" s="51" t="e">
        <v>#DIV/0!</v>
      </c>
      <c r="H259" s="52" t="e">
        <v>#DIV/0!</v>
      </c>
      <c r="I259" s="53"/>
      <c r="J259" s="54"/>
      <c r="K259" s="54"/>
      <c r="L259" s="55"/>
      <c r="M259" s="56"/>
      <c r="N259" s="57">
        <v>0</v>
      </c>
      <c r="O259" s="58"/>
      <c r="P259" s="59"/>
      <c r="Q259" s="81"/>
      <c r="R259" s="82"/>
      <c r="S259" s="48"/>
      <c r="T259" s="50"/>
      <c r="U259" s="62"/>
      <c r="V259" s="63"/>
      <c r="W259" s="50"/>
      <c r="X259" s="48"/>
      <c r="Y259" s="63"/>
      <c r="Z259" s="63"/>
      <c r="AA259" s="64"/>
      <c r="AB259" s="65"/>
      <c r="AC259" s="66"/>
      <c r="AD259" s="67"/>
      <c r="AE259" s="68"/>
      <c r="AF259" s="48"/>
      <c r="AG259" s="63"/>
      <c r="AH259" s="63"/>
      <c r="AI259" s="63"/>
      <c r="AJ259" s="63"/>
      <c r="AK259" s="63"/>
      <c r="AL259" s="63"/>
      <c r="AM259" s="63"/>
      <c r="AN259" s="63"/>
      <c r="AO259" s="63"/>
      <c r="AP259" s="63"/>
      <c r="AQ259" s="63"/>
      <c r="AR259" s="63"/>
      <c r="AS259" s="63"/>
      <c r="AT259" s="63"/>
      <c r="AU259" s="63"/>
      <c r="AV259" s="63"/>
      <c r="AW259" s="50"/>
      <c r="AX259" s="69"/>
      <c r="AY259" s="69"/>
      <c r="AZ259" s="54"/>
      <c r="BA259" s="54"/>
      <c r="BB259" s="54"/>
      <c r="BC259" s="54"/>
      <c r="BD259" s="54"/>
      <c r="BE259" s="70"/>
      <c r="BF259" s="63"/>
      <c r="BG259" s="71">
        <v>0</v>
      </c>
      <c r="BH259" s="67"/>
      <c r="BI259" s="68"/>
      <c r="BJ259" s="72">
        <v>0</v>
      </c>
      <c r="BK259" s="62"/>
      <c r="BL259" s="70"/>
      <c r="BM259" s="70"/>
      <c r="BN259" s="70"/>
      <c r="BO259" s="70"/>
      <c r="BP259" s="73"/>
      <c r="BQ259" s="48"/>
      <c r="BR259" s="63"/>
      <c r="BS259" s="50"/>
      <c r="BT259" s="76" t="e">
        <v>#DIV/0!</v>
      </c>
      <c r="BU259" s="77" t="e">
        <v>#DIV/0!</v>
      </c>
      <c r="BV259" s="78">
        <v>0</v>
      </c>
      <c r="BW259" s="79">
        <v>0</v>
      </c>
      <c r="BX259" s="62"/>
      <c r="BY259" s="63"/>
      <c r="BZ259" s="63"/>
      <c r="CA259" s="63"/>
      <c r="CB259" s="63"/>
      <c r="CC259" s="63"/>
      <c r="CD259" s="63"/>
      <c r="CE259" s="50"/>
    </row>
    <row r="260" spans="2:83" x14ac:dyDescent="0.3">
      <c r="B260" s="46">
        <v>0</v>
      </c>
      <c r="C260" s="47"/>
      <c r="D260" s="48"/>
      <c r="E260" s="49"/>
      <c r="F260" s="50"/>
      <c r="G260" s="51" t="e">
        <v>#DIV/0!</v>
      </c>
      <c r="H260" s="52" t="e">
        <v>#DIV/0!</v>
      </c>
      <c r="I260" s="53"/>
      <c r="J260" s="54"/>
      <c r="K260" s="54"/>
      <c r="L260" s="55"/>
      <c r="M260" s="56"/>
      <c r="N260" s="57">
        <v>0</v>
      </c>
      <c r="O260" s="58"/>
      <c r="P260" s="59"/>
      <c r="Q260" s="81"/>
      <c r="R260" s="82"/>
      <c r="S260" s="48"/>
      <c r="T260" s="50"/>
      <c r="U260" s="62"/>
      <c r="V260" s="63"/>
      <c r="W260" s="50"/>
      <c r="X260" s="48"/>
      <c r="Y260" s="63"/>
      <c r="Z260" s="63"/>
      <c r="AA260" s="64"/>
      <c r="AB260" s="65"/>
      <c r="AC260" s="66"/>
      <c r="AD260" s="67"/>
      <c r="AE260" s="68"/>
      <c r="AF260" s="48"/>
      <c r="AG260" s="63"/>
      <c r="AH260" s="63"/>
      <c r="AI260" s="63"/>
      <c r="AJ260" s="63"/>
      <c r="AK260" s="63"/>
      <c r="AL260" s="63"/>
      <c r="AM260" s="63"/>
      <c r="AN260" s="63"/>
      <c r="AO260" s="63"/>
      <c r="AP260" s="63"/>
      <c r="AQ260" s="63"/>
      <c r="AR260" s="63"/>
      <c r="AS260" s="63"/>
      <c r="AT260" s="63"/>
      <c r="AU260" s="63"/>
      <c r="AV260" s="63"/>
      <c r="AW260" s="50"/>
      <c r="AX260" s="69"/>
      <c r="AY260" s="69"/>
      <c r="AZ260" s="54"/>
      <c r="BA260" s="54"/>
      <c r="BB260" s="54"/>
      <c r="BC260" s="54"/>
      <c r="BD260" s="54"/>
      <c r="BE260" s="70"/>
      <c r="BF260" s="63"/>
      <c r="BG260" s="71">
        <v>0</v>
      </c>
      <c r="BH260" s="67"/>
      <c r="BI260" s="68"/>
      <c r="BJ260" s="72">
        <v>0</v>
      </c>
      <c r="BK260" s="62"/>
      <c r="BL260" s="70"/>
      <c r="BM260" s="70"/>
      <c r="BN260" s="70"/>
      <c r="BO260" s="70"/>
      <c r="BP260" s="73"/>
      <c r="BQ260" s="48"/>
      <c r="BR260" s="63"/>
      <c r="BS260" s="50"/>
      <c r="BT260" s="76" t="e">
        <v>#DIV/0!</v>
      </c>
      <c r="BU260" s="77" t="e">
        <v>#DIV/0!</v>
      </c>
      <c r="BV260" s="78">
        <v>0</v>
      </c>
      <c r="BW260" s="79">
        <v>0</v>
      </c>
      <c r="BX260" s="62"/>
      <c r="BY260" s="63"/>
      <c r="BZ260" s="63"/>
      <c r="CA260" s="63"/>
      <c r="CB260" s="63"/>
      <c r="CC260" s="63"/>
      <c r="CD260" s="63"/>
      <c r="CE260" s="50"/>
    </row>
    <row r="261" spans="2:83" x14ac:dyDescent="0.3">
      <c r="B261" s="46">
        <v>0</v>
      </c>
      <c r="C261" s="47"/>
      <c r="D261" s="48"/>
      <c r="E261" s="49"/>
      <c r="F261" s="50"/>
      <c r="G261" s="51" t="e">
        <v>#DIV/0!</v>
      </c>
      <c r="H261" s="52" t="e">
        <v>#DIV/0!</v>
      </c>
      <c r="I261" s="53"/>
      <c r="J261" s="54"/>
      <c r="K261" s="54"/>
      <c r="L261" s="55"/>
      <c r="M261" s="56"/>
      <c r="N261" s="57">
        <v>0</v>
      </c>
      <c r="O261" s="58"/>
      <c r="P261" s="59"/>
      <c r="Q261" s="81"/>
      <c r="R261" s="82"/>
      <c r="S261" s="48"/>
      <c r="T261" s="50"/>
      <c r="U261" s="62"/>
      <c r="V261" s="63"/>
      <c r="W261" s="50"/>
      <c r="X261" s="48"/>
      <c r="Y261" s="63"/>
      <c r="Z261" s="63"/>
      <c r="AA261" s="64"/>
      <c r="AB261" s="65"/>
      <c r="AC261" s="66"/>
      <c r="AD261" s="67"/>
      <c r="AE261" s="68"/>
      <c r="AF261" s="48"/>
      <c r="AG261" s="63"/>
      <c r="AH261" s="63"/>
      <c r="AI261" s="63"/>
      <c r="AJ261" s="63"/>
      <c r="AK261" s="63"/>
      <c r="AL261" s="63"/>
      <c r="AM261" s="63"/>
      <c r="AN261" s="63"/>
      <c r="AO261" s="63"/>
      <c r="AP261" s="63"/>
      <c r="AQ261" s="63"/>
      <c r="AR261" s="63"/>
      <c r="AS261" s="63"/>
      <c r="AT261" s="63"/>
      <c r="AU261" s="63"/>
      <c r="AV261" s="63"/>
      <c r="AW261" s="50"/>
      <c r="AX261" s="69"/>
      <c r="AY261" s="69"/>
      <c r="AZ261" s="54"/>
      <c r="BA261" s="54"/>
      <c r="BB261" s="54"/>
      <c r="BC261" s="54"/>
      <c r="BD261" s="54"/>
      <c r="BE261" s="70"/>
      <c r="BF261" s="63"/>
      <c r="BG261" s="71">
        <v>0</v>
      </c>
      <c r="BH261" s="67"/>
      <c r="BI261" s="68"/>
      <c r="BJ261" s="72">
        <v>0</v>
      </c>
      <c r="BK261" s="62"/>
      <c r="BL261" s="70"/>
      <c r="BM261" s="70"/>
      <c r="BN261" s="70"/>
      <c r="BO261" s="70"/>
      <c r="BP261" s="73"/>
      <c r="BQ261" s="48"/>
      <c r="BR261" s="63"/>
      <c r="BS261" s="50"/>
      <c r="BT261" s="76" t="e">
        <v>#DIV/0!</v>
      </c>
      <c r="BU261" s="77" t="e">
        <v>#DIV/0!</v>
      </c>
      <c r="BV261" s="78">
        <v>0</v>
      </c>
      <c r="BW261" s="79">
        <v>0</v>
      </c>
      <c r="BX261" s="62"/>
      <c r="BY261" s="63"/>
      <c r="BZ261" s="63"/>
      <c r="CA261" s="63"/>
      <c r="CB261" s="63"/>
      <c r="CC261" s="63"/>
      <c r="CD261" s="63"/>
      <c r="CE261" s="50"/>
    </row>
    <row r="262" spans="2:83" x14ac:dyDescent="0.3">
      <c r="B262" s="46">
        <v>0</v>
      </c>
      <c r="C262" s="47"/>
      <c r="D262" s="48"/>
      <c r="E262" s="49"/>
      <c r="F262" s="50"/>
      <c r="G262" s="51" t="e">
        <v>#DIV/0!</v>
      </c>
      <c r="H262" s="52" t="e">
        <v>#DIV/0!</v>
      </c>
      <c r="I262" s="53"/>
      <c r="J262" s="54"/>
      <c r="K262" s="54"/>
      <c r="L262" s="55"/>
      <c r="M262" s="56"/>
      <c r="N262" s="57">
        <v>0</v>
      </c>
      <c r="O262" s="58"/>
      <c r="P262" s="59"/>
      <c r="Q262" s="81"/>
      <c r="R262" s="82"/>
      <c r="S262" s="48"/>
      <c r="T262" s="50"/>
      <c r="U262" s="62"/>
      <c r="V262" s="63"/>
      <c r="W262" s="50"/>
      <c r="X262" s="48"/>
      <c r="Y262" s="63"/>
      <c r="Z262" s="63"/>
      <c r="AA262" s="64"/>
      <c r="AB262" s="65"/>
      <c r="AC262" s="66"/>
      <c r="AD262" s="67"/>
      <c r="AE262" s="68"/>
      <c r="AF262" s="48"/>
      <c r="AG262" s="63"/>
      <c r="AH262" s="63"/>
      <c r="AI262" s="63"/>
      <c r="AJ262" s="63"/>
      <c r="AK262" s="63"/>
      <c r="AL262" s="63"/>
      <c r="AM262" s="63"/>
      <c r="AN262" s="63"/>
      <c r="AO262" s="63"/>
      <c r="AP262" s="63"/>
      <c r="AQ262" s="63"/>
      <c r="AR262" s="63"/>
      <c r="AS262" s="63"/>
      <c r="AT262" s="63"/>
      <c r="AU262" s="63"/>
      <c r="AV262" s="63"/>
      <c r="AW262" s="50"/>
      <c r="AX262" s="69"/>
      <c r="AY262" s="69"/>
      <c r="AZ262" s="54"/>
      <c r="BA262" s="54"/>
      <c r="BB262" s="54"/>
      <c r="BC262" s="54"/>
      <c r="BD262" s="54"/>
      <c r="BE262" s="70"/>
      <c r="BF262" s="63"/>
      <c r="BG262" s="71">
        <v>0</v>
      </c>
      <c r="BH262" s="67"/>
      <c r="BI262" s="68"/>
      <c r="BJ262" s="72">
        <v>0</v>
      </c>
      <c r="BK262" s="62"/>
      <c r="BL262" s="70"/>
      <c r="BM262" s="70"/>
      <c r="BN262" s="70"/>
      <c r="BO262" s="70"/>
      <c r="BP262" s="73"/>
      <c r="BQ262" s="48"/>
      <c r="BR262" s="63"/>
      <c r="BS262" s="50"/>
      <c r="BT262" s="76" t="e">
        <v>#DIV/0!</v>
      </c>
      <c r="BU262" s="77" t="e">
        <v>#DIV/0!</v>
      </c>
      <c r="BV262" s="78">
        <v>0</v>
      </c>
      <c r="BW262" s="79">
        <v>0</v>
      </c>
      <c r="BX262" s="62"/>
      <c r="BY262" s="63"/>
      <c r="BZ262" s="63"/>
      <c r="CA262" s="63"/>
      <c r="CB262" s="63"/>
      <c r="CC262" s="63"/>
      <c r="CD262" s="63"/>
      <c r="CE262" s="50"/>
    </row>
    <row r="263" spans="2:83" x14ac:dyDescent="0.3">
      <c r="B263" s="46">
        <v>0</v>
      </c>
      <c r="C263" s="47"/>
      <c r="D263" s="48"/>
      <c r="E263" s="49"/>
      <c r="F263" s="50"/>
      <c r="G263" s="51" t="e">
        <v>#DIV/0!</v>
      </c>
      <c r="H263" s="52" t="e">
        <v>#DIV/0!</v>
      </c>
      <c r="I263" s="53"/>
      <c r="J263" s="54"/>
      <c r="K263" s="54"/>
      <c r="L263" s="55"/>
      <c r="M263" s="56"/>
      <c r="N263" s="57">
        <v>0</v>
      </c>
      <c r="O263" s="58"/>
      <c r="P263" s="59"/>
      <c r="Q263" s="81"/>
      <c r="R263" s="82"/>
      <c r="S263" s="48"/>
      <c r="T263" s="50"/>
      <c r="U263" s="62"/>
      <c r="V263" s="63"/>
      <c r="W263" s="50"/>
      <c r="X263" s="48"/>
      <c r="Y263" s="63"/>
      <c r="Z263" s="63"/>
      <c r="AA263" s="64"/>
      <c r="AB263" s="65"/>
      <c r="AC263" s="66"/>
      <c r="AD263" s="67"/>
      <c r="AE263" s="68"/>
      <c r="AF263" s="48"/>
      <c r="AG263" s="63"/>
      <c r="AH263" s="63"/>
      <c r="AI263" s="63"/>
      <c r="AJ263" s="63"/>
      <c r="AK263" s="63"/>
      <c r="AL263" s="63"/>
      <c r="AM263" s="63"/>
      <c r="AN263" s="63"/>
      <c r="AO263" s="63"/>
      <c r="AP263" s="63"/>
      <c r="AQ263" s="63"/>
      <c r="AR263" s="63"/>
      <c r="AS263" s="63"/>
      <c r="AT263" s="63"/>
      <c r="AU263" s="63"/>
      <c r="AV263" s="63"/>
      <c r="AW263" s="50"/>
      <c r="AX263" s="69"/>
      <c r="AY263" s="69"/>
      <c r="AZ263" s="54"/>
      <c r="BA263" s="54"/>
      <c r="BB263" s="54"/>
      <c r="BC263" s="54"/>
      <c r="BD263" s="54"/>
      <c r="BE263" s="70"/>
      <c r="BF263" s="63"/>
      <c r="BG263" s="71">
        <v>0</v>
      </c>
      <c r="BH263" s="67"/>
      <c r="BI263" s="68"/>
      <c r="BJ263" s="72">
        <v>0</v>
      </c>
      <c r="BK263" s="62"/>
      <c r="BL263" s="70"/>
      <c r="BM263" s="70"/>
      <c r="BN263" s="70"/>
      <c r="BO263" s="70"/>
      <c r="BP263" s="73"/>
      <c r="BQ263" s="48"/>
      <c r="BR263" s="63"/>
      <c r="BS263" s="50"/>
      <c r="BT263" s="76" t="e">
        <v>#DIV/0!</v>
      </c>
      <c r="BU263" s="77" t="e">
        <v>#DIV/0!</v>
      </c>
      <c r="BV263" s="78">
        <v>0</v>
      </c>
      <c r="BW263" s="79">
        <v>0</v>
      </c>
      <c r="BX263" s="62"/>
      <c r="BY263" s="63"/>
      <c r="BZ263" s="63"/>
      <c r="CA263" s="63"/>
      <c r="CB263" s="63"/>
      <c r="CC263" s="63"/>
      <c r="CD263" s="63"/>
      <c r="CE263" s="50"/>
    </row>
    <row r="264" spans="2:83" x14ac:dyDescent="0.3">
      <c r="B264" s="46">
        <v>0</v>
      </c>
      <c r="C264" s="47"/>
      <c r="D264" s="48"/>
      <c r="E264" s="49"/>
      <c r="F264" s="50"/>
      <c r="G264" s="51" t="e">
        <v>#DIV/0!</v>
      </c>
      <c r="H264" s="52" t="e">
        <v>#DIV/0!</v>
      </c>
      <c r="I264" s="53"/>
      <c r="J264" s="54"/>
      <c r="K264" s="54"/>
      <c r="L264" s="55"/>
      <c r="M264" s="56"/>
      <c r="N264" s="57">
        <v>0</v>
      </c>
      <c r="O264" s="58"/>
      <c r="P264" s="59"/>
      <c r="Q264" s="81"/>
      <c r="R264" s="82"/>
      <c r="S264" s="48"/>
      <c r="T264" s="50"/>
      <c r="U264" s="62"/>
      <c r="V264" s="63"/>
      <c r="W264" s="50"/>
      <c r="X264" s="48"/>
      <c r="Y264" s="63"/>
      <c r="Z264" s="63"/>
      <c r="AA264" s="64"/>
      <c r="AB264" s="65"/>
      <c r="AC264" s="66"/>
      <c r="AD264" s="67"/>
      <c r="AE264" s="68"/>
      <c r="AF264" s="48"/>
      <c r="AG264" s="63"/>
      <c r="AH264" s="63"/>
      <c r="AI264" s="63"/>
      <c r="AJ264" s="63"/>
      <c r="AK264" s="63"/>
      <c r="AL264" s="63"/>
      <c r="AM264" s="63"/>
      <c r="AN264" s="63"/>
      <c r="AO264" s="63"/>
      <c r="AP264" s="63"/>
      <c r="AQ264" s="63"/>
      <c r="AR264" s="63"/>
      <c r="AS264" s="63"/>
      <c r="AT264" s="63"/>
      <c r="AU264" s="63"/>
      <c r="AV264" s="63"/>
      <c r="AW264" s="50"/>
      <c r="AX264" s="69"/>
      <c r="AY264" s="69"/>
      <c r="AZ264" s="54"/>
      <c r="BA264" s="54"/>
      <c r="BB264" s="54"/>
      <c r="BC264" s="54"/>
      <c r="BD264" s="54"/>
      <c r="BE264" s="70"/>
      <c r="BF264" s="63"/>
      <c r="BG264" s="71">
        <v>0</v>
      </c>
      <c r="BH264" s="67"/>
      <c r="BI264" s="68"/>
      <c r="BJ264" s="72">
        <v>0</v>
      </c>
      <c r="BK264" s="62"/>
      <c r="BL264" s="70"/>
      <c r="BM264" s="70"/>
      <c r="BN264" s="70"/>
      <c r="BO264" s="70"/>
      <c r="BP264" s="73"/>
      <c r="BQ264" s="48"/>
      <c r="BR264" s="63"/>
      <c r="BS264" s="50"/>
      <c r="BT264" s="76" t="e">
        <v>#DIV/0!</v>
      </c>
      <c r="BU264" s="77" t="e">
        <v>#DIV/0!</v>
      </c>
      <c r="BV264" s="78">
        <v>0</v>
      </c>
      <c r="BW264" s="79">
        <v>0</v>
      </c>
      <c r="BX264" s="62"/>
      <c r="BY264" s="63"/>
      <c r="BZ264" s="63"/>
      <c r="CA264" s="63"/>
      <c r="CB264" s="63"/>
      <c r="CC264" s="63"/>
      <c r="CD264" s="63"/>
      <c r="CE264" s="50"/>
    </row>
    <row r="265" spans="2:83" x14ac:dyDescent="0.3">
      <c r="B265" s="46">
        <v>0</v>
      </c>
      <c r="C265" s="47"/>
      <c r="D265" s="48"/>
      <c r="E265" s="49"/>
      <c r="F265" s="50"/>
      <c r="G265" s="51" t="e">
        <v>#DIV/0!</v>
      </c>
      <c r="H265" s="52" t="e">
        <v>#DIV/0!</v>
      </c>
      <c r="I265" s="53"/>
      <c r="J265" s="54"/>
      <c r="K265" s="54"/>
      <c r="L265" s="55"/>
      <c r="M265" s="56"/>
      <c r="N265" s="57">
        <v>0</v>
      </c>
      <c r="O265" s="58"/>
      <c r="P265" s="59"/>
      <c r="Q265" s="81"/>
      <c r="R265" s="82"/>
      <c r="S265" s="48"/>
      <c r="T265" s="50"/>
      <c r="U265" s="62"/>
      <c r="V265" s="63"/>
      <c r="W265" s="50"/>
      <c r="X265" s="48"/>
      <c r="Y265" s="63"/>
      <c r="Z265" s="63"/>
      <c r="AA265" s="64"/>
      <c r="AB265" s="65"/>
      <c r="AC265" s="66"/>
      <c r="AD265" s="67"/>
      <c r="AE265" s="68"/>
      <c r="AF265" s="48"/>
      <c r="AG265" s="63"/>
      <c r="AH265" s="63"/>
      <c r="AI265" s="63"/>
      <c r="AJ265" s="63"/>
      <c r="AK265" s="63"/>
      <c r="AL265" s="63"/>
      <c r="AM265" s="63"/>
      <c r="AN265" s="63"/>
      <c r="AO265" s="63"/>
      <c r="AP265" s="63"/>
      <c r="AQ265" s="63"/>
      <c r="AR265" s="63"/>
      <c r="AS265" s="63"/>
      <c r="AT265" s="63"/>
      <c r="AU265" s="63"/>
      <c r="AV265" s="63"/>
      <c r="AW265" s="50"/>
      <c r="AX265" s="69"/>
      <c r="AY265" s="69"/>
      <c r="AZ265" s="54"/>
      <c r="BA265" s="54"/>
      <c r="BB265" s="54"/>
      <c r="BC265" s="54"/>
      <c r="BD265" s="54"/>
      <c r="BE265" s="70"/>
      <c r="BF265" s="63"/>
      <c r="BG265" s="71">
        <v>0</v>
      </c>
      <c r="BH265" s="67"/>
      <c r="BI265" s="68"/>
      <c r="BJ265" s="72">
        <v>0</v>
      </c>
      <c r="BK265" s="62"/>
      <c r="BL265" s="70"/>
      <c r="BM265" s="70"/>
      <c r="BN265" s="70"/>
      <c r="BO265" s="70"/>
      <c r="BP265" s="73"/>
      <c r="BQ265" s="48"/>
      <c r="BR265" s="63"/>
      <c r="BS265" s="50"/>
      <c r="BT265" s="76" t="e">
        <v>#DIV/0!</v>
      </c>
      <c r="BU265" s="77" t="e">
        <v>#DIV/0!</v>
      </c>
      <c r="BV265" s="78">
        <v>0</v>
      </c>
      <c r="BW265" s="79">
        <v>0</v>
      </c>
      <c r="BX265" s="62"/>
      <c r="BY265" s="63"/>
      <c r="BZ265" s="63"/>
      <c r="CA265" s="63"/>
      <c r="CB265" s="63"/>
      <c r="CC265" s="63"/>
      <c r="CD265" s="63"/>
      <c r="CE265" s="50"/>
    </row>
    <row r="266" spans="2:83" x14ac:dyDescent="0.3">
      <c r="B266" s="46">
        <v>0</v>
      </c>
      <c r="C266" s="47"/>
      <c r="D266" s="48"/>
      <c r="E266" s="49"/>
      <c r="F266" s="50"/>
      <c r="G266" s="51" t="e">
        <v>#DIV/0!</v>
      </c>
      <c r="H266" s="52" t="e">
        <v>#DIV/0!</v>
      </c>
      <c r="I266" s="53"/>
      <c r="J266" s="54"/>
      <c r="K266" s="54"/>
      <c r="L266" s="55"/>
      <c r="M266" s="56"/>
      <c r="N266" s="57">
        <v>0</v>
      </c>
      <c r="O266" s="58"/>
      <c r="P266" s="59"/>
      <c r="Q266" s="81"/>
      <c r="R266" s="82"/>
      <c r="S266" s="48"/>
      <c r="T266" s="50"/>
      <c r="U266" s="62"/>
      <c r="V266" s="63"/>
      <c r="W266" s="50"/>
      <c r="X266" s="48"/>
      <c r="Y266" s="63"/>
      <c r="Z266" s="63"/>
      <c r="AA266" s="64"/>
      <c r="AB266" s="65"/>
      <c r="AC266" s="66"/>
      <c r="AD266" s="67"/>
      <c r="AE266" s="68"/>
      <c r="AF266" s="48"/>
      <c r="AG266" s="63"/>
      <c r="AH266" s="63"/>
      <c r="AI266" s="63"/>
      <c r="AJ266" s="63"/>
      <c r="AK266" s="63"/>
      <c r="AL266" s="63"/>
      <c r="AM266" s="63"/>
      <c r="AN266" s="63"/>
      <c r="AO266" s="63"/>
      <c r="AP266" s="63"/>
      <c r="AQ266" s="63"/>
      <c r="AR266" s="63"/>
      <c r="AS266" s="63"/>
      <c r="AT266" s="63"/>
      <c r="AU266" s="63"/>
      <c r="AV266" s="63"/>
      <c r="AW266" s="50"/>
      <c r="AX266" s="69"/>
      <c r="AY266" s="69"/>
      <c r="AZ266" s="54"/>
      <c r="BA266" s="54"/>
      <c r="BB266" s="54"/>
      <c r="BC266" s="54"/>
      <c r="BD266" s="54"/>
      <c r="BE266" s="70"/>
      <c r="BF266" s="63"/>
      <c r="BG266" s="71">
        <v>0</v>
      </c>
      <c r="BH266" s="67"/>
      <c r="BI266" s="68"/>
      <c r="BJ266" s="72">
        <v>0</v>
      </c>
      <c r="BK266" s="62"/>
      <c r="BL266" s="70"/>
      <c r="BM266" s="70"/>
      <c r="BN266" s="70"/>
      <c r="BO266" s="70"/>
      <c r="BP266" s="73"/>
      <c r="BQ266" s="48"/>
      <c r="BR266" s="63"/>
      <c r="BS266" s="50"/>
      <c r="BT266" s="76" t="e">
        <v>#DIV/0!</v>
      </c>
      <c r="BU266" s="77" t="e">
        <v>#DIV/0!</v>
      </c>
      <c r="BV266" s="78">
        <v>0</v>
      </c>
      <c r="BW266" s="79">
        <v>0</v>
      </c>
      <c r="BX266" s="62"/>
      <c r="BY266" s="63"/>
      <c r="BZ266" s="63"/>
      <c r="CA266" s="63"/>
      <c r="CB266" s="63"/>
      <c r="CC266" s="63"/>
      <c r="CD266" s="63"/>
      <c r="CE266" s="50"/>
    </row>
    <row r="267" spans="2:83" x14ac:dyDescent="0.3">
      <c r="B267" s="46">
        <v>0</v>
      </c>
      <c r="C267" s="47"/>
      <c r="D267" s="48"/>
      <c r="E267" s="49"/>
      <c r="F267" s="50"/>
      <c r="G267" s="51" t="e">
        <v>#DIV/0!</v>
      </c>
      <c r="H267" s="52" t="e">
        <v>#DIV/0!</v>
      </c>
      <c r="I267" s="53"/>
      <c r="J267" s="54"/>
      <c r="K267" s="54"/>
      <c r="L267" s="55"/>
      <c r="M267" s="56"/>
      <c r="N267" s="57">
        <v>0</v>
      </c>
      <c r="O267" s="58"/>
      <c r="P267" s="59"/>
      <c r="Q267" s="81"/>
      <c r="R267" s="82"/>
      <c r="S267" s="48"/>
      <c r="T267" s="50"/>
      <c r="U267" s="62"/>
      <c r="V267" s="63"/>
      <c r="W267" s="50"/>
      <c r="X267" s="48"/>
      <c r="Y267" s="63"/>
      <c r="Z267" s="63"/>
      <c r="AA267" s="64"/>
      <c r="AB267" s="65"/>
      <c r="AC267" s="66"/>
      <c r="AD267" s="67"/>
      <c r="AE267" s="68"/>
      <c r="AF267" s="48"/>
      <c r="AG267" s="63"/>
      <c r="AH267" s="63"/>
      <c r="AI267" s="63"/>
      <c r="AJ267" s="63"/>
      <c r="AK267" s="63"/>
      <c r="AL267" s="63"/>
      <c r="AM267" s="63"/>
      <c r="AN267" s="63"/>
      <c r="AO267" s="63"/>
      <c r="AP267" s="63"/>
      <c r="AQ267" s="63"/>
      <c r="AR267" s="63"/>
      <c r="AS267" s="63"/>
      <c r="AT267" s="63"/>
      <c r="AU267" s="63"/>
      <c r="AV267" s="63"/>
      <c r="AW267" s="50"/>
      <c r="AX267" s="69"/>
      <c r="AY267" s="69"/>
      <c r="AZ267" s="54"/>
      <c r="BA267" s="54"/>
      <c r="BB267" s="54"/>
      <c r="BC267" s="54"/>
      <c r="BD267" s="54"/>
      <c r="BE267" s="70"/>
      <c r="BF267" s="63"/>
      <c r="BG267" s="71">
        <v>0</v>
      </c>
      <c r="BH267" s="67"/>
      <c r="BI267" s="68"/>
      <c r="BJ267" s="72">
        <v>0</v>
      </c>
      <c r="BK267" s="62"/>
      <c r="BL267" s="70"/>
      <c r="BM267" s="70"/>
      <c r="BN267" s="70"/>
      <c r="BO267" s="70"/>
      <c r="BP267" s="73"/>
      <c r="BQ267" s="48"/>
      <c r="BR267" s="63"/>
      <c r="BS267" s="50"/>
      <c r="BT267" s="76" t="e">
        <v>#DIV/0!</v>
      </c>
      <c r="BU267" s="77" t="e">
        <v>#DIV/0!</v>
      </c>
      <c r="BV267" s="78">
        <v>0</v>
      </c>
      <c r="BW267" s="79">
        <v>0</v>
      </c>
      <c r="BX267" s="62"/>
      <c r="BY267" s="63"/>
      <c r="BZ267" s="63"/>
      <c r="CA267" s="63"/>
      <c r="CB267" s="63"/>
      <c r="CC267" s="63"/>
      <c r="CD267" s="63"/>
      <c r="CE267" s="50"/>
    </row>
    <row r="268" spans="2:83" x14ac:dyDescent="0.3">
      <c r="B268" s="46">
        <v>0</v>
      </c>
      <c r="C268" s="47"/>
      <c r="D268" s="48"/>
      <c r="E268" s="49"/>
      <c r="F268" s="50"/>
      <c r="G268" s="51" t="e">
        <v>#DIV/0!</v>
      </c>
      <c r="H268" s="52" t="e">
        <v>#DIV/0!</v>
      </c>
      <c r="I268" s="53"/>
      <c r="J268" s="54"/>
      <c r="K268" s="54"/>
      <c r="L268" s="55"/>
      <c r="M268" s="56"/>
      <c r="N268" s="57">
        <v>0</v>
      </c>
      <c r="O268" s="58"/>
      <c r="P268" s="59"/>
      <c r="Q268" s="81"/>
      <c r="R268" s="82"/>
      <c r="S268" s="48"/>
      <c r="T268" s="50"/>
      <c r="U268" s="62"/>
      <c r="V268" s="63"/>
      <c r="W268" s="50"/>
      <c r="X268" s="48"/>
      <c r="Y268" s="63"/>
      <c r="Z268" s="63"/>
      <c r="AA268" s="64"/>
      <c r="AB268" s="65"/>
      <c r="AC268" s="66"/>
      <c r="AD268" s="67"/>
      <c r="AE268" s="68"/>
      <c r="AF268" s="48"/>
      <c r="AG268" s="63"/>
      <c r="AH268" s="63"/>
      <c r="AI268" s="63"/>
      <c r="AJ268" s="63"/>
      <c r="AK268" s="63"/>
      <c r="AL268" s="63"/>
      <c r="AM268" s="63"/>
      <c r="AN268" s="63"/>
      <c r="AO268" s="63"/>
      <c r="AP268" s="63"/>
      <c r="AQ268" s="63"/>
      <c r="AR268" s="63"/>
      <c r="AS268" s="63"/>
      <c r="AT268" s="63"/>
      <c r="AU268" s="63"/>
      <c r="AV268" s="63"/>
      <c r="AW268" s="50"/>
      <c r="AX268" s="69"/>
      <c r="AY268" s="69"/>
      <c r="AZ268" s="54"/>
      <c r="BA268" s="54"/>
      <c r="BB268" s="54"/>
      <c r="BC268" s="54"/>
      <c r="BD268" s="54"/>
      <c r="BE268" s="70"/>
      <c r="BF268" s="63"/>
      <c r="BG268" s="71">
        <v>0</v>
      </c>
      <c r="BH268" s="67"/>
      <c r="BI268" s="68"/>
      <c r="BJ268" s="72">
        <v>0</v>
      </c>
      <c r="BK268" s="62"/>
      <c r="BL268" s="70"/>
      <c r="BM268" s="70"/>
      <c r="BN268" s="70"/>
      <c r="BO268" s="70"/>
      <c r="BP268" s="73"/>
      <c r="BQ268" s="48"/>
      <c r="BR268" s="63"/>
      <c r="BS268" s="50"/>
      <c r="BT268" s="76" t="e">
        <v>#DIV/0!</v>
      </c>
      <c r="BU268" s="77" t="e">
        <v>#DIV/0!</v>
      </c>
      <c r="BV268" s="78">
        <v>0</v>
      </c>
      <c r="BW268" s="79">
        <v>0</v>
      </c>
      <c r="BX268" s="62"/>
      <c r="BY268" s="63"/>
      <c r="BZ268" s="63"/>
      <c r="CA268" s="63"/>
      <c r="CB268" s="63"/>
      <c r="CC268" s="63"/>
      <c r="CD268" s="63"/>
      <c r="CE268" s="50"/>
    </row>
    <row r="269" spans="2:83" x14ac:dyDescent="0.3">
      <c r="B269" s="46">
        <v>0</v>
      </c>
      <c r="C269" s="47"/>
      <c r="D269" s="48"/>
      <c r="E269" s="49"/>
      <c r="F269" s="50"/>
      <c r="G269" s="51" t="e">
        <v>#DIV/0!</v>
      </c>
      <c r="H269" s="52" t="e">
        <v>#DIV/0!</v>
      </c>
      <c r="I269" s="53"/>
      <c r="J269" s="54"/>
      <c r="K269" s="54"/>
      <c r="L269" s="55"/>
      <c r="M269" s="56"/>
      <c r="N269" s="57">
        <v>0</v>
      </c>
      <c r="O269" s="58"/>
      <c r="P269" s="59"/>
      <c r="Q269" s="81"/>
      <c r="R269" s="82"/>
      <c r="S269" s="48"/>
      <c r="T269" s="50"/>
      <c r="U269" s="62"/>
      <c r="V269" s="63"/>
      <c r="W269" s="50"/>
      <c r="X269" s="48"/>
      <c r="Y269" s="63"/>
      <c r="Z269" s="63"/>
      <c r="AA269" s="64"/>
      <c r="AB269" s="65"/>
      <c r="AC269" s="66"/>
      <c r="AD269" s="67"/>
      <c r="AE269" s="68"/>
      <c r="AF269" s="48"/>
      <c r="AG269" s="63"/>
      <c r="AH269" s="63"/>
      <c r="AI269" s="63"/>
      <c r="AJ269" s="63"/>
      <c r="AK269" s="63"/>
      <c r="AL269" s="63"/>
      <c r="AM269" s="63"/>
      <c r="AN269" s="63"/>
      <c r="AO269" s="63"/>
      <c r="AP269" s="63"/>
      <c r="AQ269" s="63"/>
      <c r="AR269" s="63"/>
      <c r="AS269" s="63"/>
      <c r="AT269" s="63"/>
      <c r="AU269" s="63"/>
      <c r="AV269" s="63"/>
      <c r="AW269" s="50"/>
      <c r="AX269" s="69"/>
      <c r="AY269" s="69"/>
      <c r="AZ269" s="54"/>
      <c r="BA269" s="54"/>
      <c r="BB269" s="54"/>
      <c r="BC269" s="54"/>
      <c r="BD269" s="54"/>
      <c r="BE269" s="70"/>
      <c r="BF269" s="63"/>
      <c r="BG269" s="71">
        <v>0</v>
      </c>
      <c r="BH269" s="67"/>
      <c r="BI269" s="68"/>
      <c r="BJ269" s="72">
        <v>0</v>
      </c>
      <c r="BK269" s="62"/>
      <c r="BL269" s="70"/>
      <c r="BM269" s="70"/>
      <c r="BN269" s="70"/>
      <c r="BO269" s="70"/>
      <c r="BP269" s="73"/>
      <c r="BQ269" s="48"/>
      <c r="BR269" s="63"/>
      <c r="BS269" s="50"/>
      <c r="BT269" s="76" t="e">
        <v>#DIV/0!</v>
      </c>
      <c r="BU269" s="77" t="e">
        <v>#DIV/0!</v>
      </c>
      <c r="BV269" s="78">
        <v>0</v>
      </c>
      <c r="BW269" s="79">
        <v>0</v>
      </c>
      <c r="BX269" s="62"/>
      <c r="BY269" s="63"/>
      <c r="BZ269" s="63"/>
      <c r="CA269" s="63"/>
      <c r="CB269" s="63"/>
      <c r="CC269" s="63"/>
      <c r="CD269" s="63"/>
      <c r="CE269" s="50"/>
    </row>
    <row r="270" spans="2:83" x14ac:dyDescent="0.3">
      <c r="B270" s="46">
        <v>0</v>
      </c>
      <c r="C270" s="47"/>
      <c r="D270" s="48"/>
      <c r="E270" s="49"/>
      <c r="F270" s="50"/>
      <c r="G270" s="51" t="e">
        <v>#DIV/0!</v>
      </c>
      <c r="H270" s="52" t="e">
        <v>#DIV/0!</v>
      </c>
      <c r="I270" s="53"/>
      <c r="J270" s="54"/>
      <c r="K270" s="54"/>
      <c r="L270" s="55"/>
      <c r="M270" s="56"/>
      <c r="N270" s="57">
        <v>0</v>
      </c>
      <c r="O270" s="58"/>
      <c r="P270" s="59"/>
      <c r="Q270" s="81"/>
      <c r="R270" s="82"/>
      <c r="S270" s="48"/>
      <c r="T270" s="50"/>
      <c r="U270" s="62"/>
      <c r="V270" s="63"/>
      <c r="W270" s="50"/>
      <c r="X270" s="48"/>
      <c r="Y270" s="63"/>
      <c r="Z270" s="63"/>
      <c r="AA270" s="64"/>
      <c r="AB270" s="65"/>
      <c r="AC270" s="66"/>
      <c r="AD270" s="67"/>
      <c r="AE270" s="68"/>
      <c r="AF270" s="48"/>
      <c r="AG270" s="63"/>
      <c r="AH270" s="63"/>
      <c r="AI270" s="63"/>
      <c r="AJ270" s="63"/>
      <c r="AK270" s="63"/>
      <c r="AL270" s="63"/>
      <c r="AM270" s="63"/>
      <c r="AN270" s="63"/>
      <c r="AO270" s="63"/>
      <c r="AP270" s="63"/>
      <c r="AQ270" s="63"/>
      <c r="AR270" s="63"/>
      <c r="AS270" s="63"/>
      <c r="AT270" s="63"/>
      <c r="AU270" s="63"/>
      <c r="AV270" s="63"/>
      <c r="AW270" s="50"/>
      <c r="AX270" s="69"/>
      <c r="AY270" s="69"/>
      <c r="AZ270" s="54"/>
      <c r="BA270" s="54"/>
      <c r="BB270" s="54"/>
      <c r="BC270" s="54"/>
      <c r="BD270" s="54"/>
      <c r="BE270" s="70"/>
      <c r="BF270" s="63"/>
      <c r="BG270" s="71">
        <v>0</v>
      </c>
      <c r="BH270" s="67"/>
      <c r="BI270" s="68"/>
      <c r="BJ270" s="72">
        <v>0</v>
      </c>
      <c r="BK270" s="62"/>
      <c r="BL270" s="70"/>
      <c r="BM270" s="70"/>
      <c r="BN270" s="70"/>
      <c r="BO270" s="70"/>
      <c r="BP270" s="73"/>
      <c r="BQ270" s="48"/>
      <c r="BR270" s="63"/>
      <c r="BS270" s="50"/>
      <c r="BT270" s="76" t="e">
        <v>#DIV/0!</v>
      </c>
      <c r="BU270" s="77" t="e">
        <v>#DIV/0!</v>
      </c>
      <c r="BV270" s="78">
        <v>0</v>
      </c>
      <c r="BW270" s="79">
        <v>0</v>
      </c>
      <c r="BX270" s="62"/>
      <c r="BY270" s="63"/>
      <c r="BZ270" s="63"/>
      <c r="CA270" s="63"/>
      <c r="CB270" s="63"/>
      <c r="CC270" s="63"/>
      <c r="CD270" s="63"/>
      <c r="CE270" s="50"/>
    </row>
    <row r="271" spans="2:83" x14ac:dyDescent="0.3">
      <c r="B271" s="46">
        <v>0</v>
      </c>
      <c r="C271" s="47"/>
      <c r="D271" s="48"/>
      <c r="E271" s="49"/>
      <c r="F271" s="50"/>
      <c r="G271" s="51" t="e">
        <v>#DIV/0!</v>
      </c>
      <c r="H271" s="52" t="e">
        <v>#DIV/0!</v>
      </c>
      <c r="I271" s="53"/>
      <c r="J271" s="54"/>
      <c r="K271" s="54"/>
      <c r="L271" s="55"/>
      <c r="M271" s="56"/>
      <c r="N271" s="57">
        <v>0</v>
      </c>
      <c r="O271" s="58"/>
      <c r="P271" s="59"/>
      <c r="Q271" s="81"/>
      <c r="R271" s="82"/>
      <c r="S271" s="48"/>
      <c r="T271" s="50"/>
      <c r="U271" s="62"/>
      <c r="V271" s="63"/>
      <c r="W271" s="50"/>
      <c r="X271" s="48"/>
      <c r="Y271" s="63"/>
      <c r="Z271" s="63"/>
      <c r="AA271" s="64"/>
      <c r="AB271" s="65"/>
      <c r="AC271" s="66"/>
      <c r="AD271" s="67"/>
      <c r="AE271" s="68"/>
      <c r="AF271" s="48"/>
      <c r="AG271" s="63"/>
      <c r="AH271" s="63"/>
      <c r="AI271" s="63"/>
      <c r="AJ271" s="63"/>
      <c r="AK271" s="63"/>
      <c r="AL271" s="63"/>
      <c r="AM271" s="63"/>
      <c r="AN271" s="63"/>
      <c r="AO271" s="63"/>
      <c r="AP271" s="63"/>
      <c r="AQ271" s="63"/>
      <c r="AR271" s="63"/>
      <c r="AS271" s="63"/>
      <c r="AT271" s="63"/>
      <c r="AU271" s="63"/>
      <c r="AV271" s="63"/>
      <c r="AW271" s="50"/>
      <c r="AX271" s="69"/>
      <c r="AY271" s="69"/>
      <c r="AZ271" s="54"/>
      <c r="BA271" s="54"/>
      <c r="BB271" s="54"/>
      <c r="BC271" s="54"/>
      <c r="BD271" s="54"/>
      <c r="BE271" s="70"/>
      <c r="BF271" s="63"/>
      <c r="BG271" s="71">
        <v>0</v>
      </c>
      <c r="BH271" s="67"/>
      <c r="BI271" s="68"/>
      <c r="BJ271" s="72">
        <v>0</v>
      </c>
      <c r="BK271" s="62"/>
      <c r="BL271" s="70"/>
      <c r="BM271" s="70"/>
      <c r="BN271" s="70"/>
      <c r="BO271" s="70"/>
      <c r="BP271" s="73"/>
      <c r="BQ271" s="48"/>
      <c r="BR271" s="63"/>
      <c r="BS271" s="50"/>
      <c r="BT271" s="76" t="e">
        <v>#DIV/0!</v>
      </c>
      <c r="BU271" s="77" t="e">
        <v>#DIV/0!</v>
      </c>
      <c r="BV271" s="78">
        <v>0</v>
      </c>
      <c r="BW271" s="79">
        <v>0</v>
      </c>
      <c r="BX271" s="62"/>
      <c r="BY271" s="63"/>
      <c r="BZ271" s="63"/>
      <c r="CA271" s="63"/>
      <c r="CB271" s="63"/>
      <c r="CC271" s="63"/>
      <c r="CD271" s="63"/>
      <c r="CE271" s="50"/>
    </row>
    <row r="272" spans="2:83" x14ac:dyDescent="0.3">
      <c r="B272" s="46">
        <v>0</v>
      </c>
      <c r="C272" s="47"/>
      <c r="D272" s="48"/>
      <c r="E272" s="49"/>
      <c r="F272" s="50"/>
      <c r="G272" s="51" t="e">
        <v>#DIV/0!</v>
      </c>
      <c r="H272" s="52" t="e">
        <v>#DIV/0!</v>
      </c>
      <c r="I272" s="53"/>
      <c r="J272" s="54"/>
      <c r="K272" s="54"/>
      <c r="L272" s="55"/>
      <c r="M272" s="56"/>
      <c r="N272" s="57">
        <v>0</v>
      </c>
      <c r="O272" s="58"/>
      <c r="P272" s="59"/>
      <c r="Q272" s="81"/>
      <c r="R272" s="82"/>
      <c r="S272" s="48"/>
      <c r="T272" s="50"/>
      <c r="U272" s="62"/>
      <c r="V272" s="63"/>
      <c r="W272" s="50"/>
      <c r="X272" s="48"/>
      <c r="Y272" s="63"/>
      <c r="Z272" s="63"/>
      <c r="AA272" s="64"/>
      <c r="AB272" s="65"/>
      <c r="AC272" s="66"/>
      <c r="AD272" s="67"/>
      <c r="AE272" s="68"/>
      <c r="AF272" s="48"/>
      <c r="AG272" s="63"/>
      <c r="AH272" s="63"/>
      <c r="AI272" s="63"/>
      <c r="AJ272" s="63"/>
      <c r="AK272" s="63"/>
      <c r="AL272" s="63"/>
      <c r="AM272" s="63"/>
      <c r="AN272" s="63"/>
      <c r="AO272" s="63"/>
      <c r="AP272" s="63"/>
      <c r="AQ272" s="63"/>
      <c r="AR272" s="63"/>
      <c r="AS272" s="63"/>
      <c r="AT272" s="63"/>
      <c r="AU272" s="63"/>
      <c r="AV272" s="63"/>
      <c r="AW272" s="50"/>
      <c r="AX272" s="69"/>
      <c r="AY272" s="69"/>
      <c r="AZ272" s="54"/>
      <c r="BA272" s="54"/>
      <c r="BB272" s="54"/>
      <c r="BC272" s="54"/>
      <c r="BD272" s="54"/>
      <c r="BE272" s="70"/>
      <c r="BF272" s="63"/>
      <c r="BG272" s="71">
        <v>0</v>
      </c>
      <c r="BH272" s="67"/>
      <c r="BI272" s="68"/>
      <c r="BJ272" s="72">
        <v>0</v>
      </c>
      <c r="BK272" s="62"/>
      <c r="BL272" s="70"/>
      <c r="BM272" s="70"/>
      <c r="BN272" s="70"/>
      <c r="BO272" s="70"/>
      <c r="BP272" s="73"/>
      <c r="BQ272" s="48"/>
      <c r="BR272" s="63"/>
      <c r="BS272" s="50"/>
      <c r="BT272" s="76" t="e">
        <v>#DIV/0!</v>
      </c>
      <c r="BU272" s="77" t="e">
        <v>#DIV/0!</v>
      </c>
      <c r="BV272" s="78">
        <v>0</v>
      </c>
      <c r="BW272" s="79">
        <v>0</v>
      </c>
      <c r="BX272" s="62"/>
      <c r="BY272" s="63"/>
      <c r="BZ272" s="63"/>
      <c r="CA272" s="63"/>
      <c r="CB272" s="63"/>
      <c r="CC272" s="63"/>
      <c r="CD272" s="63"/>
      <c r="CE272" s="50"/>
    </row>
    <row r="273" spans="2:83" x14ac:dyDescent="0.3">
      <c r="B273" s="46">
        <v>0</v>
      </c>
      <c r="C273" s="47"/>
      <c r="D273" s="48"/>
      <c r="E273" s="49"/>
      <c r="F273" s="50"/>
      <c r="G273" s="51" t="e">
        <v>#DIV/0!</v>
      </c>
      <c r="H273" s="52" t="e">
        <v>#DIV/0!</v>
      </c>
      <c r="I273" s="53"/>
      <c r="J273" s="54"/>
      <c r="K273" s="54"/>
      <c r="L273" s="55"/>
      <c r="M273" s="56"/>
      <c r="N273" s="57">
        <v>0</v>
      </c>
      <c r="O273" s="58"/>
      <c r="P273" s="59"/>
      <c r="Q273" s="81"/>
      <c r="R273" s="82"/>
      <c r="S273" s="48"/>
      <c r="T273" s="50"/>
      <c r="U273" s="62"/>
      <c r="V273" s="63"/>
      <c r="W273" s="50"/>
      <c r="X273" s="48"/>
      <c r="Y273" s="63"/>
      <c r="Z273" s="63"/>
      <c r="AA273" s="64"/>
      <c r="AB273" s="65"/>
      <c r="AC273" s="66"/>
      <c r="AD273" s="67"/>
      <c r="AE273" s="68"/>
      <c r="AF273" s="48"/>
      <c r="AG273" s="63"/>
      <c r="AH273" s="63"/>
      <c r="AI273" s="63"/>
      <c r="AJ273" s="63"/>
      <c r="AK273" s="63"/>
      <c r="AL273" s="63"/>
      <c r="AM273" s="63"/>
      <c r="AN273" s="63"/>
      <c r="AO273" s="63"/>
      <c r="AP273" s="63"/>
      <c r="AQ273" s="63"/>
      <c r="AR273" s="63"/>
      <c r="AS273" s="63"/>
      <c r="AT273" s="63"/>
      <c r="AU273" s="63"/>
      <c r="AV273" s="63"/>
      <c r="AW273" s="50"/>
      <c r="AX273" s="69"/>
      <c r="AY273" s="69"/>
      <c r="AZ273" s="54"/>
      <c r="BA273" s="54"/>
      <c r="BB273" s="54"/>
      <c r="BC273" s="54"/>
      <c r="BD273" s="54"/>
      <c r="BE273" s="70"/>
      <c r="BF273" s="63"/>
      <c r="BG273" s="71">
        <v>0</v>
      </c>
      <c r="BH273" s="67"/>
      <c r="BI273" s="68"/>
      <c r="BJ273" s="72">
        <v>0</v>
      </c>
      <c r="BK273" s="62"/>
      <c r="BL273" s="70"/>
      <c r="BM273" s="70"/>
      <c r="BN273" s="70"/>
      <c r="BO273" s="70"/>
      <c r="BP273" s="73"/>
      <c r="BQ273" s="48"/>
      <c r="BR273" s="63"/>
      <c r="BS273" s="50"/>
      <c r="BT273" s="76" t="e">
        <v>#DIV/0!</v>
      </c>
      <c r="BU273" s="77" t="e">
        <v>#DIV/0!</v>
      </c>
      <c r="BV273" s="78">
        <v>0</v>
      </c>
      <c r="BW273" s="79">
        <v>0</v>
      </c>
      <c r="BX273" s="62"/>
      <c r="BY273" s="63"/>
      <c r="BZ273" s="63"/>
      <c r="CA273" s="63"/>
      <c r="CB273" s="63"/>
      <c r="CC273" s="63"/>
      <c r="CD273" s="63"/>
      <c r="CE273" s="50"/>
    </row>
    <row r="274" spans="2:83" x14ac:dyDescent="0.3">
      <c r="B274" s="46">
        <v>0</v>
      </c>
      <c r="C274" s="47"/>
      <c r="D274" s="48"/>
      <c r="E274" s="49"/>
      <c r="F274" s="50"/>
      <c r="G274" s="51" t="e">
        <v>#DIV/0!</v>
      </c>
      <c r="H274" s="52" t="e">
        <v>#DIV/0!</v>
      </c>
      <c r="I274" s="53"/>
      <c r="J274" s="54"/>
      <c r="K274" s="54"/>
      <c r="L274" s="55"/>
      <c r="M274" s="56"/>
      <c r="N274" s="57">
        <v>0</v>
      </c>
      <c r="O274" s="58"/>
      <c r="P274" s="59"/>
      <c r="Q274" s="81"/>
      <c r="R274" s="82"/>
      <c r="S274" s="48"/>
      <c r="T274" s="50"/>
      <c r="U274" s="62"/>
      <c r="V274" s="63"/>
      <c r="W274" s="50"/>
      <c r="X274" s="48"/>
      <c r="Y274" s="63"/>
      <c r="Z274" s="63"/>
      <c r="AA274" s="64"/>
      <c r="AB274" s="65"/>
      <c r="AC274" s="66"/>
      <c r="AD274" s="67"/>
      <c r="AE274" s="68"/>
      <c r="AF274" s="48"/>
      <c r="AG274" s="63"/>
      <c r="AH274" s="63"/>
      <c r="AI274" s="63"/>
      <c r="AJ274" s="63"/>
      <c r="AK274" s="63"/>
      <c r="AL274" s="63"/>
      <c r="AM274" s="63"/>
      <c r="AN274" s="63"/>
      <c r="AO274" s="63"/>
      <c r="AP274" s="63"/>
      <c r="AQ274" s="63"/>
      <c r="AR274" s="63"/>
      <c r="AS274" s="63"/>
      <c r="AT274" s="63"/>
      <c r="AU274" s="63"/>
      <c r="AV274" s="63"/>
      <c r="AW274" s="50"/>
      <c r="AX274" s="69"/>
      <c r="AY274" s="69"/>
      <c r="AZ274" s="54"/>
      <c r="BA274" s="54"/>
      <c r="BB274" s="54"/>
      <c r="BC274" s="54"/>
      <c r="BD274" s="54"/>
      <c r="BE274" s="70"/>
      <c r="BF274" s="63"/>
      <c r="BG274" s="71">
        <v>0</v>
      </c>
      <c r="BH274" s="67"/>
      <c r="BI274" s="68"/>
      <c r="BJ274" s="72">
        <v>0</v>
      </c>
      <c r="BK274" s="62"/>
      <c r="BL274" s="70"/>
      <c r="BM274" s="70"/>
      <c r="BN274" s="70"/>
      <c r="BO274" s="70"/>
      <c r="BP274" s="73"/>
      <c r="BQ274" s="48"/>
      <c r="BR274" s="63"/>
      <c r="BS274" s="50"/>
      <c r="BT274" s="76" t="e">
        <v>#DIV/0!</v>
      </c>
      <c r="BU274" s="77" t="e">
        <v>#DIV/0!</v>
      </c>
      <c r="BV274" s="78">
        <v>0</v>
      </c>
      <c r="BW274" s="79">
        <v>0</v>
      </c>
      <c r="BX274" s="62"/>
      <c r="BY274" s="63"/>
      <c r="BZ274" s="63"/>
      <c r="CA274" s="63"/>
      <c r="CB274" s="63"/>
      <c r="CC274" s="63"/>
      <c r="CD274" s="63"/>
      <c r="CE274" s="50"/>
    </row>
    <row r="275" spans="2:83" x14ac:dyDescent="0.3">
      <c r="B275" s="46">
        <v>0</v>
      </c>
      <c r="C275" s="47"/>
      <c r="D275" s="48"/>
      <c r="E275" s="49"/>
      <c r="F275" s="50"/>
      <c r="G275" s="51" t="e">
        <v>#DIV/0!</v>
      </c>
      <c r="H275" s="52" t="e">
        <v>#DIV/0!</v>
      </c>
      <c r="I275" s="53"/>
      <c r="J275" s="54"/>
      <c r="K275" s="54"/>
      <c r="L275" s="55"/>
      <c r="M275" s="56"/>
      <c r="N275" s="57">
        <v>0</v>
      </c>
      <c r="O275" s="58"/>
      <c r="P275" s="59"/>
      <c r="Q275" s="81"/>
      <c r="R275" s="82"/>
      <c r="S275" s="48"/>
      <c r="T275" s="50"/>
      <c r="U275" s="62"/>
      <c r="V275" s="63"/>
      <c r="W275" s="50"/>
      <c r="X275" s="48"/>
      <c r="Y275" s="63"/>
      <c r="Z275" s="63"/>
      <c r="AA275" s="64"/>
      <c r="AB275" s="65"/>
      <c r="AC275" s="66"/>
      <c r="AD275" s="67"/>
      <c r="AE275" s="68"/>
      <c r="AF275" s="48"/>
      <c r="AG275" s="63"/>
      <c r="AH275" s="63"/>
      <c r="AI275" s="63"/>
      <c r="AJ275" s="63"/>
      <c r="AK275" s="63"/>
      <c r="AL275" s="63"/>
      <c r="AM275" s="63"/>
      <c r="AN275" s="63"/>
      <c r="AO275" s="63"/>
      <c r="AP275" s="63"/>
      <c r="AQ275" s="63"/>
      <c r="AR275" s="63"/>
      <c r="AS275" s="63"/>
      <c r="AT275" s="63"/>
      <c r="AU275" s="63"/>
      <c r="AV275" s="63"/>
      <c r="AW275" s="50"/>
      <c r="AX275" s="69"/>
      <c r="AY275" s="69"/>
      <c r="AZ275" s="54"/>
      <c r="BA275" s="54"/>
      <c r="BB275" s="54"/>
      <c r="BC275" s="54"/>
      <c r="BD275" s="54"/>
      <c r="BE275" s="70"/>
      <c r="BF275" s="63"/>
      <c r="BG275" s="71">
        <v>0</v>
      </c>
      <c r="BH275" s="67"/>
      <c r="BI275" s="68"/>
      <c r="BJ275" s="72">
        <v>0</v>
      </c>
      <c r="BK275" s="62"/>
      <c r="BL275" s="70"/>
      <c r="BM275" s="70"/>
      <c r="BN275" s="70"/>
      <c r="BO275" s="70"/>
      <c r="BP275" s="73"/>
      <c r="BQ275" s="48"/>
      <c r="BR275" s="63"/>
      <c r="BS275" s="50"/>
      <c r="BT275" s="76" t="e">
        <v>#DIV/0!</v>
      </c>
      <c r="BU275" s="77" t="e">
        <v>#DIV/0!</v>
      </c>
      <c r="BV275" s="78">
        <v>0</v>
      </c>
      <c r="BW275" s="79">
        <v>0</v>
      </c>
      <c r="BX275" s="62"/>
      <c r="BY275" s="63"/>
      <c r="BZ275" s="63"/>
      <c r="CA275" s="63"/>
      <c r="CB275" s="63"/>
      <c r="CC275" s="63"/>
      <c r="CD275" s="63"/>
      <c r="CE275" s="50"/>
    </row>
    <row r="276" spans="2:83" x14ac:dyDescent="0.3">
      <c r="B276" s="46">
        <v>0</v>
      </c>
      <c r="C276" s="47"/>
      <c r="D276" s="48"/>
      <c r="E276" s="49"/>
      <c r="F276" s="50"/>
      <c r="G276" s="51" t="e">
        <v>#DIV/0!</v>
      </c>
      <c r="H276" s="52" t="e">
        <v>#DIV/0!</v>
      </c>
      <c r="I276" s="53"/>
      <c r="J276" s="54"/>
      <c r="K276" s="54"/>
      <c r="L276" s="55"/>
      <c r="M276" s="56"/>
      <c r="N276" s="57">
        <v>0</v>
      </c>
      <c r="O276" s="58"/>
      <c r="P276" s="59"/>
      <c r="Q276" s="81"/>
      <c r="R276" s="82"/>
      <c r="S276" s="48"/>
      <c r="T276" s="50"/>
      <c r="U276" s="62"/>
      <c r="V276" s="63"/>
      <c r="W276" s="50"/>
      <c r="X276" s="48"/>
      <c r="Y276" s="63"/>
      <c r="Z276" s="63"/>
      <c r="AA276" s="64"/>
      <c r="AB276" s="65"/>
      <c r="AC276" s="66"/>
      <c r="AD276" s="67"/>
      <c r="AE276" s="68"/>
      <c r="AF276" s="48"/>
      <c r="AG276" s="63"/>
      <c r="AH276" s="63"/>
      <c r="AI276" s="63"/>
      <c r="AJ276" s="63"/>
      <c r="AK276" s="63"/>
      <c r="AL276" s="63"/>
      <c r="AM276" s="63"/>
      <c r="AN276" s="63"/>
      <c r="AO276" s="63"/>
      <c r="AP276" s="63"/>
      <c r="AQ276" s="63"/>
      <c r="AR276" s="63"/>
      <c r="AS276" s="63"/>
      <c r="AT276" s="63"/>
      <c r="AU276" s="63"/>
      <c r="AV276" s="63"/>
      <c r="AW276" s="50"/>
      <c r="AX276" s="69"/>
      <c r="AY276" s="69"/>
      <c r="AZ276" s="54"/>
      <c r="BA276" s="54"/>
      <c r="BB276" s="54"/>
      <c r="BC276" s="54"/>
      <c r="BD276" s="54"/>
      <c r="BE276" s="70"/>
      <c r="BF276" s="63"/>
      <c r="BG276" s="71">
        <v>0</v>
      </c>
      <c r="BH276" s="67"/>
      <c r="BI276" s="68"/>
      <c r="BJ276" s="72">
        <v>0</v>
      </c>
      <c r="BK276" s="62"/>
      <c r="BL276" s="70"/>
      <c r="BM276" s="70"/>
      <c r="BN276" s="70"/>
      <c r="BO276" s="70"/>
      <c r="BP276" s="73"/>
      <c r="BQ276" s="48"/>
      <c r="BR276" s="63"/>
      <c r="BS276" s="50"/>
      <c r="BT276" s="76" t="e">
        <v>#DIV/0!</v>
      </c>
      <c r="BU276" s="77" t="e">
        <v>#DIV/0!</v>
      </c>
      <c r="BV276" s="78">
        <v>0</v>
      </c>
      <c r="BW276" s="79">
        <v>0</v>
      </c>
      <c r="BX276" s="62"/>
      <c r="BY276" s="63"/>
      <c r="BZ276" s="63"/>
      <c r="CA276" s="63"/>
      <c r="CB276" s="63"/>
      <c r="CC276" s="63"/>
      <c r="CD276" s="63"/>
      <c r="CE276" s="50"/>
    </row>
    <row r="277" spans="2:83" x14ac:dyDescent="0.3">
      <c r="B277" s="46">
        <v>0</v>
      </c>
      <c r="C277" s="47"/>
      <c r="D277" s="48"/>
      <c r="E277" s="49"/>
      <c r="F277" s="50"/>
      <c r="G277" s="51" t="e">
        <v>#DIV/0!</v>
      </c>
      <c r="H277" s="52" t="e">
        <v>#DIV/0!</v>
      </c>
      <c r="I277" s="53"/>
      <c r="J277" s="54"/>
      <c r="K277" s="54"/>
      <c r="L277" s="55"/>
      <c r="M277" s="56"/>
      <c r="N277" s="57">
        <v>0</v>
      </c>
      <c r="O277" s="58"/>
      <c r="P277" s="59"/>
      <c r="Q277" s="81"/>
      <c r="R277" s="82"/>
      <c r="S277" s="48"/>
      <c r="T277" s="50"/>
      <c r="U277" s="62"/>
      <c r="V277" s="63"/>
      <c r="W277" s="50"/>
      <c r="X277" s="48"/>
      <c r="Y277" s="63"/>
      <c r="Z277" s="63"/>
      <c r="AA277" s="64"/>
      <c r="AB277" s="65"/>
      <c r="AC277" s="66"/>
      <c r="AD277" s="67"/>
      <c r="AE277" s="68"/>
      <c r="AF277" s="48"/>
      <c r="AG277" s="63"/>
      <c r="AH277" s="63"/>
      <c r="AI277" s="63"/>
      <c r="AJ277" s="63"/>
      <c r="AK277" s="63"/>
      <c r="AL277" s="63"/>
      <c r="AM277" s="63"/>
      <c r="AN277" s="63"/>
      <c r="AO277" s="63"/>
      <c r="AP277" s="63"/>
      <c r="AQ277" s="63"/>
      <c r="AR277" s="63"/>
      <c r="AS277" s="63"/>
      <c r="AT277" s="63"/>
      <c r="AU277" s="63"/>
      <c r="AV277" s="63"/>
      <c r="AW277" s="50"/>
      <c r="AX277" s="69"/>
      <c r="AY277" s="69"/>
      <c r="AZ277" s="54"/>
      <c r="BA277" s="54"/>
      <c r="BB277" s="54"/>
      <c r="BC277" s="54"/>
      <c r="BD277" s="54"/>
      <c r="BE277" s="70"/>
      <c r="BF277" s="63"/>
      <c r="BG277" s="71">
        <v>0</v>
      </c>
      <c r="BH277" s="67"/>
      <c r="BI277" s="68"/>
      <c r="BJ277" s="72">
        <v>0</v>
      </c>
      <c r="BK277" s="62"/>
      <c r="BL277" s="70"/>
      <c r="BM277" s="70"/>
      <c r="BN277" s="70"/>
      <c r="BO277" s="70"/>
      <c r="BP277" s="73"/>
      <c r="BQ277" s="48"/>
      <c r="BR277" s="63"/>
      <c r="BS277" s="50"/>
      <c r="BT277" s="76" t="e">
        <v>#DIV/0!</v>
      </c>
      <c r="BU277" s="77" t="e">
        <v>#DIV/0!</v>
      </c>
      <c r="BV277" s="78">
        <v>0</v>
      </c>
      <c r="BW277" s="79">
        <v>0</v>
      </c>
      <c r="BX277" s="62"/>
      <c r="BY277" s="63"/>
      <c r="BZ277" s="63"/>
      <c r="CA277" s="63"/>
      <c r="CB277" s="63"/>
      <c r="CC277" s="63"/>
      <c r="CD277" s="63"/>
      <c r="CE277" s="50"/>
    </row>
    <row r="278" spans="2:83" x14ac:dyDescent="0.3">
      <c r="B278" s="46">
        <v>0</v>
      </c>
      <c r="C278" s="47"/>
      <c r="D278" s="48"/>
      <c r="E278" s="49"/>
      <c r="F278" s="50"/>
      <c r="G278" s="51" t="e">
        <v>#DIV/0!</v>
      </c>
      <c r="H278" s="52" t="e">
        <v>#DIV/0!</v>
      </c>
      <c r="I278" s="53"/>
      <c r="J278" s="54"/>
      <c r="K278" s="54"/>
      <c r="L278" s="55"/>
      <c r="M278" s="56"/>
      <c r="N278" s="57">
        <v>0</v>
      </c>
      <c r="O278" s="58"/>
      <c r="P278" s="59"/>
      <c r="Q278" s="81"/>
      <c r="R278" s="82"/>
      <c r="S278" s="48"/>
      <c r="T278" s="50"/>
      <c r="U278" s="62"/>
      <c r="V278" s="63"/>
      <c r="W278" s="50"/>
      <c r="X278" s="48"/>
      <c r="Y278" s="63"/>
      <c r="Z278" s="63"/>
      <c r="AA278" s="64"/>
      <c r="AB278" s="65"/>
      <c r="AC278" s="66"/>
      <c r="AD278" s="67"/>
      <c r="AE278" s="68"/>
      <c r="AF278" s="48"/>
      <c r="AG278" s="63"/>
      <c r="AH278" s="63"/>
      <c r="AI278" s="63"/>
      <c r="AJ278" s="63"/>
      <c r="AK278" s="63"/>
      <c r="AL278" s="63"/>
      <c r="AM278" s="63"/>
      <c r="AN278" s="63"/>
      <c r="AO278" s="63"/>
      <c r="AP278" s="63"/>
      <c r="AQ278" s="63"/>
      <c r="AR278" s="63"/>
      <c r="AS278" s="63"/>
      <c r="AT278" s="63"/>
      <c r="AU278" s="63"/>
      <c r="AV278" s="63"/>
      <c r="AW278" s="50"/>
      <c r="AX278" s="69"/>
      <c r="AY278" s="69"/>
      <c r="AZ278" s="54"/>
      <c r="BA278" s="54"/>
      <c r="BB278" s="54"/>
      <c r="BC278" s="54"/>
      <c r="BD278" s="54"/>
      <c r="BE278" s="70"/>
      <c r="BF278" s="63"/>
      <c r="BG278" s="71">
        <v>0</v>
      </c>
      <c r="BH278" s="67"/>
      <c r="BI278" s="68"/>
      <c r="BJ278" s="72">
        <v>0</v>
      </c>
      <c r="BK278" s="62"/>
      <c r="BL278" s="70"/>
      <c r="BM278" s="70"/>
      <c r="BN278" s="70"/>
      <c r="BO278" s="70"/>
      <c r="BP278" s="73"/>
      <c r="BQ278" s="48"/>
      <c r="BR278" s="63"/>
      <c r="BS278" s="50"/>
      <c r="BT278" s="76" t="e">
        <v>#DIV/0!</v>
      </c>
      <c r="BU278" s="77" t="e">
        <v>#DIV/0!</v>
      </c>
      <c r="BV278" s="78">
        <v>0</v>
      </c>
      <c r="BW278" s="79">
        <v>0</v>
      </c>
      <c r="BX278" s="62"/>
      <c r="BY278" s="63"/>
      <c r="BZ278" s="63"/>
      <c r="CA278" s="63"/>
      <c r="CB278" s="63"/>
      <c r="CC278" s="63"/>
      <c r="CD278" s="63"/>
      <c r="CE278" s="50"/>
    </row>
    <row r="279" spans="2:83" x14ac:dyDescent="0.3">
      <c r="B279" s="46">
        <v>0</v>
      </c>
      <c r="C279" s="47"/>
      <c r="D279" s="48"/>
      <c r="E279" s="49"/>
      <c r="F279" s="50"/>
      <c r="G279" s="51" t="e">
        <v>#DIV/0!</v>
      </c>
      <c r="H279" s="52" t="e">
        <v>#DIV/0!</v>
      </c>
      <c r="I279" s="53"/>
      <c r="J279" s="54"/>
      <c r="K279" s="54"/>
      <c r="L279" s="55"/>
      <c r="M279" s="56"/>
      <c r="N279" s="57">
        <v>0</v>
      </c>
      <c r="O279" s="58"/>
      <c r="P279" s="59"/>
      <c r="Q279" s="81"/>
      <c r="R279" s="82"/>
      <c r="S279" s="48"/>
      <c r="T279" s="50"/>
      <c r="U279" s="62"/>
      <c r="V279" s="63"/>
      <c r="W279" s="50"/>
      <c r="X279" s="48"/>
      <c r="Y279" s="63"/>
      <c r="Z279" s="63"/>
      <c r="AA279" s="64"/>
      <c r="AB279" s="65"/>
      <c r="AC279" s="66"/>
      <c r="AD279" s="67"/>
      <c r="AE279" s="68"/>
      <c r="AF279" s="48"/>
      <c r="AG279" s="63"/>
      <c r="AH279" s="63"/>
      <c r="AI279" s="63"/>
      <c r="AJ279" s="63"/>
      <c r="AK279" s="63"/>
      <c r="AL279" s="63"/>
      <c r="AM279" s="63"/>
      <c r="AN279" s="63"/>
      <c r="AO279" s="63"/>
      <c r="AP279" s="63"/>
      <c r="AQ279" s="63"/>
      <c r="AR279" s="63"/>
      <c r="AS279" s="63"/>
      <c r="AT279" s="63"/>
      <c r="AU279" s="63"/>
      <c r="AV279" s="63"/>
      <c r="AW279" s="50"/>
      <c r="AX279" s="69"/>
      <c r="AY279" s="69"/>
      <c r="AZ279" s="54"/>
      <c r="BA279" s="54"/>
      <c r="BB279" s="54"/>
      <c r="BC279" s="54"/>
      <c r="BD279" s="54"/>
      <c r="BE279" s="70"/>
      <c r="BF279" s="63"/>
      <c r="BG279" s="71">
        <v>0</v>
      </c>
      <c r="BH279" s="67"/>
      <c r="BI279" s="68"/>
      <c r="BJ279" s="72">
        <v>0</v>
      </c>
      <c r="BK279" s="62"/>
      <c r="BL279" s="70"/>
      <c r="BM279" s="70"/>
      <c r="BN279" s="70"/>
      <c r="BO279" s="70"/>
      <c r="BP279" s="73"/>
      <c r="BQ279" s="48"/>
      <c r="BR279" s="63"/>
      <c r="BS279" s="50"/>
      <c r="BT279" s="76" t="e">
        <v>#DIV/0!</v>
      </c>
      <c r="BU279" s="77" t="e">
        <v>#DIV/0!</v>
      </c>
      <c r="BV279" s="78">
        <v>0</v>
      </c>
      <c r="BW279" s="79">
        <v>0</v>
      </c>
      <c r="BX279" s="62"/>
      <c r="BY279" s="63"/>
      <c r="BZ279" s="63"/>
      <c r="CA279" s="63"/>
      <c r="CB279" s="63"/>
      <c r="CC279" s="63"/>
      <c r="CD279" s="63"/>
      <c r="CE279" s="50"/>
    </row>
    <row r="280" spans="2:83" x14ac:dyDescent="0.3">
      <c r="B280" s="46">
        <v>0</v>
      </c>
      <c r="C280" s="47"/>
      <c r="D280" s="48"/>
      <c r="E280" s="49"/>
      <c r="F280" s="50"/>
      <c r="G280" s="51" t="e">
        <v>#DIV/0!</v>
      </c>
      <c r="H280" s="52" t="e">
        <v>#DIV/0!</v>
      </c>
      <c r="I280" s="53"/>
      <c r="J280" s="54"/>
      <c r="K280" s="54"/>
      <c r="L280" s="55"/>
      <c r="M280" s="56"/>
      <c r="N280" s="57">
        <v>0</v>
      </c>
      <c r="O280" s="58"/>
      <c r="P280" s="59"/>
      <c r="Q280" s="81"/>
      <c r="R280" s="82"/>
      <c r="S280" s="48"/>
      <c r="T280" s="50"/>
      <c r="U280" s="62"/>
      <c r="V280" s="63"/>
      <c r="W280" s="50"/>
      <c r="X280" s="48"/>
      <c r="Y280" s="63"/>
      <c r="Z280" s="63"/>
      <c r="AA280" s="64"/>
      <c r="AB280" s="65"/>
      <c r="AC280" s="66"/>
      <c r="AD280" s="67"/>
      <c r="AE280" s="68"/>
      <c r="AF280" s="48"/>
      <c r="AG280" s="63"/>
      <c r="AH280" s="63"/>
      <c r="AI280" s="63"/>
      <c r="AJ280" s="63"/>
      <c r="AK280" s="63"/>
      <c r="AL280" s="63"/>
      <c r="AM280" s="63"/>
      <c r="AN280" s="63"/>
      <c r="AO280" s="63"/>
      <c r="AP280" s="63"/>
      <c r="AQ280" s="63"/>
      <c r="AR280" s="63"/>
      <c r="AS280" s="63"/>
      <c r="AT280" s="63"/>
      <c r="AU280" s="63"/>
      <c r="AV280" s="63"/>
      <c r="AW280" s="50"/>
      <c r="AX280" s="69"/>
      <c r="AY280" s="69"/>
      <c r="AZ280" s="54"/>
      <c r="BA280" s="54"/>
      <c r="BB280" s="54"/>
      <c r="BC280" s="54"/>
      <c r="BD280" s="54"/>
      <c r="BE280" s="70"/>
      <c r="BF280" s="63"/>
      <c r="BG280" s="71">
        <v>0</v>
      </c>
      <c r="BH280" s="67"/>
      <c r="BI280" s="68"/>
      <c r="BJ280" s="72">
        <v>0</v>
      </c>
      <c r="BK280" s="62"/>
      <c r="BL280" s="70"/>
      <c r="BM280" s="70"/>
      <c r="BN280" s="70"/>
      <c r="BO280" s="70"/>
      <c r="BP280" s="73"/>
      <c r="BQ280" s="48"/>
      <c r="BR280" s="63"/>
      <c r="BS280" s="50"/>
      <c r="BT280" s="76" t="e">
        <v>#DIV/0!</v>
      </c>
      <c r="BU280" s="77" t="e">
        <v>#DIV/0!</v>
      </c>
      <c r="BV280" s="78">
        <v>0</v>
      </c>
      <c r="BW280" s="79">
        <v>0</v>
      </c>
      <c r="BX280" s="62"/>
      <c r="BY280" s="63"/>
      <c r="BZ280" s="63"/>
      <c r="CA280" s="63"/>
      <c r="CB280" s="63"/>
      <c r="CC280" s="63"/>
      <c r="CD280" s="63"/>
      <c r="CE280" s="50"/>
    </row>
    <row r="281" spans="2:83" ht="15" thickBot="1" x14ac:dyDescent="0.35">
      <c r="B281" s="46">
        <v>0</v>
      </c>
      <c r="C281" s="47"/>
      <c r="D281" s="48"/>
      <c r="E281" s="49"/>
      <c r="F281" s="50"/>
      <c r="G281" s="83" t="e">
        <v>#DIV/0!</v>
      </c>
      <c r="H281" s="52" t="e">
        <v>#DIV/0!</v>
      </c>
      <c r="I281" s="53"/>
      <c r="J281" s="54"/>
      <c r="K281" s="54"/>
      <c r="L281" s="55"/>
      <c r="M281" s="56"/>
      <c r="N281" s="84">
        <v>0</v>
      </c>
      <c r="O281" s="85"/>
      <c r="P281" s="86"/>
      <c r="Q281" s="87"/>
      <c r="R281" s="88"/>
      <c r="S281" s="89"/>
      <c r="T281" s="90"/>
      <c r="U281" s="62"/>
      <c r="V281" s="63"/>
      <c r="W281" s="50"/>
      <c r="X281" s="48"/>
      <c r="Y281" s="63"/>
      <c r="Z281" s="63"/>
      <c r="AA281" s="64"/>
      <c r="AB281" s="65"/>
      <c r="AC281" s="91"/>
      <c r="AD281" s="92"/>
      <c r="AE281" s="93"/>
      <c r="AF281" s="89"/>
      <c r="AG281" s="94"/>
      <c r="AH281" s="94"/>
      <c r="AI281" s="94"/>
      <c r="AJ281" s="94"/>
      <c r="AK281" s="94"/>
      <c r="AL281" s="94"/>
      <c r="AM281" s="94"/>
      <c r="AN281" s="94"/>
      <c r="AO281" s="94"/>
      <c r="AP281" s="94"/>
      <c r="AQ281" s="94"/>
      <c r="AR281" s="94"/>
      <c r="AS281" s="94"/>
      <c r="AT281" s="94"/>
      <c r="AU281" s="94"/>
      <c r="AV281" s="94"/>
      <c r="AW281" s="90"/>
      <c r="AX281" s="69"/>
      <c r="AY281" s="69"/>
      <c r="AZ281" s="54"/>
      <c r="BA281" s="54"/>
      <c r="BB281" s="54"/>
      <c r="BC281" s="54"/>
      <c r="BD281" s="54"/>
      <c r="BE281" s="70"/>
      <c r="BF281" s="63"/>
      <c r="BG281" s="71">
        <v>0</v>
      </c>
      <c r="BH281" s="92"/>
      <c r="BI281" s="93"/>
      <c r="BJ281" s="95">
        <v>0</v>
      </c>
      <c r="BK281" s="62"/>
      <c r="BL281" s="70"/>
      <c r="BM281" s="70"/>
      <c r="BN281" s="70"/>
      <c r="BO281" s="70"/>
      <c r="BP281" s="73"/>
      <c r="BQ281" s="89"/>
      <c r="BR281" s="94"/>
      <c r="BS281" s="90"/>
      <c r="BT281" s="96" t="e">
        <v>#DIV/0!</v>
      </c>
      <c r="BU281" s="97" t="e">
        <v>#DIV/0!</v>
      </c>
      <c r="BV281" s="98">
        <v>0</v>
      </c>
      <c r="BW281" s="99">
        <v>0</v>
      </c>
      <c r="BX281" s="100"/>
      <c r="BY281" s="94"/>
      <c r="BZ281" s="94"/>
      <c r="CA281" s="94"/>
      <c r="CB281" s="94"/>
      <c r="CC281" s="94"/>
      <c r="CD281" s="94"/>
      <c r="CE281" s="90"/>
    </row>
  </sheetData>
  <mergeCells count="13">
    <mergeCell ref="B12:C12"/>
    <mergeCell ref="D4:Y4"/>
    <mergeCell ref="D6:Y6"/>
    <mergeCell ref="D11:F11"/>
    <mergeCell ref="G11:R11"/>
    <mergeCell ref="S11:T11"/>
    <mergeCell ref="U11:W11"/>
    <mergeCell ref="X11:AE11"/>
    <mergeCell ref="AF11:AW11"/>
    <mergeCell ref="AX11:BG11"/>
    <mergeCell ref="BH11:BP11"/>
    <mergeCell ref="BQ11:BS11"/>
    <mergeCell ref="BT11:CE11"/>
  </mergeCells>
  <conditionalFormatting sqref="P12">
    <cfRule type="cellIs" dxfId="23" priority="11" operator="lessThan">
      <formula>14.9</formula>
    </cfRule>
    <cfRule type="cellIs" dxfId="22" priority="12" operator="greaterThan">
      <formula>14.9</formula>
    </cfRule>
  </conditionalFormatting>
  <conditionalFormatting sqref="R12">
    <cfRule type="cellIs" dxfId="21" priority="9" operator="lessThan">
      <formula>10.9</formula>
    </cfRule>
    <cfRule type="cellIs" dxfId="20" priority="10" operator="greaterThan">
      <formula>10.9</formula>
    </cfRule>
  </conditionalFormatting>
  <conditionalFormatting sqref="O14:O281">
    <cfRule type="cellIs" dxfId="19" priority="7" operator="lessThan">
      <formula>$N14</formula>
    </cfRule>
    <cfRule type="cellIs" dxfId="18" priority="8" operator="greaterThan">
      <formula>$N14</formula>
    </cfRule>
  </conditionalFormatting>
  <conditionalFormatting sqref="Q14:Q281">
    <cfRule type="cellIs" dxfId="17" priority="5" operator="lessThan">
      <formula>$N14</formula>
    </cfRule>
    <cfRule type="cellIs" dxfId="16" priority="6" operator="greaterThan">
      <formula>$N14</formula>
    </cfRule>
  </conditionalFormatting>
  <conditionalFormatting sqref="P14:P281">
    <cfRule type="cellIs" dxfId="15" priority="3" operator="lessThan">
      <formula>14.9</formula>
    </cfRule>
    <cfRule type="cellIs" dxfId="14" priority="4" operator="greaterThan">
      <formula>14.9</formula>
    </cfRule>
  </conditionalFormatting>
  <conditionalFormatting sqref="R14:R281">
    <cfRule type="cellIs" dxfId="13" priority="1" operator="lessThan">
      <formula>10.9</formula>
    </cfRule>
    <cfRule type="cellIs" dxfId="12" priority="2" operator="greaterThan">
      <formula>10.9</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9C9D4-1412-457D-9AEB-9D1BE503EB8F}">
  <sheetPr codeName="Feuil4"/>
  <dimension ref="B1:CE425"/>
  <sheetViews>
    <sheetView zoomScale="80" zoomScaleNormal="80" workbookViewId="0">
      <selection activeCell="G31" sqref="G31"/>
    </sheetView>
  </sheetViews>
  <sheetFormatPr baseColWidth="10" defaultRowHeight="14.4" x14ac:dyDescent="0.3"/>
  <sheetData>
    <row r="1" spans="2:83" ht="17.399999999999999" x14ac:dyDescent="0.3">
      <c r="C1" s="13"/>
      <c r="Z1" s="13"/>
      <c r="AA1" s="13"/>
      <c r="AB1" s="13"/>
      <c r="AC1" s="13"/>
      <c r="AD1" s="13"/>
      <c r="AE1" s="13"/>
      <c r="AF1" s="13"/>
      <c r="AG1" s="13"/>
      <c r="AH1" s="13"/>
    </row>
    <row r="2" spans="2:83" ht="17.399999999999999" x14ac:dyDescent="0.3">
      <c r="C2" s="13"/>
      <c r="D2" s="120"/>
      <c r="E2" s="120"/>
      <c r="F2" s="120"/>
      <c r="G2" s="120"/>
      <c r="H2" s="120"/>
      <c r="I2" s="120"/>
      <c r="J2" s="120"/>
      <c r="K2" s="120"/>
      <c r="L2" s="120"/>
      <c r="M2" s="120"/>
      <c r="N2" s="120"/>
      <c r="O2" s="120"/>
      <c r="P2" s="120"/>
      <c r="Q2" s="120"/>
      <c r="R2" s="120"/>
      <c r="S2" s="120"/>
      <c r="T2" s="120"/>
      <c r="U2" s="120"/>
      <c r="V2" s="120"/>
      <c r="W2" s="120"/>
      <c r="X2" s="120"/>
      <c r="Y2" s="120"/>
      <c r="Z2" s="13"/>
      <c r="AA2" s="13"/>
      <c r="AB2" s="13"/>
      <c r="AC2" s="13"/>
      <c r="AD2" s="13"/>
      <c r="AE2" s="13"/>
      <c r="AF2" s="13"/>
      <c r="AG2" s="13"/>
      <c r="AH2" s="13"/>
    </row>
    <row r="3" spans="2:83" ht="17.399999999999999" x14ac:dyDescent="0.3">
      <c r="C3" s="13"/>
      <c r="D3" s="120"/>
      <c r="E3" s="120"/>
      <c r="F3" s="120"/>
      <c r="G3" s="120"/>
      <c r="H3" s="120"/>
      <c r="I3" s="120"/>
      <c r="J3" s="120"/>
      <c r="K3" s="120"/>
      <c r="L3" s="120"/>
      <c r="M3" s="120"/>
      <c r="N3" s="120"/>
      <c r="O3" s="120"/>
      <c r="P3" s="120"/>
      <c r="Q3" s="120"/>
      <c r="R3" s="120"/>
      <c r="S3" s="120"/>
      <c r="T3" s="120"/>
      <c r="U3" s="120"/>
      <c r="V3" s="120"/>
      <c r="W3" s="120"/>
      <c r="X3" s="120"/>
      <c r="Y3" s="120"/>
      <c r="Z3" s="13"/>
      <c r="AA3" s="13"/>
      <c r="AB3" s="13"/>
      <c r="AC3" s="13"/>
      <c r="AD3" s="13"/>
      <c r="AE3" s="13"/>
      <c r="AF3" s="13"/>
      <c r="AG3" s="13"/>
      <c r="AH3" s="13"/>
    </row>
    <row r="4" spans="2:83" ht="17.399999999999999" x14ac:dyDescent="0.3">
      <c r="C4" s="13"/>
      <c r="D4" s="120"/>
      <c r="E4" s="120"/>
      <c r="F4" s="120"/>
      <c r="G4" s="120"/>
      <c r="H4" s="120"/>
      <c r="I4" s="120"/>
      <c r="J4" s="120"/>
      <c r="K4" s="120"/>
      <c r="L4" s="120"/>
      <c r="M4" s="120"/>
      <c r="N4" s="120"/>
      <c r="O4" s="120"/>
      <c r="P4" s="120"/>
      <c r="Q4" s="120"/>
      <c r="R4" s="120"/>
      <c r="S4" s="120"/>
      <c r="T4" s="120"/>
      <c r="U4" s="120"/>
      <c r="V4" s="120"/>
      <c r="W4" s="120"/>
      <c r="X4" s="120"/>
      <c r="Y4" s="120"/>
      <c r="Z4" s="13"/>
      <c r="AA4" s="13"/>
      <c r="AB4" s="13"/>
      <c r="AC4" s="13"/>
      <c r="AD4" s="13"/>
      <c r="AE4" s="13"/>
      <c r="AF4" s="13"/>
      <c r="AG4" s="13"/>
      <c r="AH4" s="13"/>
    </row>
    <row r="5" spans="2:83" ht="17.399999999999999" x14ac:dyDescent="0.3">
      <c r="D5" s="222" t="s">
        <v>63</v>
      </c>
      <c r="E5" s="222"/>
      <c r="F5" s="222"/>
      <c r="G5" s="222"/>
      <c r="H5" s="222"/>
      <c r="I5" s="222"/>
      <c r="J5" s="222"/>
      <c r="K5" s="222"/>
      <c r="L5" s="222"/>
      <c r="M5" s="222"/>
      <c r="N5" s="222"/>
      <c r="O5" s="222"/>
      <c r="P5" s="222"/>
      <c r="Q5" s="222"/>
      <c r="R5" s="222"/>
      <c r="S5" s="222"/>
      <c r="T5" s="222"/>
      <c r="U5" s="222"/>
      <c r="V5" s="222"/>
      <c r="W5" s="222"/>
      <c r="X5" s="222"/>
      <c r="Y5" s="222"/>
    </row>
    <row r="6" spans="2:83" ht="16.2" thickBot="1" x14ac:dyDescent="0.35">
      <c r="D6" s="223" t="s">
        <v>64</v>
      </c>
      <c r="E6" s="224"/>
      <c r="F6" s="224"/>
      <c r="G6" s="224"/>
      <c r="H6" s="224"/>
      <c r="I6" s="224"/>
      <c r="J6" s="224"/>
      <c r="K6" s="224"/>
      <c r="L6" s="224"/>
      <c r="M6" s="224"/>
      <c r="N6" s="224"/>
      <c r="O6" s="224"/>
      <c r="P6" s="224"/>
      <c r="Q6" s="224"/>
      <c r="R6" s="224"/>
      <c r="S6" s="224"/>
      <c r="T6" s="224"/>
      <c r="U6" s="224"/>
      <c r="V6" s="224"/>
      <c r="W6" s="224"/>
      <c r="X6" s="224"/>
      <c r="Y6" s="224"/>
    </row>
    <row r="7" spans="2:83" ht="16.2" thickBot="1" x14ac:dyDescent="0.35">
      <c r="D7" s="14"/>
      <c r="E7" s="15"/>
      <c r="F7" s="14"/>
      <c r="G7" s="15"/>
      <c r="H7" s="16"/>
      <c r="I7" s="14"/>
      <c r="J7" s="17"/>
      <c r="K7" s="15"/>
      <c r="L7" s="14"/>
      <c r="M7" s="17"/>
      <c r="N7" s="15"/>
      <c r="O7" s="16"/>
      <c r="P7" s="16"/>
      <c r="Q7" s="14"/>
      <c r="R7" s="18"/>
      <c r="S7" s="18"/>
      <c r="T7" s="18"/>
      <c r="U7" s="16"/>
      <c r="V7" s="14"/>
      <c r="W7" s="15"/>
      <c r="X7" s="14"/>
      <c r="Y7" s="15"/>
      <c r="AF7" s="102">
        <f>AF12/$AF$8</f>
        <v>6.8707829635195977E-2</v>
      </c>
      <c r="AG7" s="102">
        <f t="shared" ref="AG7:AW7" si="0">AG12/$AF$8</f>
        <v>0.11682492222709094</v>
      </c>
      <c r="AH7" s="102">
        <f t="shared" si="0"/>
        <v>2.6846276318372251E-2</v>
      </c>
      <c r="AI7" s="102">
        <f t="shared" si="0"/>
        <v>4.4558077378344135E-2</v>
      </c>
      <c r="AJ7" s="102">
        <f t="shared" si="0"/>
        <v>3.5982734315053146E-2</v>
      </c>
      <c r="AK7" s="102">
        <f t="shared" si="0"/>
        <v>8.8779089248998216E-2</v>
      </c>
      <c r="AL7" s="102">
        <f t="shared" si="0"/>
        <v>8.8907967237232655E-2</v>
      </c>
      <c r="AM7" s="102">
        <f t="shared" si="0"/>
        <v>6.0701532458417022E-2</v>
      </c>
      <c r="AN7" s="102">
        <f t="shared" si="0"/>
        <v>0.15433634775643248</v>
      </c>
      <c r="AO7" s="102">
        <f t="shared" si="0"/>
        <v>6.8352919482981167E-2</v>
      </c>
      <c r="AP7" s="102">
        <f t="shared" si="0"/>
        <v>7.8716692475309949E-2</v>
      </c>
      <c r="AQ7" s="102">
        <f t="shared" si="0"/>
        <v>7.9152894897026482E-2</v>
      </c>
      <c r="AR7" s="102">
        <f t="shared" si="0"/>
        <v>2.4189407022462443E-3</v>
      </c>
      <c r="AS7" s="102">
        <f t="shared" si="0"/>
        <v>7.9904352705347252E-4</v>
      </c>
      <c r="AT7" s="102">
        <f t="shared" si="0"/>
        <v>3.0018657567219783E-3</v>
      </c>
      <c r="AU7" s="102">
        <f t="shared" si="0"/>
        <v>2.1433400812526149E-2</v>
      </c>
      <c r="AV7" s="102">
        <f t="shared" si="0"/>
        <v>5.6192785608492467E-2</v>
      </c>
      <c r="AW7" s="102">
        <f t="shared" si="0"/>
        <v>4.2866801625052291E-3</v>
      </c>
    </row>
    <row r="8" spans="2:83" ht="16.2" thickBot="1" x14ac:dyDescent="0.35">
      <c r="D8" s="14"/>
      <c r="E8" s="15"/>
      <c r="F8" s="14"/>
      <c r="G8" s="15"/>
      <c r="H8" s="16"/>
      <c r="I8" s="14"/>
      <c r="J8" s="17"/>
      <c r="K8" s="15"/>
      <c r="L8" s="14"/>
      <c r="M8" s="17"/>
      <c r="N8" s="15"/>
      <c r="O8" s="16"/>
      <c r="P8" s="16"/>
      <c r="Q8" s="14"/>
      <c r="R8" s="18"/>
      <c r="S8" s="18"/>
      <c r="T8" s="18"/>
      <c r="U8" s="16"/>
      <c r="V8" s="14"/>
      <c r="W8" s="15"/>
      <c r="X8" s="14"/>
      <c r="Y8" s="15"/>
      <c r="AF8" s="101">
        <f>SUM(AF12:AW12)</f>
        <v>504353</v>
      </c>
    </row>
    <row r="9" spans="2:83" ht="16.2" thickBot="1" x14ac:dyDescent="0.35">
      <c r="D9" s="14"/>
      <c r="E9" s="15"/>
      <c r="F9" s="14"/>
      <c r="G9" s="15"/>
      <c r="H9" s="16"/>
      <c r="I9" s="14"/>
      <c r="J9" s="17"/>
      <c r="K9" s="15"/>
      <c r="L9" s="14"/>
      <c r="M9" s="17"/>
      <c r="N9" s="15"/>
      <c r="O9" s="16"/>
      <c r="P9" s="16"/>
      <c r="Q9" s="14"/>
      <c r="R9" s="18"/>
      <c r="S9" s="18"/>
      <c r="T9" s="18"/>
      <c r="U9" s="16"/>
      <c r="V9" s="14"/>
      <c r="W9" s="15"/>
      <c r="X9" s="14"/>
      <c r="Y9" s="15"/>
    </row>
    <row r="10" spans="2:83" ht="15" thickBot="1" x14ac:dyDescent="0.35"/>
    <row r="11" spans="2:83" ht="16.2" thickBot="1" x14ac:dyDescent="0.35">
      <c r="B11" s="19"/>
      <c r="C11" s="19"/>
      <c r="D11" s="217" t="s">
        <v>65</v>
      </c>
      <c r="E11" s="218"/>
      <c r="F11" s="218"/>
      <c r="G11" s="217" t="s">
        <v>66</v>
      </c>
      <c r="H11" s="218"/>
      <c r="I11" s="218"/>
      <c r="J11" s="218"/>
      <c r="K11" s="218"/>
      <c r="L11" s="218"/>
      <c r="M11" s="218"/>
      <c r="N11" s="218"/>
      <c r="O11" s="218"/>
      <c r="P11" s="218"/>
      <c r="Q11" s="218"/>
      <c r="R11" s="219"/>
      <c r="S11" s="214" t="s">
        <v>67</v>
      </c>
      <c r="T11" s="216"/>
      <c r="U11" s="217" t="s">
        <v>68</v>
      </c>
      <c r="V11" s="218"/>
      <c r="W11" s="218"/>
      <c r="X11" s="217" t="s">
        <v>69</v>
      </c>
      <c r="Y11" s="218"/>
      <c r="Z11" s="218"/>
      <c r="AA11" s="218"/>
      <c r="AB11" s="218"/>
      <c r="AC11" s="218"/>
      <c r="AD11" s="218"/>
      <c r="AE11" s="219"/>
      <c r="AF11" s="214" t="s">
        <v>70</v>
      </c>
      <c r="AG11" s="215"/>
      <c r="AH11" s="215"/>
      <c r="AI11" s="215"/>
      <c r="AJ11" s="215"/>
      <c r="AK11" s="215"/>
      <c r="AL11" s="215"/>
      <c r="AM11" s="215"/>
      <c r="AN11" s="215"/>
      <c r="AO11" s="215"/>
      <c r="AP11" s="215"/>
      <c r="AQ11" s="215"/>
      <c r="AR11" s="215"/>
      <c r="AS11" s="215"/>
      <c r="AT11" s="215"/>
      <c r="AU11" s="215"/>
      <c r="AV11" s="215"/>
      <c r="AW11" s="216"/>
      <c r="AX11" s="214" t="s">
        <v>71</v>
      </c>
      <c r="AY11" s="215"/>
      <c r="AZ11" s="215"/>
      <c r="BA11" s="215"/>
      <c r="BB11" s="215"/>
      <c r="BC11" s="215"/>
      <c r="BD11" s="215"/>
      <c r="BE11" s="215"/>
      <c r="BF11" s="215"/>
      <c r="BG11" s="216"/>
      <c r="BH11" s="217" t="s">
        <v>72</v>
      </c>
      <c r="BI11" s="218"/>
      <c r="BJ11" s="218"/>
      <c r="BK11" s="218"/>
      <c r="BL11" s="218"/>
      <c r="BM11" s="218"/>
      <c r="BN11" s="218"/>
      <c r="BO11" s="218"/>
      <c r="BP11" s="219"/>
      <c r="BQ11" s="214" t="s">
        <v>73</v>
      </c>
      <c r="BR11" s="215"/>
      <c r="BS11" s="216"/>
      <c r="BT11" s="217" t="s">
        <v>74</v>
      </c>
      <c r="BU11" s="218"/>
      <c r="BV11" s="218"/>
      <c r="BW11" s="218"/>
      <c r="BX11" s="218"/>
      <c r="BY11" s="218"/>
      <c r="BZ11" s="218"/>
      <c r="CA11" s="218"/>
      <c r="CB11" s="218"/>
      <c r="CC11" s="218"/>
      <c r="CD11" s="218"/>
      <c r="CE11" s="219"/>
    </row>
    <row r="12" spans="2:83" ht="15" thickBot="1" x14ac:dyDescent="0.35">
      <c r="B12" s="220" t="s">
        <v>75</v>
      </c>
      <c r="C12" s="221"/>
      <c r="D12" s="20">
        <v>6151</v>
      </c>
      <c r="E12" s="21">
        <v>480672</v>
      </c>
      <c r="F12" s="22">
        <v>75729</v>
      </c>
      <c r="G12" s="23">
        <v>3.4646311976373809</v>
      </c>
      <c r="H12" s="24">
        <v>5.1003005180258274</v>
      </c>
      <c r="I12" s="21">
        <v>380676</v>
      </c>
      <c r="J12" s="21">
        <v>560395</v>
      </c>
      <c r="K12" s="21">
        <v>1941562</v>
      </c>
      <c r="L12" s="25">
        <v>1743329.6000000006</v>
      </c>
      <c r="M12" s="25">
        <v>135079.39700000003</v>
      </c>
      <c r="N12" s="26">
        <v>291234.3</v>
      </c>
      <c r="O12" s="27">
        <v>148906.96000000002</v>
      </c>
      <c r="P12" s="28">
        <v>12.982750985070314</v>
      </c>
      <c r="Q12" s="27">
        <v>189907.95000000007</v>
      </c>
      <c r="R12" s="26">
        <v>10.182859643515856</v>
      </c>
      <c r="S12" s="29">
        <v>0</v>
      </c>
      <c r="T12" s="30">
        <v>0</v>
      </c>
      <c r="U12" s="31">
        <v>40</v>
      </c>
      <c r="V12" s="21">
        <v>18498</v>
      </c>
      <c r="W12" s="22">
        <v>20957</v>
      </c>
      <c r="X12" s="20">
        <v>11434</v>
      </c>
      <c r="Y12" s="21">
        <v>37463</v>
      </c>
      <c r="Z12" s="21">
        <v>85423</v>
      </c>
      <c r="AA12" s="21">
        <v>308644.49999999965</v>
      </c>
      <c r="AB12" s="21">
        <v>26552.980799999979</v>
      </c>
      <c r="AC12" s="21">
        <v>0</v>
      </c>
      <c r="AD12" s="21">
        <v>0</v>
      </c>
      <c r="AE12" s="26" t="e">
        <v>#DIV/0!</v>
      </c>
      <c r="AF12" s="20">
        <v>34653</v>
      </c>
      <c r="AG12" s="21">
        <v>58921</v>
      </c>
      <c r="AH12" s="21">
        <v>13540</v>
      </c>
      <c r="AI12" s="21">
        <v>22473</v>
      </c>
      <c r="AJ12" s="21">
        <v>18148</v>
      </c>
      <c r="AK12" s="21">
        <v>44776</v>
      </c>
      <c r="AL12" s="21">
        <v>44841</v>
      </c>
      <c r="AM12" s="21">
        <v>30615</v>
      </c>
      <c r="AN12" s="21">
        <v>77840</v>
      </c>
      <c r="AO12" s="21">
        <v>34474</v>
      </c>
      <c r="AP12" s="21">
        <v>39701</v>
      </c>
      <c r="AQ12" s="21">
        <v>39921</v>
      </c>
      <c r="AR12" s="21">
        <v>1220</v>
      </c>
      <c r="AS12" s="21">
        <v>403</v>
      </c>
      <c r="AT12" s="21">
        <v>1514</v>
      </c>
      <c r="AU12" s="21">
        <v>10810</v>
      </c>
      <c r="AV12" s="21">
        <v>28341</v>
      </c>
      <c r="AW12" s="22">
        <v>2162</v>
      </c>
      <c r="AX12" s="20">
        <v>1038357</v>
      </c>
      <c r="AY12" s="31">
        <v>5783337</v>
      </c>
      <c r="AZ12" s="31">
        <v>381023</v>
      </c>
      <c r="BA12" s="31">
        <v>1273379</v>
      </c>
      <c r="BB12" s="31">
        <v>108609</v>
      </c>
      <c r="BC12" s="31">
        <v>229546</v>
      </c>
      <c r="BD12" s="31">
        <v>294851</v>
      </c>
      <c r="BE12" s="31">
        <v>488112</v>
      </c>
      <c r="BF12" s="31">
        <v>56406</v>
      </c>
      <c r="BG12" s="32">
        <v>667388</v>
      </c>
      <c r="BH12" s="27" t="e">
        <v>#DIV/0!</v>
      </c>
      <c r="BI12" s="21">
        <v>0</v>
      </c>
      <c r="BJ12" s="21">
        <v>315329</v>
      </c>
      <c r="BK12" s="21">
        <v>0</v>
      </c>
      <c r="BL12" s="21">
        <v>521566</v>
      </c>
      <c r="BM12" s="21">
        <v>51216</v>
      </c>
      <c r="BN12" s="21">
        <v>38414</v>
      </c>
      <c r="BO12" s="21">
        <v>220906</v>
      </c>
      <c r="BP12" s="22">
        <v>4793</v>
      </c>
      <c r="BQ12" s="33">
        <v>217578</v>
      </c>
      <c r="BR12" s="32">
        <v>86234</v>
      </c>
      <c r="BS12" s="22">
        <v>26164</v>
      </c>
      <c r="BT12" s="20">
        <v>74.878745633517624</v>
      </c>
      <c r="BU12" s="21">
        <v>25.121254366482379</v>
      </c>
      <c r="BV12" s="21">
        <v>282522</v>
      </c>
      <c r="BW12" s="21">
        <v>94784</v>
      </c>
      <c r="BX12" s="21">
        <v>163971</v>
      </c>
      <c r="BY12" s="21">
        <v>37934</v>
      </c>
      <c r="BZ12" s="21">
        <v>50512</v>
      </c>
      <c r="CA12" s="21">
        <v>80617</v>
      </c>
      <c r="CB12" s="21">
        <v>2737</v>
      </c>
      <c r="CC12" s="21">
        <v>36430</v>
      </c>
      <c r="CD12" s="21">
        <v>2107</v>
      </c>
      <c r="CE12" s="22">
        <v>2998</v>
      </c>
    </row>
    <row r="13" spans="2:83" ht="39.6" x14ac:dyDescent="0.3">
      <c r="B13" s="34" t="s">
        <v>76</v>
      </c>
      <c r="C13" s="35" t="s">
        <v>77</v>
      </c>
      <c r="D13" s="36" t="s">
        <v>78</v>
      </c>
      <c r="E13" s="37" t="s">
        <v>79</v>
      </c>
      <c r="F13" s="38" t="s">
        <v>80</v>
      </c>
      <c r="G13" s="36" t="s">
        <v>81</v>
      </c>
      <c r="H13" s="39" t="s">
        <v>82</v>
      </c>
      <c r="I13" s="37" t="s">
        <v>83</v>
      </c>
      <c r="J13" s="37" t="s">
        <v>84</v>
      </c>
      <c r="K13" s="37" t="s">
        <v>85</v>
      </c>
      <c r="L13" s="37" t="s">
        <v>86</v>
      </c>
      <c r="M13" s="37" t="s">
        <v>87</v>
      </c>
      <c r="N13" s="40" t="s">
        <v>88</v>
      </c>
      <c r="O13" s="36" t="s">
        <v>89</v>
      </c>
      <c r="P13" s="38" t="s">
        <v>90</v>
      </c>
      <c r="Q13" s="39" t="s">
        <v>91</v>
      </c>
      <c r="R13" s="40" t="s">
        <v>92</v>
      </c>
      <c r="S13" s="41" t="s">
        <v>93</v>
      </c>
      <c r="T13" s="42" t="s">
        <v>94</v>
      </c>
      <c r="U13" s="39" t="s">
        <v>78</v>
      </c>
      <c r="V13" s="37" t="s">
        <v>79</v>
      </c>
      <c r="W13" s="38" t="s">
        <v>80</v>
      </c>
      <c r="X13" s="36" t="s">
        <v>83</v>
      </c>
      <c r="Y13" s="37" t="s">
        <v>84</v>
      </c>
      <c r="Z13" s="37" t="s">
        <v>85</v>
      </c>
      <c r="AA13" s="37" t="s">
        <v>86</v>
      </c>
      <c r="AB13" s="37" t="s">
        <v>87</v>
      </c>
      <c r="AC13" s="40" t="s">
        <v>88</v>
      </c>
      <c r="AD13" s="36" t="s">
        <v>95</v>
      </c>
      <c r="AE13" s="38" t="s">
        <v>96</v>
      </c>
      <c r="AF13" s="36" t="s">
        <v>97</v>
      </c>
      <c r="AG13" s="37" t="s">
        <v>98</v>
      </c>
      <c r="AH13" s="37" t="s">
        <v>99</v>
      </c>
      <c r="AI13" s="37" t="s">
        <v>100</v>
      </c>
      <c r="AJ13" s="37" t="s">
        <v>101</v>
      </c>
      <c r="AK13" s="37" t="s">
        <v>102</v>
      </c>
      <c r="AL13" s="37" t="s">
        <v>103</v>
      </c>
      <c r="AM13" s="37" t="s">
        <v>104</v>
      </c>
      <c r="AN13" s="37" t="s">
        <v>105</v>
      </c>
      <c r="AO13" s="37" t="s">
        <v>106</v>
      </c>
      <c r="AP13" s="37" t="s">
        <v>107</v>
      </c>
      <c r="AQ13" s="37" t="s">
        <v>108</v>
      </c>
      <c r="AR13" s="37" t="s">
        <v>109</v>
      </c>
      <c r="AS13" s="37" t="s">
        <v>110</v>
      </c>
      <c r="AT13" s="37" t="s">
        <v>111</v>
      </c>
      <c r="AU13" s="37" t="s">
        <v>112</v>
      </c>
      <c r="AV13" s="37" t="s">
        <v>113</v>
      </c>
      <c r="AW13" s="38" t="s">
        <v>114</v>
      </c>
      <c r="AX13" s="36" t="s">
        <v>115</v>
      </c>
      <c r="AY13" s="37" t="s">
        <v>116</v>
      </c>
      <c r="AZ13" s="37" t="s">
        <v>117</v>
      </c>
      <c r="BA13" s="37" t="s">
        <v>118</v>
      </c>
      <c r="BB13" s="37" t="s">
        <v>119</v>
      </c>
      <c r="BC13" s="37" t="s">
        <v>120</v>
      </c>
      <c r="BD13" s="37" t="s">
        <v>121</v>
      </c>
      <c r="BE13" s="37" t="s">
        <v>122</v>
      </c>
      <c r="BF13" s="37" t="s">
        <v>123</v>
      </c>
      <c r="BG13" s="38" t="s">
        <v>124</v>
      </c>
      <c r="BH13" s="36" t="s">
        <v>96</v>
      </c>
      <c r="BI13" s="38" t="s">
        <v>125</v>
      </c>
      <c r="BJ13" s="39" t="s">
        <v>126</v>
      </c>
      <c r="BK13" s="39" t="s">
        <v>127</v>
      </c>
      <c r="BL13" s="37" t="s">
        <v>128</v>
      </c>
      <c r="BM13" s="37" t="s">
        <v>129</v>
      </c>
      <c r="BN13" s="37" t="s">
        <v>130</v>
      </c>
      <c r="BO13" s="37" t="s">
        <v>131</v>
      </c>
      <c r="BP13" s="38" t="s">
        <v>132</v>
      </c>
      <c r="BQ13" s="34" t="s">
        <v>133</v>
      </c>
      <c r="BR13" s="43" t="s">
        <v>134</v>
      </c>
      <c r="BS13" s="38" t="s">
        <v>135</v>
      </c>
      <c r="BT13" s="36" t="s">
        <v>136</v>
      </c>
      <c r="BU13" s="38" t="s">
        <v>137</v>
      </c>
      <c r="BV13" s="44" t="s">
        <v>138</v>
      </c>
      <c r="BW13" s="45" t="s">
        <v>139</v>
      </c>
      <c r="BX13" s="37" t="s">
        <v>140</v>
      </c>
      <c r="BY13" s="37" t="s">
        <v>141</v>
      </c>
      <c r="BZ13" s="37" t="s">
        <v>142</v>
      </c>
      <c r="CA13" s="37" t="s">
        <v>143</v>
      </c>
      <c r="CB13" s="37" t="s">
        <v>144</v>
      </c>
      <c r="CC13" s="37" t="s">
        <v>145</v>
      </c>
      <c r="CD13" s="37" t="s">
        <v>146</v>
      </c>
      <c r="CE13" s="38" t="s">
        <v>147</v>
      </c>
    </row>
    <row r="14" spans="2:83" x14ac:dyDescent="0.3">
      <c r="B14" s="46">
        <v>1</v>
      </c>
      <c r="C14" s="150">
        <v>43102</v>
      </c>
      <c r="D14" s="74">
        <v>21</v>
      </c>
      <c r="E14" s="54">
        <v>3789</v>
      </c>
      <c r="F14" s="75">
        <v>287</v>
      </c>
      <c r="G14" s="51">
        <v>1.7654381254576519</v>
      </c>
      <c r="H14" s="52">
        <v>2.0260504201680671</v>
      </c>
      <c r="I14" s="53">
        <v>3570</v>
      </c>
      <c r="J14" s="54">
        <v>4097</v>
      </c>
      <c r="K14" s="54">
        <v>7233</v>
      </c>
      <c r="L14" s="55">
        <v>5212.1000000000004</v>
      </c>
      <c r="M14" s="55">
        <v>574.43799999999999</v>
      </c>
      <c r="N14" s="57">
        <v>1084.95</v>
      </c>
      <c r="O14" s="58">
        <v>659.41</v>
      </c>
      <c r="P14" s="59">
        <v>10.968896437724633</v>
      </c>
      <c r="Q14" s="60">
        <v>824.31</v>
      </c>
      <c r="R14" s="61">
        <v>8.7746114932488997</v>
      </c>
      <c r="S14" s="48"/>
      <c r="T14" s="50"/>
      <c r="U14" s="151">
        <v>0</v>
      </c>
      <c r="V14" s="54">
        <v>35</v>
      </c>
      <c r="W14" s="75">
        <v>20</v>
      </c>
      <c r="X14" s="80">
        <v>45</v>
      </c>
      <c r="Y14" s="70">
        <v>130</v>
      </c>
      <c r="Z14" s="70">
        <v>106</v>
      </c>
      <c r="AA14" s="64">
        <v>1009.6</v>
      </c>
      <c r="AB14" s="64">
        <v>121.593</v>
      </c>
      <c r="AC14" s="66"/>
      <c r="AD14" s="67"/>
      <c r="AE14" s="68"/>
      <c r="AF14" s="80">
        <v>301</v>
      </c>
      <c r="AG14" s="70">
        <v>701</v>
      </c>
      <c r="AH14" s="70">
        <v>157</v>
      </c>
      <c r="AI14" s="70">
        <v>253</v>
      </c>
      <c r="AJ14" s="70">
        <v>217</v>
      </c>
      <c r="AK14" s="70">
        <v>108</v>
      </c>
      <c r="AL14" s="70">
        <v>777</v>
      </c>
      <c r="AM14" s="70">
        <v>218</v>
      </c>
      <c r="AN14" s="70">
        <v>414</v>
      </c>
      <c r="AO14" s="70">
        <v>121</v>
      </c>
      <c r="AP14" s="70">
        <v>136</v>
      </c>
      <c r="AQ14" s="70">
        <v>111</v>
      </c>
      <c r="AR14" s="63"/>
      <c r="AS14" s="63"/>
      <c r="AT14" s="63"/>
      <c r="AU14" s="63"/>
      <c r="AV14" s="63"/>
      <c r="AW14" s="50"/>
      <c r="AX14" s="80">
        <v>4676</v>
      </c>
      <c r="AY14" s="70">
        <v>19077</v>
      </c>
      <c r="AZ14" s="54">
        <v>1172</v>
      </c>
      <c r="BA14" s="54">
        <v>2546</v>
      </c>
      <c r="BB14" s="54">
        <v>932</v>
      </c>
      <c r="BC14" s="54">
        <v>1990</v>
      </c>
      <c r="BD14" s="54">
        <v>1547</v>
      </c>
      <c r="BE14" s="70">
        <v>1951</v>
      </c>
      <c r="BF14" s="63"/>
      <c r="BG14" s="71">
        <v>2704</v>
      </c>
      <c r="BH14" s="67"/>
      <c r="BI14" s="68"/>
      <c r="BJ14" s="72">
        <v>864</v>
      </c>
      <c r="BK14" s="62"/>
      <c r="BL14" s="70">
        <v>2145</v>
      </c>
      <c r="BM14" s="70">
        <v>3</v>
      </c>
      <c r="BN14" s="70">
        <v>232</v>
      </c>
      <c r="BO14" s="70">
        <v>605</v>
      </c>
      <c r="BP14" s="73">
        <v>24</v>
      </c>
      <c r="BQ14" s="152">
        <v>2657</v>
      </c>
      <c r="BR14" s="153">
        <v>301</v>
      </c>
      <c r="BS14" s="154">
        <v>51</v>
      </c>
      <c r="BT14" s="76">
        <v>81.654473832301633</v>
      </c>
      <c r="BU14" s="77">
        <v>18.345526167698367</v>
      </c>
      <c r="BV14" s="78">
        <v>2902</v>
      </c>
      <c r="BW14" s="79">
        <v>652</v>
      </c>
      <c r="BX14" s="69">
        <v>1917</v>
      </c>
      <c r="BY14" s="70">
        <v>160</v>
      </c>
      <c r="BZ14" s="70">
        <v>125</v>
      </c>
      <c r="CA14" s="70">
        <v>825</v>
      </c>
      <c r="CB14" s="70">
        <v>11</v>
      </c>
      <c r="CC14" s="70">
        <v>384</v>
      </c>
      <c r="CD14" s="70">
        <v>19</v>
      </c>
      <c r="CE14" s="73">
        <v>113</v>
      </c>
    </row>
    <row r="15" spans="2:83" x14ac:dyDescent="0.3">
      <c r="B15" s="46">
        <v>1</v>
      </c>
      <c r="C15" s="150">
        <v>43103</v>
      </c>
      <c r="D15" s="74">
        <v>46</v>
      </c>
      <c r="E15" s="54">
        <v>1989</v>
      </c>
      <c r="F15" s="75">
        <v>318</v>
      </c>
      <c r="G15" s="51">
        <v>3.6028686687584042</v>
      </c>
      <c r="H15" s="52">
        <v>4.9801734820322183</v>
      </c>
      <c r="I15" s="53">
        <v>1614</v>
      </c>
      <c r="J15" s="54">
        <v>2231</v>
      </c>
      <c r="K15" s="54">
        <v>8038</v>
      </c>
      <c r="L15" s="55">
        <v>5726.6</v>
      </c>
      <c r="M15" s="55">
        <v>443.738</v>
      </c>
      <c r="N15" s="57">
        <v>1205.7</v>
      </c>
      <c r="O15" s="58">
        <v>631.63</v>
      </c>
      <c r="P15" s="59">
        <v>12.725804664122984</v>
      </c>
      <c r="Q15" s="60">
        <v>777.06</v>
      </c>
      <c r="R15" s="61">
        <v>10.344117571358712</v>
      </c>
      <c r="S15" s="48"/>
      <c r="T15" s="50"/>
      <c r="U15" s="151">
        <v>0</v>
      </c>
      <c r="V15" s="54">
        <v>24</v>
      </c>
      <c r="W15" s="75">
        <v>101</v>
      </c>
      <c r="X15" s="80">
        <v>33</v>
      </c>
      <c r="Y15" s="70">
        <v>70</v>
      </c>
      <c r="Z15" s="70">
        <v>373</v>
      </c>
      <c r="AA15" s="64">
        <v>712</v>
      </c>
      <c r="AB15" s="64">
        <v>73.66</v>
      </c>
      <c r="AC15" s="66"/>
      <c r="AD15" s="67"/>
      <c r="AE15" s="68"/>
      <c r="AF15" s="80">
        <v>105</v>
      </c>
      <c r="AG15" s="70">
        <v>309</v>
      </c>
      <c r="AH15" s="70">
        <v>62</v>
      </c>
      <c r="AI15" s="70">
        <v>88</v>
      </c>
      <c r="AJ15" s="70">
        <v>88</v>
      </c>
      <c r="AK15" s="70">
        <v>55</v>
      </c>
      <c r="AL15" s="70">
        <v>322</v>
      </c>
      <c r="AM15" s="70">
        <v>115</v>
      </c>
      <c r="AN15" s="70">
        <v>329</v>
      </c>
      <c r="AO15" s="70">
        <v>143</v>
      </c>
      <c r="AP15" s="70">
        <v>195</v>
      </c>
      <c r="AQ15" s="70">
        <v>92</v>
      </c>
      <c r="AR15" s="63"/>
      <c r="AS15" s="63"/>
      <c r="AT15" s="63"/>
      <c r="AU15" s="63"/>
      <c r="AV15" s="63"/>
      <c r="AW15" s="50"/>
      <c r="AX15" s="80">
        <v>5161</v>
      </c>
      <c r="AY15" s="70">
        <v>30906</v>
      </c>
      <c r="AZ15" s="54">
        <v>1846</v>
      </c>
      <c r="BA15" s="54">
        <v>6394</v>
      </c>
      <c r="BB15" s="54">
        <v>557</v>
      </c>
      <c r="BC15" s="54">
        <v>1586</v>
      </c>
      <c r="BD15" s="54">
        <v>1371</v>
      </c>
      <c r="BE15" s="70">
        <v>2174</v>
      </c>
      <c r="BF15" s="63"/>
      <c r="BG15" s="71">
        <v>1890</v>
      </c>
      <c r="BH15" s="67"/>
      <c r="BI15" s="68"/>
      <c r="BJ15" s="72">
        <v>1121</v>
      </c>
      <c r="BK15" s="62"/>
      <c r="BL15" s="70">
        <v>2380</v>
      </c>
      <c r="BM15" s="70">
        <v>4</v>
      </c>
      <c r="BN15" s="70">
        <v>178</v>
      </c>
      <c r="BO15" s="70">
        <v>918</v>
      </c>
      <c r="BP15" s="73">
        <v>21</v>
      </c>
      <c r="BQ15" s="152">
        <v>1085</v>
      </c>
      <c r="BR15" s="153">
        <v>329</v>
      </c>
      <c r="BS15" s="154">
        <v>92</v>
      </c>
      <c r="BT15" s="76">
        <v>78.967019290603602</v>
      </c>
      <c r="BU15" s="77">
        <v>21.032980709396391</v>
      </c>
      <c r="BV15" s="78">
        <v>1269</v>
      </c>
      <c r="BW15" s="79">
        <v>338</v>
      </c>
      <c r="BX15" s="69">
        <v>702</v>
      </c>
      <c r="BY15" s="70">
        <v>140</v>
      </c>
      <c r="BZ15" s="70">
        <v>178</v>
      </c>
      <c r="CA15" s="70">
        <v>427</v>
      </c>
      <c r="CB15" s="70">
        <v>6</v>
      </c>
      <c r="CC15" s="70">
        <v>149</v>
      </c>
      <c r="CD15" s="70">
        <v>5</v>
      </c>
      <c r="CE15" s="73">
        <v>0</v>
      </c>
    </row>
    <row r="16" spans="2:83" x14ac:dyDescent="0.3">
      <c r="B16" s="46">
        <v>1</v>
      </c>
      <c r="C16" s="150">
        <v>43104</v>
      </c>
      <c r="D16" s="74">
        <v>53</v>
      </c>
      <c r="E16" s="54">
        <v>2035</v>
      </c>
      <c r="F16" s="75">
        <v>232</v>
      </c>
      <c r="G16" s="51">
        <v>5.55</v>
      </c>
      <c r="H16" s="52">
        <v>9.4122807017543852</v>
      </c>
      <c r="I16" s="53">
        <v>1368</v>
      </c>
      <c r="J16" s="54">
        <v>2320</v>
      </c>
      <c r="K16" s="54">
        <v>12876</v>
      </c>
      <c r="L16" s="55">
        <v>8461</v>
      </c>
      <c r="M16" s="55">
        <v>638.80899999999997</v>
      </c>
      <c r="N16" s="57">
        <v>1931.3999999999999</v>
      </c>
      <c r="O16" s="58">
        <v>650.44999999999993</v>
      </c>
      <c r="P16" s="59">
        <v>19.795526174187103</v>
      </c>
      <c r="Q16" s="60">
        <v>810.43999999999994</v>
      </c>
      <c r="R16" s="61">
        <v>15.887665959232024</v>
      </c>
      <c r="S16" s="48"/>
      <c r="T16" s="50"/>
      <c r="U16" s="151">
        <v>0</v>
      </c>
      <c r="V16" s="54">
        <v>54</v>
      </c>
      <c r="W16" s="75">
        <v>50</v>
      </c>
      <c r="X16" s="80">
        <v>46</v>
      </c>
      <c r="Y16" s="70">
        <v>166</v>
      </c>
      <c r="Z16" s="70">
        <v>839</v>
      </c>
      <c r="AA16" s="64">
        <v>2723</v>
      </c>
      <c r="AB16" s="64">
        <v>130.036</v>
      </c>
      <c r="AC16" s="66"/>
      <c r="AD16" s="67"/>
      <c r="AE16" s="68"/>
      <c r="AF16" s="80">
        <v>102</v>
      </c>
      <c r="AG16" s="70">
        <v>247</v>
      </c>
      <c r="AH16" s="70">
        <v>46</v>
      </c>
      <c r="AI16" s="70">
        <v>72</v>
      </c>
      <c r="AJ16" s="70">
        <v>66</v>
      </c>
      <c r="AK16" s="70">
        <v>57</v>
      </c>
      <c r="AL16" s="70">
        <v>248</v>
      </c>
      <c r="AM16" s="70">
        <v>81</v>
      </c>
      <c r="AN16" s="70">
        <v>458</v>
      </c>
      <c r="AO16" s="70">
        <v>148</v>
      </c>
      <c r="AP16" s="70">
        <v>249</v>
      </c>
      <c r="AQ16" s="70">
        <v>114</v>
      </c>
      <c r="AR16" s="63"/>
      <c r="AS16" s="63"/>
      <c r="AT16" s="63"/>
      <c r="AU16" s="63"/>
      <c r="AV16" s="63"/>
      <c r="AW16" s="50"/>
      <c r="AX16" s="80">
        <v>6188</v>
      </c>
      <c r="AY16" s="70">
        <v>22696</v>
      </c>
      <c r="AZ16" s="54">
        <v>2325</v>
      </c>
      <c r="BA16" s="54">
        <v>3798</v>
      </c>
      <c r="BB16" s="54">
        <v>1057</v>
      </c>
      <c r="BC16" s="54">
        <v>2209</v>
      </c>
      <c r="BD16" s="54">
        <v>1306</v>
      </c>
      <c r="BE16" s="70">
        <v>3635</v>
      </c>
      <c r="BF16" s="63"/>
      <c r="BG16" s="71">
        <v>1783</v>
      </c>
      <c r="BH16" s="67"/>
      <c r="BI16" s="68"/>
      <c r="BJ16" s="72">
        <v>874</v>
      </c>
      <c r="BK16" s="62"/>
      <c r="BL16" s="70">
        <v>3124</v>
      </c>
      <c r="BM16" s="70">
        <v>193</v>
      </c>
      <c r="BN16" s="70">
        <v>153</v>
      </c>
      <c r="BO16" s="70">
        <v>521</v>
      </c>
      <c r="BP16" s="73">
        <v>7</v>
      </c>
      <c r="BQ16" s="152">
        <v>809</v>
      </c>
      <c r="BR16" s="153">
        <v>300</v>
      </c>
      <c r="BS16" s="154">
        <v>105</v>
      </c>
      <c r="BT16" s="76">
        <v>73.042836041358939</v>
      </c>
      <c r="BU16" s="77">
        <v>26.957163958641065</v>
      </c>
      <c r="BV16" s="78">
        <v>989</v>
      </c>
      <c r="BW16" s="79">
        <v>365</v>
      </c>
      <c r="BX16" s="69">
        <v>576</v>
      </c>
      <c r="BY16" s="70">
        <v>115</v>
      </c>
      <c r="BZ16" s="70">
        <v>232</v>
      </c>
      <c r="CA16" s="70">
        <v>298</v>
      </c>
      <c r="CB16" s="70">
        <v>9</v>
      </c>
      <c r="CC16" s="70">
        <v>123</v>
      </c>
      <c r="CD16" s="70">
        <v>1</v>
      </c>
      <c r="CE16" s="73">
        <v>0</v>
      </c>
    </row>
    <row r="17" spans="2:83" x14ac:dyDescent="0.3">
      <c r="B17" s="46">
        <v>1</v>
      </c>
      <c r="C17" s="150">
        <v>43105</v>
      </c>
      <c r="D17" s="74">
        <v>15</v>
      </c>
      <c r="E17" s="54">
        <v>2264</v>
      </c>
      <c r="F17" s="75">
        <v>250</v>
      </c>
      <c r="G17" s="51">
        <v>4.8780882948562168</v>
      </c>
      <c r="H17" s="52">
        <v>7.0847058823529414</v>
      </c>
      <c r="I17" s="53">
        <v>1700</v>
      </c>
      <c r="J17" s="54">
        <v>2469</v>
      </c>
      <c r="K17" s="54">
        <v>12044</v>
      </c>
      <c r="L17" s="55">
        <v>7568.8</v>
      </c>
      <c r="M17" s="55">
        <v>577.22799999999995</v>
      </c>
      <c r="N17" s="57">
        <v>1806.6000000000001</v>
      </c>
      <c r="O17" s="58">
        <v>654.29999999999995</v>
      </c>
      <c r="P17" s="59">
        <v>18.407458352437722</v>
      </c>
      <c r="Q17" s="60">
        <v>798.68999999999994</v>
      </c>
      <c r="R17" s="61">
        <v>15.079692997283052</v>
      </c>
      <c r="S17" s="48"/>
      <c r="T17" s="50"/>
      <c r="U17" s="151">
        <v>0</v>
      </c>
      <c r="V17" s="54">
        <v>65</v>
      </c>
      <c r="W17" s="75">
        <v>71</v>
      </c>
      <c r="X17" s="80">
        <v>58</v>
      </c>
      <c r="Y17" s="70">
        <v>135</v>
      </c>
      <c r="Z17" s="70">
        <v>230</v>
      </c>
      <c r="AA17" s="64">
        <v>642.9</v>
      </c>
      <c r="AB17" s="64">
        <v>94.575000000000003</v>
      </c>
      <c r="AC17" s="66"/>
      <c r="AD17" s="67"/>
      <c r="AE17" s="68"/>
      <c r="AF17" s="80">
        <v>155</v>
      </c>
      <c r="AG17" s="70">
        <v>362</v>
      </c>
      <c r="AH17" s="70">
        <v>72</v>
      </c>
      <c r="AI17" s="70">
        <v>94</v>
      </c>
      <c r="AJ17" s="70">
        <v>86</v>
      </c>
      <c r="AK17" s="70">
        <v>42</v>
      </c>
      <c r="AL17" s="70">
        <v>267</v>
      </c>
      <c r="AM17" s="70">
        <v>121</v>
      </c>
      <c r="AN17" s="70">
        <v>375</v>
      </c>
      <c r="AO17" s="70">
        <v>212</v>
      </c>
      <c r="AP17" s="70">
        <v>233</v>
      </c>
      <c r="AQ17" s="70">
        <v>65</v>
      </c>
      <c r="AR17" s="63"/>
      <c r="AS17" s="63"/>
      <c r="AT17" s="63"/>
      <c r="AU17" s="63"/>
      <c r="AV17" s="63"/>
      <c r="AW17" s="50"/>
      <c r="AX17" s="80">
        <v>6073</v>
      </c>
      <c r="AY17" s="70">
        <v>28105</v>
      </c>
      <c r="AZ17" s="54">
        <v>2963</v>
      </c>
      <c r="BA17" s="54">
        <v>6169</v>
      </c>
      <c r="BB17" s="54">
        <v>772</v>
      </c>
      <c r="BC17" s="54">
        <v>1893</v>
      </c>
      <c r="BD17" s="54">
        <v>1469</v>
      </c>
      <c r="BE17" s="70">
        <v>3321</v>
      </c>
      <c r="BF17" s="63"/>
      <c r="BG17" s="71">
        <v>2048</v>
      </c>
      <c r="BH17" s="67"/>
      <c r="BI17" s="68"/>
      <c r="BJ17" s="72">
        <v>925</v>
      </c>
      <c r="BK17" s="62"/>
      <c r="BL17" s="70">
        <v>2379</v>
      </c>
      <c r="BM17" s="70">
        <v>203</v>
      </c>
      <c r="BN17" s="70">
        <v>115</v>
      </c>
      <c r="BO17" s="70">
        <v>593</v>
      </c>
      <c r="BP17" s="73">
        <v>14</v>
      </c>
      <c r="BQ17" s="152">
        <v>1002</v>
      </c>
      <c r="BR17" s="153">
        <v>315</v>
      </c>
      <c r="BS17" s="154">
        <v>195</v>
      </c>
      <c r="BT17" s="76">
        <v>77.784325279905715</v>
      </c>
      <c r="BU17" s="77">
        <v>22.215674720094285</v>
      </c>
      <c r="BV17" s="78">
        <v>1320</v>
      </c>
      <c r="BW17" s="79">
        <v>377</v>
      </c>
      <c r="BX17" s="69">
        <v>816</v>
      </c>
      <c r="BY17" s="70">
        <v>153</v>
      </c>
      <c r="BZ17" s="70">
        <v>201</v>
      </c>
      <c r="CA17" s="70">
        <v>351</v>
      </c>
      <c r="CB17" s="70">
        <v>8</v>
      </c>
      <c r="CC17" s="70">
        <v>153</v>
      </c>
      <c r="CD17" s="70">
        <v>15</v>
      </c>
      <c r="CE17" s="73">
        <v>0</v>
      </c>
    </row>
    <row r="18" spans="2:83" x14ac:dyDescent="0.3">
      <c r="B18" s="46">
        <v>2</v>
      </c>
      <c r="C18" s="150">
        <v>43108</v>
      </c>
      <c r="D18" s="74">
        <v>25</v>
      </c>
      <c r="E18" s="54">
        <v>2966</v>
      </c>
      <c r="F18" s="75">
        <v>343</v>
      </c>
      <c r="G18" s="51">
        <v>2.4701946472019465</v>
      </c>
      <c r="H18" s="52">
        <v>3.1011836578846887</v>
      </c>
      <c r="I18" s="53">
        <v>2619</v>
      </c>
      <c r="J18" s="54">
        <v>3288</v>
      </c>
      <c r="K18" s="54">
        <v>8122</v>
      </c>
      <c r="L18" s="55">
        <v>7878.6</v>
      </c>
      <c r="M18" s="55">
        <v>637.69899999999996</v>
      </c>
      <c r="N18" s="57">
        <v>1218.3</v>
      </c>
      <c r="O18" s="58">
        <v>641.82999999999993</v>
      </c>
      <c r="P18" s="59">
        <v>12.654441207173241</v>
      </c>
      <c r="Q18" s="60">
        <v>811.62</v>
      </c>
      <c r="R18" s="61">
        <v>10.007146201424312</v>
      </c>
      <c r="S18" s="48"/>
      <c r="T18" s="50"/>
      <c r="U18" s="151">
        <v>0</v>
      </c>
      <c r="V18" s="54">
        <v>56</v>
      </c>
      <c r="W18" s="75">
        <v>64</v>
      </c>
      <c r="X18" s="80">
        <v>51</v>
      </c>
      <c r="Y18" s="70">
        <v>119</v>
      </c>
      <c r="Z18" s="70">
        <v>245</v>
      </c>
      <c r="AA18" s="64">
        <v>1078.9000000000001</v>
      </c>
      <c r="AB18" s="64">
        <v>94.796999999999997</v>
      </c>
      <c r="AC18" s="66"/>
      <c r="AD18" s="67"/>
      <c r="AE18" s="68"/>
      <c r="AF18" s="80">
        <v>224</v>
      </c>
      <c r="AG18" s="70">
        <v>626</v>
      </c>
      <c r="AH18" s="70">
        <v>112</v>
      </c>
      <c r="AI18" s="70">
        <v>180</v>
      </c>
      <c r="AJ18" s="70">
        <v>153</v>
      </c>
      <c r="AK18" s="70">
        <v>102</v>
      </c>
      <c r="AL18" s="70">
        <v>466</v>
      </c>
      <c r="AM18" s="70">
        <v>142</v>
      </c>
      <c r="AN18" s="70">
        <v>313</v>
      </c>
      <c r="AO18" s="70">
        <v>186</v>
      </c>
      <c r="AP18" s="70">
        <v>177</v>
      </c>
      <c r="AQ18" s="70">
        <v>123</v>
      </c>
      <c r="AR18" s="63"/>
      <c r="AS18" s="63"/>
      <c r="AT18" s="63"/>
      <c r="AU18" s="63"/>
      <c r="AV18" s="63"/>
      <c r="AW18" s="50"/>
      <c r="AX18" s="80">
        <v>3697</v>
      </c>
      <c r="AY18" s="70">
        <v>26319</v>
      </c>
      <c r="AZ18" s="54">
        <v>1485</v>
      </c>
      <c r="BA18" s="54">
        <v>6246</v>
      </c>
      <c r="BB18" s="54">
        <v>467</v>
      </c>
      <c r="BC18" s="54">
        <v>1066</v>
      </c>
      <c r="BD18" s="54">
        <v>1577</v>
      </c>
      <c r="BE18" s="70">
        <v>2544</v>
      </c>
      <c r="BF18" s="63"/>
      <c r="BG18" s="71">
        <v>2254</v>
      </c>
      <c r="BH18" s="67"/>
      <c r="BI18" s="68"/>
      <c r="BJ18" s="72">
        <v>1134</v>
      </c>
      <c r="BK18" s="62"/>
      <c r="BL18" s="70">
        <v>2711</v>
      </c>
      <c r="BM18" s="70">
        <v>261</v>
      </c>
      <c r="BN18" s="70">
        <v>241</v>
      </c>
      <c r="BO18" s="70">
        <v>625</v>
      </c>
      <c r="BP18" s="73">
        <v>7</v>
      </c>
      <c r="BQ18" s="152">
        <v>1879</v>
      </c>
      <c r="BR18" s="153">
        <v>330</v>
      </c>
      <c r="BS18" s="154">
        <v>174</v>
      </c>
      <c r="BT18" s="76">
        <v>82.936202920830127</v>
      </c>
      <c r="BU18" s="77">
        <v>17.06379707916987</v>
      </c>
      <c r="BV18" s="78">
        <v>2158</v>
      </c>
      <c r="BW18" s="79">
        <v>444</v>
      </c>
      <c r="BX18" s="69">
        <v>1460</v>
      </c>
      <c r="BY18" s="70">
        <v>155</v>
      </c>
      <c r="BZ18" s="70">
        <v>241</v>
      </c>
      <c r="CA18" s="70">
        <v>543</v>
      </c>
      <c r="CB18" s="70">
        <v>2</v>
      </c>
      <c r="CC18" s="70">
        <v>186</v>
      </c>
      <c r="CD18" s="70">
        <v>3</v>
      </c>
      <c r="CE18" s="73">
        <v>12</v>
      </c>
    </row>
    <row r="19" spans="2:83" x14ac:dyDescent="0.3">
      <c r="B19" s="46">
        <v>2</v>
      </c>
      <c r="C19" s="150">
        <v>43109</v>
      </c>
      <c r="D19" s="74">
        <v>25</v>
      </c>
      <c r="E19" s="54">
        <v>2048</v>
      </c>
      <c r="F19" s="75">
        <v>256</v>
      </c>
      <c r="G19" s="51">
        <v>3.7251842219332465</v>
      </c>
      <c r="H19" s="52">
        <v>5.0110787172011664</v>
      </c>
      <c r="I19" s="53">
        <v>1715</v>
      </c>
      <c r="J19" s="54">
        <v>2307</v>
      </c>
      <c r="K19" s="54">
        <v>8594</v>
      </c>
      <c r="L19" s="55">
        <v>5801.1</v>
      </c>
      <c r="M19" s="55">
        <v>409.46</v>
      </c>
      <c r="N19" s="57">
        <v>1289.0999999999999</v>
      </c>
      <c r="O19" s="58">
        <v>594.92000000000007</v>
      </c>
      <c r="P19" s="59">
        <v>14.445639749882336</v>
      </c>
      <c r="Q19" s="60">
        <v>764.66000000000008</v>
      </c>
      <c r="R19" s="61">
        <v>11.238982031229565</v>
      </c>
      <c r="S19" s="48"/>
      <c r="T19" s="50"/>
      <c r="U19" s="151">
        <v>0</v>
      </c>
      <c r="V19" s="54">
        <v>135</v>
      </c>
      <c r="W19" s="75">
        <v>104</v>
      </c>
      <c r="X19" s="80">
        <v>60</v>
      </c>
      <c r="Y19" s="70">
        <v>214</v>
      </c>
      <c r="Z19" s="70">
        <v>897</v>
      </c>
      <c r="AA19" s="64">
        <v>1125.0999999999999</v>
      </c>
      <c r="AB19" s="64">
        <v>104.78400000000001</v>
      </c>
      <c r="AC19" s="66"/>
      <c r="AD19" s="67"/>
      <c r="AE19" s="68"/>
      <c r="AF19" s="80">
        <v>178</v>
      </c>
      <c r="AG19" s="70">
        <v>320</v>
      </c>
      <c r="AH19" s="70">
        <v>50</v>
      </c>
      <c r="AI19" s="70">
        <v>126</v>
      </c>
      <c r="AJ19" s="70">
        <v>120</v>
      </c>
      <c r="AK19" s="70">
        <v>45</v>
      </c>
      <c r="AL19" s="70">
        <v>307</v>
      </c>
      <c r="AM19" s="70">
        <v>110</v>
      </c>
      <c r="AN19" s="70">
        <v>291</v>
      </c>
      <c r="AO19" s="70">
        <v>183</v>
      </c>
      <c r="AP19" s="70">
        <v>184</v>
      </c>
      <c r="AQ19" s="70">
        <v>54</v>
      </c>
      <c r="AR19" s="63"/>
      <c r="AS19" s="63"/>
      <c r="AT19" s="63"/>
      <c r="AU19" s="63"/>
      <c r="AV19" s="63"/>
      <c r="AW19" s="50"/>
      <c r="AX19" s="80">
        <v>3515</v>
      </c>
      <c r="AY19" s="70">
        <v>17693</v>
      </c>
      <c r="AZ19" s="54">
        <v>1580</v>
      </c>
      <c r="BA19" s="54">
        <v>4321</v>
      </c>
      <c r="BB19" s="54">
        <v>568</v>
      </c>
      <c r="BC19" s="54">
        <v>1812</v>
      </c>
      <c r="BD19" s="54">
        <v>990</v>
      </c>
      <c r="BE19" s="70">
        <v>2096</v>
      </c>
      <c r="BF19" s="63"/>
      <c r="BG19" s="71">
        <v>1562</v>
      </c>
      <c r="BH19" s="67"/>
      <c r="BI19" s="68"/>
      <c r="BJ19" s="72">
        <v>865</v>
      </c>
      <c r="BK19" s="62"/>
      <c r="BL19" s="70">
        <v>2327</v>
      </c>
      <c r="BM19" s="70">
        <v>172</v>
      </c>
      <c r="BN19" s="70">
        <v>100</v>
      </c>
      <c r="BO19" s="70">
        <v>570</v>
      </c>
      <c r="BP19" s="73">
        <v>23</v>
      </c>
      <c r="BQ19" s="152">
        <v>1133</v>
      </c>
      <c r="BR19" s="153">
        <v>295</v>
      </c>
      <c r="BS19" s="154">
        <v>119</v>
      </c>
      <c r="BT19" s="76">
        <v>80.341377280753377</v>
      </c>
      <c r="BU19" s="77">
        <v>19.658622719246615</v>
      </c>
      <c r="BV19" s="78">
        <v>1365</v>
      </c>
      <c r="BW19" s="79">
        <v>334</v>
      </c>
      <c r="BX19" s="69">
        <v>842</v>
      </c>
      <c r="BY19" s="70">
        <v>123</v>
      </c>
      <c r="BZ19" s="70">
        <v>183</v>
      </c>
      <c r="CA19" s="70">
        <v>400</v>
      </c>
      <c r="CB19" s="70">
        <v>11</v>
      </c>
      <c r="CC19" s="70">
        <v>133</v>
      </c>
      <c r="CD19" s="70">
        <v>7</v>
      </c>
      <c r="CE19" s="73">
        <v>0</v>
      </c>
    </row>
    <row r="20" spans="2:83" x14ac:dyDescent="0.3">
      <c r="B20" s="46">
        <v>2</v>
      </c>
      <c r="C20" s="150">
        <v>43110</v>
      </c>
      <c r="D20" s="74">
        <v>17</v>
      </c>
      <c r="E20" s="54">
        <v>2502</v>
      </c>
      <c r="F20" s="75">
        <v>432</v>
      </c>
      <c r="G20" s="51">
        <v>4.4435784479837341</v>
      </c>
      <c r="H20" s="52">
        <v>6.9675876726886292</v>
      </c>
      <c r="I20" s="53">
        <v>1882</v>
      </c>
      <c r="J20" s="54">
        <v>2951</v>
      </c>
      <c r="K20" s="54">
        <v>13113</v>
      </c>
      <c r="L20" s="55">
        <v>7171.2</v>
      </c>
      <c r="M20" s="55">
        <v>667.57399999999996</v>
      </c>
      <c r="N20" s="57">
        <v>1966.9499999999998</v>
      </c>
      <c r="O20" s="58">
        <v>767.16000000000008</v>
      </c>
      <c r="P20" s="59">
        <v>17.092914124824024</v>
      </c>
      <c r="Q20" s="60">
        <v>937.42000000000007</v>
      </c>
      <c r="R20" s="61">
        <v>13.988393676260372</v>
      </c>
      <c r="S20" s="48"/>
      <c r="T20" s="50"/>
      <c r="U20" s="151">
        <v>0</v>
      </c>
      <c r="V20" s="54">
        <v>159</v>
      </c>
      <c r="W20" s="75">
        <v>207</v>
      </c>
      <c r="X20" s="80">
        <v>89</v>
      </c>
      <c r="Y20" s="70">
        <v>313</v>
      </c>
      <c r="Z20" s="70">
        <v>200</v>
      </c>
      <c r="AA20" s="64">
        <v>1055.5</v>
      </c>
      <c r="AB20" s="64">
        <v>149.83600000000001</v>
      </c>
      <c r="AC20" s="66"/>
      <c r="AD20" s="67"/>
      <c r="AE20" s="68"/>
      <c r="AF20" s="80">
        <v>136</v>
      </c>
      <c r="AG20" s="70">
        <v>285</v>
      </c>
      <c r="AH20" s="70">
        <v>56</v>
      </c>
      <c r="AI20" s="70">
        <v>146</v>
      </c>
      <c r="AJ20" s="70">
        <v>103</v>
      </c>
      <c r="AK20" s="70">
        <v>68</v>
      </c>
      <c r="AL20" s="70">
        <v>351</v>
      </c>
      <c r="AM20" s="70">
        <v>187</v>
      </c>
      <c r="AN20" s="70">
        <v>523</v>
      </c>
      <c r="AO20" s="70">
        <v>185</v>
      </c>
      <c r="AP20" s="70">
        <v>297</v>
      </c>
      <c r="AQ20" s="70">
        <v>99</v>
      </c>
      <c r="AR20" s="63"/>
      <c r="AS20" s="63"/>
      <c r="AT20" s="63"/>
      <c r="AU20" s="63"/>
      <c r="AV20" s="63"/>
      <c r="AW20" s="50"/>
      <c r="AX20" s="80">
        <v>5191</v>
      </c>
      <c r="AY20" s="70">
        <v>24893</v>
      </c>
      <c r="AZ20" s="54">
        <v>3652</v>
      </c>
      <c r="BA20" s="54">
        <v>9250</v>
      </c>
      <c r="BB20" s="54">
        <v>1139</v>
      </c>
      <c r="BC20" s="54">
        <v>2595</v>
      </c>
      <c r="BD20" s="54">
        <v>1320</v>
      </c>
      <c r="BE20" s="70">
        <v>4671</v>
      </c>
      <c r="BF20" s="63"/>
      <c r="BG20" s="71">
        <v>2142</v>
      </c>
      <c r="BH20" s="67"/>
      <c r="BI20" s="68"/>
      <c r="BJ20" s="72">
        <v>1106</v>
      </c>
      <c r="BK20" s="62"/>
      <c r="BL20" s="70">
        <v>2853</v>
      </c>
      <c r="BM20" s="70">
        <v>158</v>
      </c>
      <c r="BN20" s="70">
        <v>187</v>
      </c>
      <c r="BO20" s="70">
        <v>748</v>
      </c>
      <c r="BP20" s="73">
        <v>13</v>
      </c>
      <c r="BQ20" s="152">
        <v>1067</v>
      </c>
      <c r="BR20" s="153">
        <v>489</v>
      </c>
      <c r="BS20" s="154">
        <v>106</v>
      </c>
      <c r="BT20" s="76">
        <v>77.173333333333332</v>
      </c>
      <c r="BU20" s="77">
        <v>22.826666666666668</v>
      </c>
      <c r="BV20" s="78">
        <v>1447</v>
      </c>
      <c r="BW20" s="79">
        <v>428</v>
      </c>
      <c r="BX20" s="69">
        <v>802</v>
      </c>
      <c r="BY20" s="70">
        <v>253</v>
      </c>
      <c r="BZ20" s="70">
        <v>249</v>
      </c>
      <c r="CA20" s="70">
        <v>392</v>
      </c>
      <c r="CB20" s="70">
        <v>18</v>
      </c>
      <c r="CC20" s="70">
        <v>154</v>
      </c>
      <c r="CD20" s="70">
        <v>7</v>
      </c>
      <c r="CE20" s="73">
        <v>0</v>
      </c>
    </row>
    <row r="21" spans="2:83" x14ac:dyDescent="0.3">
      <c r="B21" s="46">
        <v>2</v>
      </c>
      <c r="C21" s="150">
        <v>43111</v>
      </c>
      <c r="D21" s="74">
        <v>7</v>
      </c>
      <c r="E21" s="54">
        <v>1618</v>
      </c>
      <c r="F21" s="75">
        <v>239</v>
      </c>
      <c r="G21" s="51">
        <v>3.4257217847769028</v>
      </c>
      <c r="H21" s="52">
        <v>5.1144200626959249</v>
      </c>
      <c r="I21" s="53">
        <v>1276</v>
      </c>
      <c r="J21" s="54">
        <v>1905</v>
      </c>
      <c r="K21" s="54">
        <v>6526</v>
      </c>
      <c r="L21" s="55">
        <v>6516.9</v>
      </c>
      <c r="M21" s="55">
        <v>484.96600000000001</v>
      </c>
      <c r="N21" s="57">
        <v>978.9</v>
      </c>
      <c r="O21" s="58">
        <v>643.68000000000006</v>
      </c>
      <c r="P21" s="59">
        <v>10.138578175490926</v>
      </c>
      <c r="Q21" s="60">
        <v>815.39</v>
      </c>
      <c r="R21" s="61">
        <v>8.0035320521468254</v>
      </c>
      <c r="S21" s="48"/>
      <c r="T21" s="50"/>
      <c r="U21" s="151">
        <v>0</v>
      </c>
      <c r="V21" s="54">
        <v>36</v>
      </c>
      <c r="W21" s="75">
        <v>38</v>
      </c>
      <c r="X21" s="80">
        <v>46</v>
      </c>
      <c r="Y21" s="70">
        <v>142</v>
      </c>
      <c r="Z21" s="70">
        <v>451</v>
      </c>
      <c r="AA21" s="64">
        <v>835.8</v>
      </c>
      <c r="AB21" s="64">
        <v>112.163</v>
      </c>
      <c r="AC21" s="66"/>
      <c r="AD21" s="67"/>
      <c r="AE21" s="68"/>
      <c r="AF21" s="80">
        <v>80</v>
      </c>
      <c r="AG21" s="70">
        <v>191</v>
      </c>
      <c r="AH21" s="70">
        <v>37</v>
      </c>
      <c r="AI21" s="70">
        <v>81</v>
      </c>
      <c r="AJ21" s="70">
        <v>68</v>
      </c>
      <c r="AK21" s="70">
        <v>42</v>
      </c>
      <c r="AL21" s="70">
        <v>263</v>
      </c>
      <c r="AM21" s="70">
        <v>107</v>
      </c>
      <c r="AN21" s="70">
        <v>353</v>
      </c>
      <c r="AO21" s="70">
        <v>129</v>
      </c>
      <c r="AP21" s="70">
        <v>157</v>
      </c>
      <c r="AQ21" s="70">
        <v>59</v>
      </c>
      <c r="AR21" s="63"/>
      <c r="AS21" s="63"/>
      <c r="AT21" s="63"/>
      <c r="AU21" s="63"/>
      <c r="AV21" s="63"/>
      <c r="AW21" s="50"/>
      <c r="AX21" s="80">
        <v>3156</v>
      </c>
      <c r="AY21" s="70">
        <v>19974</v>
      </c>
      <c r="AZ21" s="54">
        <v>1540</v>
      </c>
      <c r="BA21" s="54">
        <v>4600</v>
      </c>
      <c r="BB21" s="54">
        <v>485</v>
      </c>
      <c r="BC21" s="54">
        <v>3000</v>
      </c>
      <c r="BD21" s="54">
        <v>1021</v>
      </c>
      <c r="BE21" s="70">
        <v>2373</v>
      </c>
      <c r="BF21" s="63"/>
      <c r="BG21" s="71">
        <v>1496</v>
      </c>
      <c r="BH21" s="67"/>
      <c r="BI21" s="68"/>
      <c r="BJ21" s="72">
        <v>1059</v>
      </c>
      <c r="BK21" s="62"/>
      <c r="BL21" s="70">
        <v>2139</v>
      </c>
      <c r="BM21" s="70">
        <v>99</v>
      </c>
      <c r="BN21" s="70">
        <v>127</v>
      </c>
      <c r="BO21" s="70">
        <v>811</v>
      </c>
      <c r="BP21" s="73">
        <v>22</v>
      </c>
      <c r="BQ21" s="152">
        <v>727</v>
      </c>
      <c r="BR21" s="153">
        <v>281</v>
      </c>
      <c r="BS21" s="154">
        <v>115</v>
      </c>
      <c r="BT21" s="76">
        <v>75.471698113207552</v>
      </c>
      <c r="BU21" s="77">
        <v>24.528301886792452</v>
      </c>
      <c r="BV21" s="78">
        <v>960</v>
      </c>
      <c r="BW21" s="79">
        <v>312</v>
      </c>
      <c r="BX21" s="69">
        <v>614</v>
      </c>
      <c r="BY21" s="70">
        <v>85</v>
      </c>
      <c r="BZ21" s="70">
        <v>157</v>
      </c>
      <c r="CA21" s="70">
        <v>261</v>
      </c>
      <c r="CB21" s="70">
        <v>6</v>
      </c>
      <c r="CC21" s="70">
        <v>146</v>
      </c>
      <c r="CD21" s="70">
        <v>3</v>
      </c>
      <c r="CE21" s="73">
        <v>0</v>
      </c>
    </row>
    <row r="22" spans="2:83" x14ac:dyDescent="0.3">
      <c r="B22" s="46">
        <v>2</v>
      </c>
      <c r="C22" s="150">
        <v>43112</v>
      </c>
      <c r="D22" s="74">
        <v>9</v>
      </c>
      <c r="E22" s="54">
        <v>1819</v>
      </c>
      <c r="F22" s="75">
        <v>269</v>
      </c>
      <c r="G22" s="51">
        <v>3.703351675837919</v>
      </c>
      <c r="H22" s="52">
        <v>5.1445448227936064</v>
      </c>
      <c r="I22" s="53">
        <v>1439</v>
      </c>
      <c r="J22" s="54">
        <v>1999</v>
      </c>
      <c r="K22" s="54">
        <v>7403</v>
      </c>
      <c r="L22" s="55">
        <v>11004.6</v>
      </c>
      <c r="M22" s="55">
        <v>391.892</v>
      </c>
      <c r="N22" s="57">
        <v>1110.45</v>
      </c>
      <c r="O22" s="58">
        <v>623.13</v>
      </c>
      <c r="P22" s="59">
        <v>11.880345995217692</v>
      </c>
      <c r="Q22" s="60">
        <v>793.07</v>
      </c>
      <c r="R22" s="61">
        <v>9.3346110683798393</v>
      </c>
      <c r="S22" s="48"/>
      <c r="T22" s="50"/>
      <c r="U22" s="151">
        <v>0</v>
      </c>
      <c r="V22" s="54">
        <v>67</v>
      </c>
      <c r="W22" s="75">
        <v>101</v>
      </c>
      <c r="X22" s="80">
        <v>48</v>
      </c>
      <c r="Y22" s="70">
        <v>176</v>
      </c>
      <c r="Z22" s="70">
        <v>419</v>
      </c>
      <c r="AA22" s="64">
        <v>1700.7</v>
      </c>
      <c r="AB22" s="64">
        <v>146.51300000000001</v>
      </c>
      <c r="AC22" s="66"/>
      <c r="AD22" s="67"/>
      <c r="AE22" s="68"/>
      <c r="AF22" s="80">
        <v>113</v>
      </c>
      <c r="AG22" s="70">
        <v>213</v>
      </c>
      <c r="AH22" s="70">
        <v>27</v>
      </c>
      <c r="AI22" s="70">
        <v>86</v>
      </c>
      <c r="AJ22" s="70">
        <v>60</v>
      </c>
      <c r="AK22" s="70">
        <v>1</v>
      </c>
      <c r="AL22" s="70">
        <v>231</v>
      </c>
      <c r="AM22" s="70">
        <v>121</v>
      </c>
      <c r="AN22" s="70">
        <v>387</v>
      </c>
      <c r="AO22" s="70">
        <v>149</v>
      </c>
      <c r="AP22" s="70">
        <v>232</v>
      </c>
      <c r="AQ22" s="70">
        <v>75</v>
      </c>
      <c r="AR22" s="63"/>
      <c r="AS22" s="63"/>
      <c r="AT22" s="63"/>
      <c r="AU22" s="63"/>
      <c r="AV22" s="63"/>
      <c r="AW22" s="50"/>
      <c r="AX22" s="80">
        <v>3128</v>
      </c>
      <c r="AY22" s="70">
        <v>16610</v>
      </c>
      <c r="AZ22" s="54">
        <v>1807</v>
      </c>
      <c r="BA22" s="54">
        <v>3643</v>
      </c>
      <c r="BB22" s="54">
        <v>910</v>
      </c>
      <c r="BC22" s="54">
        <v>2783</v>
      </c>
      <c r="BD22" s="54">
        <v>1077</v>
      </c>
      <c r="BE22" s="70">
        <v>2666</v>
      </c>
      <c r="BF22" s="63"/>
      <c r="BG22" s="71">
        <v>1770</v>
      </c>
      <c r="BH22" s="67"/>
      <c r="BI22" s="68"/>
      <c r="BJ22" s="72">
        <v>899</v>
      </c>
      <c r="BK22" s="62"/>
      <c r="BL22" s="70">
        <v>2117</v>
      </c>
      <c r="BM22" s="70">
        <v>154</v>
      </c>
      <c r="BN22" s="70">
        <v>120</v>
      </c>
      <c r="BO22" s="70">
        <v>600</v>
      </c>
      <c r="BP22" s="73">
        <v>25</v>
      </c>
      <c r="BQ22" s="152">
        <v>728</v>
      </c>
      <c r="BR22" s="153">
        <v>452</v>
      </c>
      <c r="BS22" s="154">
        <v>107</v>
      </c>
      <c r="BT22" s="76">
        <v>75.294934073560029</v>
      </c>
      <c r="BU22" s="77">
        <v>24.705065926439971</v>
      </c>
      <c r="BV22" s="78">
        <v>1085</v>
      </c>
      <c r="BW22" s="79">
        <v>356</v>
      </c>
      <c r="BX22" s="69">
        <v>642</v>
      </c>
      <c r="BY22" s="70">
        <v>207</v>
      </c>
      <c r="BZ22" s="70">
        <v>201</v>
      </c>
      <c r="CA22" s="70">
        <v>236</v>
      </c>
      <c r="CB22" s="70">
        <v>11</v>
      </c>
      <c r="CC22" s="70">
        <v>113</v>
      </c>
      <c r="CD22" s="70">
        <v>8</v>
      </c>
      <c r="CE22" s="73">
        <v>23</v>
      </c>
    </row>
    <row r="23" spans="2:83" x14ac:dyDescent="0.3">
      <c r="B23" s="46">
        <v>3</v>
      </c>
      <c r="C23" s="150">
        <v>43115</v>
      </c>
      <c r="D23" s="74">
        <v>46</v>
      </c>
      <c r="E23" s="54">
        <v>2551</v>
      </c>
      <c r="F23" s="75">
        <v>224</v>
      </c>
      <c r="G23" s="51">
        <v>2.183381088825215</v>
      </c>
      <c r="H23" s="52">
        <v>2.5527638190954773</v>
      </c>
      <c r="I23" s="53">
        <v>2388</v>
      </c>
      <c r="J23" s="54">
        <v>2792</v>
      </c>
      <c r="K23" s="54">
        <v>6096</v>
      </c>
      <c r="L23" s="55">
        <v>4507.3999999999996</v>
      </c>
      <c r="M23" s="55">
        <v>428.75900000000001</v>
      </c>
      <c r="N23" s="57">
        <v>914.4</v>
      </c>
      <c r="O23" s="58">
        <v>629.97</v>
      </c>
      <c r="P23" s="59">
        <v>9.6766512691080528</v>
      </c>
      <c r="Q23" s="60">
        <v>806.72</v>
      </c>
      <c r="R23" s="61">
        <v>7.5565251884172948</v>
      </c>
      <c r="S23" s="48"/>
      <c r="T23" s="50"/>
      <c r="U23" s="151">
        <v>0</v>
      </c>
      <c r="V23" s="54">
        <v>68</v>
      </c>
      <c r="W23" s="75">
        <v>82</v>
      </c>
      <c r="X23" s="80">
        <v>31</v>
      </c>
      <c r="Y23" s="70">
        <v>115</v>
      </c>
      <c r="Z23" s="70">
        <v>134</v>
      </c>
      <c r="AA23" s="64">
        <v>305.3</v>
      </c>
      <c r="AB23" s="64">
        <v>70.397000000000006</v>
      </c>
      <c r="AC23" s="66"/>
      <c r="AD23" s="67"/>
      <c r="AE23" s="68"/>
      <c r="AF23" s="80">
        <v>238</v>
      </c>
      <c r="AG23" s="70">
        <v>440</v>
      </c>
      <c r="AH23" s="70">
        <v>82</v>
      </c>
      <c r="AI23" s="70">
        <v>177</v>
      </c>
      <c r="AJ23" s="70">
        <v>139</v>
      </c>
      <c r="AK23" s="70">
        <v>85</v>
      </c>
      <c r="AL23" s="70">
        <v>648</v>
      </c>
      <c r="AM23" s="70">
        <v>139</v>
      </c>
      <c r="AN23" s="70">
        <v>187</v>
      </c>
      <c r="AO23" s="70">
        <v>81</v>
      </c>
      <c r="AP23" s="70">
        <v>119</v>
      </c>
      <c r="AQ23" s="70">
        <v>66</v>
      </c>
      <c r="AR23" s="63"/>
      <c r="AS23" s="63"/>
      <c r="AT23" s="63"/>
      <c r="AU23" s="63"/>
      <c r="AV23" s="63"/>
      <c r="AW23" s="50"/>
      <c r="AX23" s="80">
        <v>3316</v>
      </c>
      <c r="AY23" s="70">
        <v>14794</v>
      </c>
      <c r="AZ23" s="54">
        <v>1201</v>
      </c>
      <c r="BA23" s="54">
        <v>4239</v>
      </c>
      <c r="BB23" s="54">
        <v>539</v>
      </c>
      <c r="BC23" s="54">
        <v>1477</v>
      </c>
      <c r="BD23" s="54">
        <v>1127</v>
      </c>
      <c r="BE23" s="70">
        <v>1677</v>
      </c>
      <c r="BF23" s="63"/>
      <c r="BG23" s="71">
        <v>1952</v>
      </c>
      <c r="BH23" s="67"/>
      <c r="BI23" s="68"/>
      <c r="BJ23" s="72">
        <v>1023</v>
      </c>
      <c r="BK23" s="62"/>
      <c r="BL23" s="70">
        <v>2273</v>
      </c>
      <c r="BM23" s="70">
        <v>303</v>
      </c>
      <c r="BN23" s="70">
        <v>184</v>
      </c>
      <c r="BO23" s="70">
        <v>507</v>
      </c>
      <c r="BP23" s="73">
        <v>29</v>
      </c>
      <c r="BQ23" s="152">
        <v>1821</v>
      </c>
      <c r="BR23" s="153">
        <v>235</v>
      </c>
      <c r="BS23" s="154">
        <v>56</v>
      </c>
      <c r="BT23" s="76">
        <v>83.578328433431338</v>
      </c>
      <c r="BU23" s="77">
        <v>16.421671566568669</v>
      </c>
      <c r="BV23" s="78">
        <v>1990</v>
      </c>
      <c r="BW23" s="79">
        <v>391</v>
      </c>
      <c r="BX23" s="69">
        <v>1176</v>
      </c>
      <c r="BY23" s="70">
        <v>132</v>
      </c>
      <c r="BZ23" s="70">
        <v>122</v>
      </c>
      <c r="CA23" s="70">
        <v>682</v>
      </c>
      <c r="CB23" s="70">
        <v>9</v>
      </c>
      <c r="CC23" s="70">
        <v>219</v>
      </c>
      <c r="CD23" s="70">
        <v>11</v>
      </c>
      <c r="CE23" s="73">
        <v>30</v>
      </c>
    </row>
    <row r="24" spans="2:83" x14ac:dyDescent="0.3">
      <c r="B24" s="46">
        <v>3</v>
      </c>
      <c r="C24" s="150">
        <v>43116</v>
      </c>
      <c r="D24" s="74">
        <v>72</v>
      </c>
      <c r="E24" s="54">
        <v>1881</v>
      </c>
      <c r="F24" s="75">
        <v>316</v>
      </c>
      <c r="G24" s="51">
        <v>4.0637833114897335</v>
      </c>
      <c r="H24" s="52">
        <v>6.3887362637362637</v>
      </c>
      <c r="I24" s="53">
        <v>1456</v>
      </c>
      <c r="J24" s="54">
        <v>2289</v>
      </c>
      <c r="K24" s="54">
        <v>9302</v>
      </c>
      <c r="L24" s="55">
        <v>6518.1</v>
      </c>
      <c r="M24" s="55">
        <v>703.97799999999995</v>
      </c>
      <c r="N24" s="57">
        <v>1395.3</v>
      </c>
      <c r="O24" s="58">
        <v>711.16</v>
      </c>
      <c r="P24" s="59">
        <v>13.080038247370494</v>
      </c>
      <c r="Q24" s="60">
        <v>904.66</v>
      </c>
      <c r="R24" s="61">
        <v>10.282316008224084</v>
      </c>
      <c r="S24" s="48"/>
      <c r="T24" s="50"/>
      <c r="U24" s="151">
        <v>0</v>
      </c>
      <c r="V24" s="54">
        <v>72</v>
      </c>
      <c r="W24" s="75">
        <v>105</v>
      </c>
      <c r="X24" s="80">
        <v>87</v>
      </c>
      <c r="Y24" s="70">
        <v>200</v>
      </c>
      <c r="Z24" s="70">
        <v>591</v>
      </c>
      <c r="AA24" s="64">
        <v>746</v>
      </c>
      <c r="AB24" s="64">
        <v>182.33199999999999</v>
      </c>
      <c r="AC24" s="66"/>
      <c r="AD24" s="67"/>
      <c r="AE24" s="68"/>
      <c r="AF24" s="80">
        <v>119</v>
      </c>
      <c r="AG24" s="70">
        <v>215</v>
      </c>
      <c r="AH24" s="70">
        <v>47</v>
      </c>
      <c r="AI24" s="70">
        <v>74</v>
      </c>
      <c r="AJ24" s="70">
        <v>54</v>
      </c>
      <c r="AK24" s="70">
        <v>22</v>
      </c>
      <c r="AL24" s="70">
        <v>310</v>
      </c>
      <c r="AM24" s="70">
        <v>117</v>
      </c>
      <c r="AN24" s="70">
        <v>373</v>
      </c>
      <c r="AO24" s="70">
        <v>143</v>
      </c>
      <c r="AP24" s="70">
        <v>269</v>
      </c>
      <c r="AQ24" s="70">
        <v>86</v>
      </c>
      <c r="AR24" s="63"/>
      <c r="AS24" s="63"/>
      <c r="AT24" s="63"/>
      <c r="AU24" s="63"/>
      <c r="AV24" s="63"/>
      <c r="AW24" s="50"/>
      <c r="AX24" s="80">
        <v>4071</v>
      </c>
      <c r="AY24" s="70">
        <v>19902</v>
      </c>
      <c r="AZ24" s="54">
        <v>1729</v>
      </c>
      <c r="BA24" s="54">
        <v>5679</v>
      </c>
      <c r="BB24" s="54">
        <v>751</v>
      </c>
      <c r="BC24" s="54">
        <v>2467</v>
      </c>
      <c r="BD24" s="54">
        <v>1057</v>
      </c>
      <c r="BE24" s="70">
        <v>2639</v>
      </c>
      <c r="BF24" s="63"/>
      <c r="BG24" s="71">
        <v>1632</v>
      </c>
      <c r="BH24" s="67"/>
      <c r="BI24" s="68"/>
      <c r="BJ24" s="72">
        <v>1287</v>
      </c>
      <c r="BK24" s="62"/>
      <c r="BL24" s="70">
        <v>2353</v>
      </c>
      <c r="BM24" s="70">
        <v>240</v>
      </c>
      <c r="BN24" s="70">
        <v>165</v>
      </c>
      <c r="BO24" s="70">
        <v>852</v>
      </c>
      <c r="BP24" s="73">
        <v>30</v>
      </c>
      <c r="BQ24" s="152">
        <v>790</v>
      </c>
      <c r="BR24" s="65">
        <v>329</v>
      </c>
      <c r="BS24" s="65">
        <v>154</v>
      </c>
      <c r="BT24" s="76">
        <v>74.600971547536432</v>
      </c>
      <c r="BU24" s="77">
        <v>25.399028452463568</v>
      </c>
      <c r="BV24" s="78">
        <v>1075</v>
      </c>
      <c r="BW24" s="79">
        <v>366</v>
      </c>
      <c r="BX24" s="69">
        <v>569</v>
      </c>
      <c r="BY24" s="70">
        <v>154</v>
      </c>
      <c r="BZ24" s="70">
        <v>226</v>
      </c>
      <c r="CA24" s="70">
        <v>352</v>
      </c>
      <c r="CB24" s="70">
        <v>20</v>
      </c>
      <c r="CC24" s="70">
        <v>119</v>
      </c>
      <c r="CD24" s="70">
        <v>1</v>
      </c>
      <c r="CE24" s="73">
        <v>0</v>
      </c>
    </row>
    <row r="25" spans="2:83" x14ac:dyDescent="0.3">
      <c r="B25" s="46">
        <v>3</v>
      </c>
      <c r="C25" s="150">
        <v>43117</v>
      </c>
      <c r="D25" s="74">
        <v>52</v>
      </c>
      <c r="E25" s="54">
        <v>1913</v>
      </c>
      <c r="F25" s="75">
        <v>292</v>
      </c>
      <c r="G25" s="51">
        <v>4.5486295313881522</v>
      </c>
      <c r="H25" s="52">
        <v>7.8782542113323126</v>
      </c>
      <c r="I25" s="53">
        <v>1306</v>
      </c>
      <c r="J25" s="54">
        <v>2262</v>
      </c>
      <c r="K25" s="54">
        <v>10289</v>
      </c>
      <c r="L25" s="55">
        <v>6644.5</v>
      </c>
      <c r="M25" s="55">
        <v>608.03499999999997</v>
      </c>
      <c r="N25" s="57">
        <v>1543.35</v>
      </c>
      <c r="O25" s="58">
        <v>714.01</v>
      </c>
      <c r="P25" s="59">
        <v>14.410162322656545</v>
      </c>
      <c r="Q25" s="60">
        <v>907.69</v>
      </c>
      <c r="R25" s="61">
        <v>11.335367801782546</v>
      </c>
      <c r="S25" s="48"/>
      <c r="T25" s="50"/>
      <c r="U25" s="151">
        <v>0</v>
      </c>
      <c r="V25" s="54">
        <v>49</v>
      </c>
      <c r="W25" s="75">
        <v>33</v>
      </c>
      <c r="X25" s="80">
        <v>44</v>
      </c>
      <c r="Y25" s="70">
        <v>95</v>
      </c>
      <c r="Z25" s="70">
        <v>486</v>
      </c>
      <c r="AA25" s="64">
        <v>605</v>
      </c>
      <c r="AB25" s="64">
        <v>61.043999999999997</v>
      </c>
      <c r="AC25" s="66"/>
      <c r="AD25" s="67"/>
      <c r="AE25" s="68"/>
      <c r="AF25" s="80">
        <v>82</v>
      </c>
      <c r="AG25" s="70">
        <v>153</v>
      </c>
      <c r="AH25" s="70">
        <v>27</v>
      </c>
      <c r="AI25" s="70">
        <v>60</v>
      </c>
      <c r="AJ25" s="70">
        <v>55</v>
      </c>
      <c r="AK25" s="70">
        <v>14</v>
      </c>
      <c r="AL25" s="70">
        <v>284</v>
      </c>
      <c r="AM25" s="70">
        <v>106</v>
      </c>
      <c r="AN25" s="70">
        <v>447</v>
      </c>
      <c r="AO25" s="70">
        <v>181</v>
      </c>
      <c r="AP25" s="70">
        <v>344</v>
      </c>
      <c r="AQ25" s="70">
        <v>118</v>
      </c>
      <c r="AR25" s="63"/>
      <c r="AS25" s="63"/>
      <c r="AT25" s="63"/>
      <c r="AU25" s="63"/>
      <c r="AV25" s="63"/>
      <c r="AW25" s="50"/>
      <c r="AX25" s="80">
        <v>5781</v>
      </c>
      <c r="AY25" s="70">
        <v>23512</v>
      </c>
      <c r="AZ25" s="54">
        <v>2071</v>
      </c>
      <c r="BA25" s="54">
        <v>5611</v>
      </c>
      <c r="BB25" s="54">
        <v>1074</v>
      </c>
      <c r="BC25" s="54">
        <v>2238</v>
      </c>
      <c r="BD25" s="54">
        <v>1151</v>
      </c>
      <c r="BE25" s="70">
        <v>2961</v>
      </c>
      <c r="BF25" s="63"/>
      <c r="BG25" s="71">
        <v>1671</v>
      </c>
      <c r="BH25" s="67"/>
      <c r="BI25" s="68"/>
      <c r="BJ25" s="72">
        <v>639</v>
      </c>
      <c r="BK25" s="62"/>
      <c r="BL25" s="70">
        <v>1575</v>
      </c>
      <c r="BM25" s="70">
        <v>158</v>
      </c>
      <c r="BN25" s="70">
        <v>92</v>
      </c>
      <c r="BO25" s="70">
        <v>371</v>
      </c>
      <c r="BP25" s="73">
        <v>18</v>
      </c>
      <c r="BQ25" s="152">
        <v>588</v>
      </c>
      <c r="BR25" s="153">
        <v>397</v>
      </c>
      <c r="BS25" s="154">
        <v>109</v>
      </c>
      <c r="BT25" s="76">
        <v>66.978193146417439</v>
      </c>
      <c r="BU25" s="77">
        <v>33.021806853582554</v>
      </c>
      <c r="BV25" s="78">
        <v>860</v>
      </c>
      <c r="BW25" s="79">
        <v>424</v>
      </c>
      <c r="BX25" s="69">
        <v>440</v>
      </c>
      <c r="BY25" s="70">
        <v>162</v>
      </c>
      <c r="BZ25" s="70">
        <v>263</v>
      </c>
      <c r="CA25" s="70">
        <v>258</v>
      </c>
      <c r="CB25" s="70">
        <v>32</v>
      </c>
      <c r="CC25" s="70">
        <v>124</v>
      </c>
      <c r="CD25" s="70">
        <v>5</v>
      </c>
      <c r="CE25" s="73">
        <v>0</v>
      </c>
    </row>
    <row r="26" spans="2:83" x14ac:dyDescent="0.3">
      <c r="B26" s="46">
        <v>3</v>
      </c>
      <c r="C26" s="150">
        <v>43118</v>
      </c>
      <c r="D26" s="74">
        <v>20</v>
      </c>
      <c r="E26" s="54">
        <v>1814</v>
      </c>
      <c r="F26" s="75">
        <v>259</v>
      </c>
      <c r="G26" s="51">
        <v>4.4682080924855487</v>
      </c>
      <c r="H26" s="52">
        <v>5.9082802547770701</v>
      </c>
      <c r="I26" s="53">
        <v>1570</v>
      </c>
      <c r="J26" s="54">
        <v>2076</v>
      </c>
      <c r="K26" s="54">
        <v>9276</v>
      </c>
      <c r="L26" s="55">
        <v>5919.4</v>
      </c>
      <c r="M26" s="55">
        <v>485.07900000000001</v>
      </c>
      <c r="N26" s="57">
        <v>1391.3999999999999</v>
      </c>
      <c r="O26" s="58">
        <v>567.49</v>
      </c>
      <c r="P26" s="59">
        <v>16.345662478633983</v>
      </c>
      <c r="Q26" s="60">
        <v>745.25</v>
      </c>
      <c r="R26" s="61">
        <v>12.446829922844683</v>
      </c>
      <c r="S26" s="48"/>
      <c r="T26" s="50"/>
      <c r="U26" s="151">
        <v>0</v>
      </c>
      <c r="V26" s="54">
        <v>30</v>
      </c>
      <c r="W26" s="75">
        <v>20</v>
      </c>
      <c r="X26" s="80">
        <v>29</v>
      </c>
      <c r="Y26" s="70">
        <v>48</v>
      </c>
      <c r="Z26" s="70">
        <v>235</v>
      </c>
      <c r="AA26" s="64">
        <v>512.5</v>
      </c>
      <c r="AB26" s="64">
        <v>22.468</v>
      </c>
      <c r="AC26" s="66"/>
      <c r="AD26" s="67"/>
      <c r="AE26" s="68"/>
      <c r="AF26" s="80">
        <v>129</v>
      </c>
      <c r="AG26" s="70">
        <v>275</v>
      </c>
      <c r="AH26" s="70">
        <v>36</v>
      </c>
      <c r="AI26" s="70">
        <v>86</v>
      </c>
      <c r="AJ26" s="70">
        <v>84</v>
      </c>
      <c r="AK26" s="70">
        <v>27</v>
      </c>
      <c r="AL26" s="70">
        <v>402</v>
      </c>
      <c r="AM26" s="70">
        <v>92</v>
      </c>
      <c r="AN26" s="70">
        <v>282</v>
      </c>
      <c r="AO26" s="70">
        <v>102</v>
      </c>
      <c r="AP26" s="70">
        <v>168</v>
      </c>
      <c r="AQ26" s="70">
        <v>71</v>
      </c>
      <c r="AR26" s="63"/>
      <c r="AS26" s="63"/>
      <c r="AT26" s="63"/>
      <c r="AU26" s="63"/>
      <c r="AV26" s="63"/>
      <c r="AW26" s="50"/>
      <c r="AX26" s="80">
        <v>3166</v>
      </c>
      <c r="AY26" s="70">
        <v>14051</v>
      </c>
      <c r="AZ26" s="54">
        <v>1626</v>
      </c>
      <c r="BA26" s="54">
        <v>3905</v>
      </c>
      <c r="BB26" s="54">
        <v>393</v>
      </c>
      <c r="BC26" s="54">
        <v>684</v>
      </c>
      <c r="BD26" s="54">
        <v>921</v>
      </c>
      <c r="BE26" s="70">
        <v>2375</v>
      </c>
      <c r="BF26" s="63"/>
      <c r="BG26" s="71">
        <v>1287</v>
      </c>
      <c r="BH26" s="67"/>
      <c r="BI26" s="68"/>
      <c r="BJ26" s="72">
        <v>1033</v>
      </c>
      <c r="BK26" s="62"/>
      <c r="BL26" s="70">
        <v>2225</v>
      </c>
      <c r="BM26" s="70">
        <v>361</v>
      </c>
      <c r="BN26" s="70">
        <v>178</v>
      </c>
      <c r="BO26" s="70">
        <v>479</v>
      </c>
      <c r="BP26" s="73">
        <v>15</v>
      </c>
      <c r="BQ26" s="152">
        <v>994</v>
      </c>
      <c r="BR26" s="153">
        <v>314</v>
      </c>
      <c r="BS26" s="154">
        <v>115</v>
      </c>
      <c r="BT26" s="76">
        <v>80.530401034928843</v>
      </c>
      <c r="BU26" s="77">
        <v>19.46959896507115</v>
      </c>
      <c r="BV26" s="78">
        <v>1245</v>
      </c>
      <c r="BW26" s="79">
        <v>301</v>
      </c>
      <c r="BX26" s="69">
        <v>642</v>
      </c>
      <c r="BY26" s="70">
        <v>144</v>
      </c>
      <c r="BZ26" s="70">
        <v>184</v>
      </c>
      <c r="CA26" s="70">
        <v>459</v>
      </c>
      <c r="CB26" s="70">
        <v>10</v>
      </c>
      <c r="CC26" s="70">
        <v>103</v>
      </c>
      <c r="CD26" s="70">
        <v>4</v>
      </c>
      <c r="CE26" s="73">
        <v>0</v>
      </c>
    </row>
    <row r="27" spans="2:83" x14ac:dyDescent="0.3">
      <c r="B27" s="46">
        <v>3</v>
      </c>
      <c r="C27" s="150">
        <v>43119</v>
      </c>
      <c r="D27" s="74">
        <v>4</v>
      </c>
      <c r="E27" s="54">
        <v>2184</v>
      </c>
      <c r="F27" s="75">
        <v>204</v>
      </c>
      <c r="G27" s="51">
        <v>2.9668226286686514</v>
      </c>
      <c r="H27" s="52">
        <v>4.4568690095846648</v>
      </c>
      <c r="I27" s="53">
        <v>1565</v>
      </c>
      <c r="J27" s="54">
        <v>2351</v>
      </c>
      <c r="K27" s="54">
        <v>6975</v>
      </c>
      <c r="L27" s="55">
        <v>4013</v>
      </c>
      <c r="M27" s="55">
        <v>386.96100000000001</v>
      </c>
      <c r="N27" s="57">
        <v>1046.25</v>
      </c>
      <c r="O27" s="58">
        <v>613.45000000000005</v>
      </c>
      <c r="P27" s="59">
        <v>11.370119814165783</v>
      </c>
      <c r="Q27" s="60">
        <v>796.06000000000006</v>
      </c>
      <c r="R27" s="61">
        <v>8.761902369168153</v>
      </c>
      <c r="S27" s="48"/>
      <c r="T27" s="50"/>
      <c r="U27" s="151">
        <v>0</v>
      </c>
      <c r="V27" s="54">
        <v>43</v>
      </c>
      <c r="W27" s="75">
        <v>68</v>
      </c>
      <c r="X27" s="80">
        <v>27</v>
      </c>
      <c r="Y27" s="70">
        <v>93</v>
      </c>
      <c r="Z27" s="70">
        <v>151</v>
      </c>
      <c r="AA27" s="64">
        <v>547.1</v>
      </c>
      <c r="AB27" s="64">
        <v>71.997</v>
      </c>
      <c r="AC27" s="66"/>
      <c r="AD27" s="67"/>
      <c r="AE27" s="68"/>
      <c r="AF27" s="80">
        <v>114</v>
      </c>
      <c r="AG27" s="70">
        <v>222</v>
      </c>
      <c r="AH27" s="70">
        <v>39</v>
      </c>
      <c r="AI27" s="70">
        <v>89</v>
      </c>
      <c r="AJ27" s="70">
        <v>71</v>
      </c>
      <c r="AK27" s="70">
        <v>8</v>
      </c>
      <c r="AL27" s="70">
        <v>349</v>
      </c>
      <c r="AM27" s="70">
        <v>138</v>
      </c>
      <c r="AN27" s="70">
        <v>341</v>
      </c>
      <c r="AO27" s="70">
        <v>135</v>
      </c>
      <c r="AP27" s="70">
        <v>263</v>
      </c>
      <c r="AQ27" s="70">
        <v>371</v>
      </c>
      <c r="AR27" s="63"/>
      <c r="AS27" s="63"/>
      <c r="AT27" s="63"/>
      <c r="AU27" s="63"/>
      <c r="AV27" s="63"/>
      <c r="AW27" s="50"/>
      <c r="AX27" s="80">
        <v>3738</v>
      </c>
      <c r="AY27" s="70">
        <v>17334</v>
      </c>
      <c r="AZ27" s="54">
        <v>1963</v>
      </c>
      <c r="BA27" s="54">
        <v>5704</v>
      </c>
      <c r="BB27" s="54">
        <v>764</v>
      </c>
      <c r="BC27" s="54">
        <v>1361</v>
      </c>
      <c r="BD27" s="54">
        <v>1174</v>
      </c>
      <c r="BE27" s="70">
        <v>2435</v>
      </c>
      <c r="BF27" s="63"/>
      <c r="BG27" s="71">
        <v>3043</v>
      </c>
      <c r="BH27" s="67"/>
      <c r="BI27" s="68"/>
      <c r="BJ27" s="72">
        <v>1136</v>
      </c>
      <c r="BK27" s="62"/>
      <c r="BL27" s="70">
        <v>1885</v>
      </c>
      <c r="BM27" s="70">
        <v>289</v>
      </c>
      <c r="BN27" s="70">
        <v>114</v>
      </c>
      <c r="BO27" s="70">
        <v>715</v>
      </c>
      <c r="BP27" s="73">
        <v>18</v>
      </c>
      <c r="BQ27" s="152">
        <v>839</v>
      </c>
      <c r="BR27" s="153">
        <v>462</v>
      </c>
      <c r="BS27" s="154">
        <v>89</v>
      </c>
      <c r="BT27" s="76">
        <v>73.154800783801434</v>
      </c>
      <c r="BU27" s="77">
        <v>26.845199216198562</v>
      </c>
      <c r="BV27" s="78">
        <v>1120</v>
      </c>
      <c r="BW27" s="79">
        <v>411</v>
      </c>
      <c r="BX27" s="69">
        <v>557</v>
      </c>
      <c r="BY27" s="70">
        <v>158</v>
      </c>
      <c r="BZ27" s="70">
        <v>230</v>
      </c>
      <c r="CA27" s="70">
        <v>405</v>
      </c>
      <c r="CB27" s="70">
        <v>7</v>
      </c>
      <c r="CC27" s="70">
        <v>165</v>
      </c>
      <c r="CD27" s="70">
        <v>9</v>
      </c>
      <c r="CE27" s="73">
        <v>0</v>
      </c>
    </row>
    <row r="28" spans="2:83" x14ac:dyDescent="0.3">
      <c r="B28" s="46">
        <v>4</v>
      </c>
      <c r="C28" s="150">
        <v>43122</v>
      </c>
      <c r="D28" s="74">
        <v>66</v>
      </c>
      <c r="E28" s="54">
        <v>3632</v>
      </c>
      <c r="F28" s="75">
        <v>201</v>
      </c>
      <c r="G28" s="51">
        <v>2.283590308370044</v>
      </c>
      <c r="H28" s="52">
        <v>3.1912273951519814</v>
      </c>
      <c r="I28" s="53">
        <v>2599</v>
      </c>
      <c r="J28" s="54">
        <v>3632</v>
      </c>
      <c r="K28" s="54">
        <v>8294</v>
      </c>
      <c r="L28" s="55">
        <v>5589.4</v>
      </c>
      <c r="M28" s="55">
        <v>458.76299999999998</v>
      </c>
      <c r="N28" s="57">
        <v>1244.1000000000001</v>
      </c>
      <c r="O28" s="58">
        <v>721.86</v>
      </c>
      <c r="P28" s="59">
        <v>11.4897625578367</v>
      </c>
      <c r="Q28" s="60">
        <v>910.89</v>
      </c>
      <c r="R28" s="61">
        <v>9.1053804520853241</v>
      </c>
      <c r="S28" s="48"/>
      <c r="T28" s="50"/>
      <c r="U28" s="151">
        <v>0</v>
      </c>
      <c r="V28" s="54">
        <v>59</v>
      </c>
      <c r="W28" s="75">
        <v>23</v>
      </c>
      <c r="X28" s="80">
        <v>39</v>
      </c>
      <c r="Y28" s="70">
        <v>102</v>
      </c>
      <c r="Z28" s="70">
        <v>145</v>
      </c>
      <c r="AA28" s="64">
        <v>1468.4</v>
      </c>
      <c r="AB28" s="64">
        <v>62.706000000000003</v>
      </c>
      <c r="AC28" s="66"/>
      <c r="AD28" s="67"/>
      <c r="AE28" s="68"/>
      <c r="AF28" s="80">
        <v>240</v>
      </c>
      <c r="AG28" s="70">
        <v>367</v>
      </c>
      <c r="AH28" s="70">
        <v>90</v>
      </c>
      <c r="AI28" s="70">
        <v>175</v>
      </c>
      <c r="AJ28" s="70">
        <v>139</v>
      </c>
      <c r="AK28" s="70">
        <v>4</v>
      </c>
      <c r="AL28" s="70">
        <v>673</v>
      </c>
      <c r="AM28" s="70">
        <v>174</v>
      </c>
      <c r="AN28" s="70">
        <v>496</v>
      </c>
      <c r="AO28" s="70">
        <v>180</v>
      </c>
      <c r="AP28" s="70">
        <v>230</v>
      </c>
      <c r="AQ28" s="70">
        <v>440</v>
      </c>
      <c r="AR28" s="63"/>
      <c r="AS28" s="63"/>
      <c r="AT28" s="63"/>
      <c r="AU28" s="63"/>
      <c r="AV28" s="63"/>
      <c r="AW28" s="50"/>
      <c r="AX28" s="80">
        <v>3368</v>
      </c>
      <c r="AY28" s="70">
        <v>17271</v>
      </c>
      <c r="AZ28" s="54">
        <v>1008</v>
      </c>
      <c r="BA28" s="54">
        <v>2601</v>
      </c>
      <c r="BB28" s="54">
        <v>640</v>
      </c>
      <c r="BC28" s="54">
        <v>1246</v>
      </c>
      <c r="BD28" s="54">
        <v>1251</v>
      </c>
      <c r="BE28" s="70">
        <v>1832</v>
      </c>
      <c r="BF28" s="63"/>
      <c r="BG28" s="71">
        <v>2546</v>
      </c>
      <c r="BH28" s="67"/>
      <c r="BI28" s="68"/>
      <c r="BJ28" s="72">
        <v>795</v>
      </c>
      <c r="BK28" s="62"/>
      <c r="BL28" s="70">
        <v>3069</v>
      </c>
      <c r="BM28" s="70">
        <v>152</v>
      </c>
      <c r="BN28" s="70">
        <v>187</v>
      </c>
      <c r="BO28" s="70">
        <v>444</v>
      </c>
      <c r="BP28" s="73">
        <v>12</v>
      </c>
      <c r="BQ28" s="152">
        <v>1743</v>
      </c>
      <c r="BR28" s="153">
        <v>444</v>
      </c>
      <c r="BS28" s="154">
        <v>86</v>
      </c>
      <c r="BT28" s="76">
        <v>76.738794435857798</v>
      </c>
      <c r="BU28" s="77">
        <v>23.261205564142195</v>
      </c>
      <c r="BV28" s="78">
        <v>1986</v>
      </c>
      <c r="BW28" s="79">
        <v>602</v>
      </c>
      <c r="BX28" s="69">
        <v>1118</v>
      </c>
      <c r="BY28" s="70">
        <v>163</v>
      </c>
      <c r="BZ28" s="70">
        <v>296</v>
      </c>
      <c r="CA28" s="70">
        <v>705</v>
      </c>
      <c r="CB28" s="70">
        <v>22</v>
      </c>
      <c r="CC28" s="70">
        <v>282</v>
      </c>
      <c r="CD28" s="70">
        <v>2</v>
      </c>
      <c r="CE28" s="73">
        <v>0</v>
      </c>
    </row>
    <row r="29" spans="2:83" x14ac:dyDescent="0.3">
      <c r="B29" s="46">
        <v>4</v>
      </c>
      <c r="C29" s="150">
        <v>43123</v>
      </c>
      <c r="D29" s="74">
        <v>32</v>
      </c>
      <c r="E29" s="54">
        <v>1928</v>
      </c>
      <c r="F29" s="75">
        <v>346</v>
      </c>
      <c r="G29" s="51">
        <v>4.1149176062445791</v>
      </c>
      <c r="H29" s="52">
        <v>6.2345597897503282</v>
      </c>
      <c r="I29" s="53">
        <v>1522</v>
      </c>
      <c r="J29" s="54">
        <v>2306</v>
      </c>
      <c r="K29" s="54">
        <v>9489</v>
      </c>
      <c r="L29" s="55">
        <v>9277.2000000000007</v>
      </c>
      <c r="M29" s="55">
        <v>607.11199999999997</v>
      </c>
      <c r="N29" s="57">
        <v>1423.3500000000001</v>
      </c>
      <c r="O29" s="58">
        <v>715.57</v>
      </c>
      <c r="P29" s="59">
        <v>13.260757158628785</v>
      </c>
      <c r="Q29" s="60">
        <v>902.1400000000001</v>
      </c>
      <c r="R29" s="61">
        <v>10.518323098410445</v>
      </c>
      <c r="S29" s="48"/>
      <c r="T29" s="50"/>
      <c r="U29" s="151">
        <v>0</v>
      </c>
      <c r="V29" s="54">
        <v>67</v>
      </c>
      <c r="W29" s="75">
        <v>93</v>
      </c>
      <c r="X29" s="80">
        <v>88</v>
      </c>
      <c r="Y29" s="70">
        <v>156</v>
      </c>
      <c r="Z29" s="70">
        <v>959</v>
      </c>
      <c r="AA29" s="64">
        <v>1108</v>
      </c>
      <c r="AB29" s="64">
        <v>135.66499999999999</v>
      </c>
      <c r="AC29" s="66"/>
      <c r="AD29" s="67"/>
      <c r="AE29" s="68"/>
      <c r="AF29" s="80">
        <v>86</v>
      </c>
      <c r="AG29" s="70">
        <v>199</v>
      </c>
      <c r="AH29" s="70">
        <v>63</v>
      </c>
      <c r="AI29" s="70">
        <v>77</v>
      </c>
      <c r="AJ29" s="70">
        <v>73</v>
      </c>
      <c r="AK29" s="70">
        <v>5</v>
      </c>
      <c r="AL29" s="70">
        <v>321</v>
      </c>
      <c r="AM29" s="70">
        <v>122</v>
      </c>
      <c r="AN29" s="70">
        <v>347</v>
      </c>
      <c r="AO29" s="70">
        <v>172</v>
      </c>
      <c r="AP29" s="70">
        <v>262</v>
      </c>
      <c r="AQ29" s="70">
        <v>161</v>
      </c>
      <c r="AR29" s="63"/>
      <c r="AS29" s="63"/>
      <c r="AT29" s="63"/>
      <c r="AU29" s="63"/>
      <c r="AV29" s="63"/>
      <c r="AW29" s="50"/>
      <c r="AX29" s="80">
        <v>4042</v>
      </c>
      <c r="AY29" s="70">
        <v>19993</v>
      </c>
      <c r="AZ29" s="54">
        <v>1522</v>
      </c>
      <c r="BA29" s="54">
        <v>4609</v>
      </c>
      <c r="BB29" s="54">
        <v>658</v>
      </c>
      <c r="BC29" s="54">
        <v>1349</v>
      </c>
      <c r="BD29" s="54">
        <v>970</v>
      </c>
      <c r="BE29" s="70">
        <v>2276</v>
      </c>
      <c r="BF29" s="63"/>
      <c r="BG29" s="71">
        <v>1432</v>
      </c>
      <c r="BH29" s="67"/>
      <c r="BI29" s="68"/>
      <c r="BJ29" s="72">
        <v>1070</v>
      </c>
      <c r="BK29" s="62"/>
      <c r="BL29" s="70">
        <v>2667</v>
      </c>
      <c r="BM29" s="70">
        <v>325</v>
      </c>
      <c r="BN29" s="70">
        <v>125</v>
      </c>
      <c r="BO29" s="70">
        <v>596</v>
      </c>
      <c r="BP29" s="73">
        <v>24</v>
      </c>
      <c r="BQ29" s="152">
        <v>780</v>
      </c>
      <c r="BR29" s="153">
        <v>302</v>
      </c>
      <c r="BS29" s="154">
        <v>147</v>
      </c>
      <c r="BT29" s="76">
        <v>68.588469184890656</v>
      </c>
      <c r="BU29" s="77">
        <v>31.411530815109344</v>
      </c>
      <c r="BV29" s="78">
        <v>1035</v>
      </c>
      <c r="BW29" s="79">
        <v>474</v>
      </c>
      <c r="BX29" s="69">
        <v>574</v>
      </c>
      <c r="BY29" s="70">
        <v>100</v>
      </c>
      <c r="BZ29" s="70">
        <v>239</v>
      </c>
      <c r="CA29" s="70">
        <v>361</v>
      </c>
      <c r="CB29" s="70">
        <v>25</v>
      </c>
      <c r="CC29" s="70">
        <v>200</v>
      </c>
      <c r="CD29" s="70">
        <v>10</v>
      </c>
      <c r="CE29" s="73">
        <v>0</v>
      </c>
    </row>
    <row r="30" spans="2:83" x14ac:dyDescent="0.3">
      <c r="B30" s="46">
        <v>4</v>
      </c>
      <c r="C30" s="150">
        <v>43124</v>
      </c>
      <c r="D30" s="74">
        <v>10</v>
      </c>
      <c r="E30" s="54">
        <v>1789</v>
      </c>
      <c r="F30" s="75">
        <v>502</v>
      </c>
      <c r="G30" s="51">
        <v>4.6837376460017968</v>
      </c>
      <c r="H30" s="52">
        <v>7.9831546707503831</v>
      </c>
      <c r="I30" s="53">
        <v>1306</v>
      </c>
      <c r="J30" s="54">
        <v>2226</v>
      </c>
      <c r="K30" s="54">
        <v>10426</v>
      </c>
      <c r="L30" s="55">
        <v>8564.5</v>
      </c>
      <c r="M30" s="55">
        <v>739.99400000000003</v>
      </c>
      <c r="N30" s="57">
        <v>1563.9</v>
      </c>
      <c r="O30" s="58">
        <v>719.71</v>
      </c>
      <c r="P30" s="59">
        <v>14.486390351669421</v>
      </c>
      <c r="Q30" s="60">
        <v>897.22</v>
      </c>
      <c r="R30" s="61">
        <v>11.620338378547068</v>
      </c>
      <c r="S30" s="48"/>
      <c r="T30" s="50"/>
      <c r="U30" s="151">
        <v>0</v>
      </c>
      <c r="V30" s="54">
        <v>41</v>
      </c>
      <c r="W30" s="75">
        <v>148</v>
      </c>
      <c r="X30" s="80">
        <v>33</v>
      </c>
      <c r="Y30" s="70">
        <v>115</v>
      </c>
      <c r="Z30" s="70">
        <v>270</v>
      </c>
      <c r="AA30" s="64">
        <v>1160</v>
      </c>
      <c r="AB30" s="64">
        <v>92.122</v>
      </c>
      <c r="AC30" s="66"/>
      <c r="AD30" s="67"/>
      <c r="AE30" s="68"/>
      <c r="AF30" s="80">
        <v>81</v>
      </c>
      <c r="AG30" s="70">
        <v>144</v>
      </c>
      <c r="AH30" s="70">
        <v>32</v>
      </c>
      <c r="AI30" s="70">
        <v>66</v>
      </c>
      <c r="AJ30" s="70">
        <v>76</v>
      </c>
      <c r="AK30" s="70">
        <v>3</v>
      </c>
      <c r="AL30" s="70">
        <v>289</v>
      </c>
      <c r="AM30" s="70">
        <v>116</v>
      </c>
      <c r="AN30" s="70">
        <v>407</v>
      </c>
      <c r="AO30" s="70">
        <v>189</v>
      </c>
      <c r="AP30" s="70">
        <v>281</v>
      </c>
      <c r="AQ30" s="70">
        <v>74</v>
      </c>
      <c r="AR30" s="63"/>
      <c r="AS30" s="63"/>
      <c r="AT30" s="63"/>
      <c r="AU30" s="63"/>
      <c r="AV30" s="63"/>
      <c r="AW30" s="50"/>
      <c r="AX30" s="80">
        <v>5430</v>
      </c>
      <c r="AY30" s="70">
        <v>25151</v>
      </c>
      <c r="AZ30" s="54">
        <v>2358</v>
      </c>
      <c r="BA30" s="54">
        <v>4934</v>
      </c>
      <c r="BB30" s="54">
        <v>1417</v>
      </c>
      <c r="BC30" s="54">
        <v>3113</v>
      </c>
      <c r="BD30" s="54">
        <v>1360</v>
      </c>
      <c r="BE30" s="70">
        <v>3584</v>
      </c>
      <c r="BF30" s="63"/>
      <c r="BG30" s="71">
        <v>2246</v>
      </c>
      <c r="BH30" s="67"/>
      <c r="BI30" s="68"/>
      <c r="BJ30" s="72">
        <v>1151</v>
      </c>
      <c r="BK30" s="62"/>
      <c r="BL30" s="70">
        <v>2963</v>
      </c>
      <c r="BM30" s="70">
        <v>240</v>
      </c>
      <c r="BN30" s="70">
        <v>158</v>
      </c>
      <c r="BO30" s="70">
        <v>724</v>
      </c>
      <c r="BP30" s="73">
        <v>29</v>
      </c>
      <c r="BQ30" s="152">
        <v>676</v>
      </c>
      <c r="BR30" s="153">
        <v>400</v>
      </c>
      <c r="BS30" s="154">
        <v>130</v>
      </c>
      <c r="BT30" s="76">
        <v>73.291925465838503</v>
      </c>
      <c r="BU30" s="77">
        <v>26.70807453416149</v>
      </c>
      <c r="BV30" s="78">
        <v>944</v>
      </c>
      <c r="BW30" s="79">
        <v>344</v>
      </c>
      <c r="BX30" s="69">
        <v>495</v>
      </c>
      <c r="BY30" s="70">
        <v>153</v>
      </c>
      <c r="BZ30" s="70">
        <v>235</v>
      </c>
      <c r="CA30" s="70">
        <v>296</v>
      </c>
      <c r="CB30" s="70">
        <v>8</v>
      </c>
      <c r="CC30" s="70">
        <v>92</v>
      </c>
      <c r="CD30" s="70">
        <v>6</v>
      </c>
      <c r="CE30" s="73">
        <v>3</v>
      </c>
    </row>
    <row r="31" spans="2:83" x14ac:dyDescent="0.3">
      <c r="B31" s="46">
        <v>4</v>
      </c>
      <c r="C31" s="150">
        <v>43125</v>
      </c>
      <c r="D31" s="74">
        <v>45</v>
      </c>
      <c r="E31" s="54">
        <v>1504</v>
      </c>
      <c r="F31" s="75">
        <v>227</v>
      </c>
      <c r="G31" s="51">
        <v>4.7288040426726559</v>
      </c>
      <c r="H31" s="52">
        <v>7.2603448275862066</v>
      </c>
      <c r="I31" s="53">
        <v>1160</v>
      </c>
      <c r="J31" s="54">
        <v>1781</v>
      </c>
      <c r="K31" s="54">
        <v>8422</v>
      </c>
      <c r="L31" s="55">
        <v>6535.4</v>
      </c>
      <c r="M31" s="55">
        <v>485.19299999999998</v>
      </c>
      <c r="N31" s="57">
        <v>1263.3000000000002</v>
      </c>
      <c r="O31" s="58">
        <v>602.78000000000009</v>
      </c>
      <c r="P31" s="59">
        <v>13.971930057400709</v>
      </c>
      <c r="Q31" s="60">
        <v>771.61</v>
      </c>
      <c r="R31" s="61">
        <v>10.914840398646986</v>
      </c>
      <c r="S31" s="48"/>
      <c r="T31" s="50"/>
      <c r="U31" s="151">
        <v>0</v>
      </c>
      <c r="V31" s="54">
        <v>18</v>
      </c>
      <c r="W31" s="75">
        <v>62</v>
      </c>
      <c r="X31" s="80">
        <v>37</v>
      </c>
      <c r="Y31" s="70">
        <v>126</v>
      </c>
      <c r="Z31" s="70">
        <v>608</v>
      </c>
      <c r="AA31" s="64">
        <v>1038.8</v>
      </c>
      <c r="AB31" s="64">
        <v>152.19800000000001</v>
      </c>
      <c r="AC31" s="66"/>
      <c r="AD31" s="67"/>
      <c r="AE31" s="68"/>
      <c r="AF31" s="80">
        <v>74</v>
      </c>
      <c r="AG31" s="70">
        <v>152</v>
      </c>
      <c r="AH31" s="70">
        <v>33</v>
      </c>
      <c r="AI31" s="70">
        <v>67</v>
      </c>
      <c r="AJ31" s="70">
        <v>44</v>
      </c>
      <c r="AK31" s="70">
        <v>6</v>
      </c>
      <c r="AL31" s="70">
        <v>286</v>
      </c>
      <c r="AM31" s="70">
        <v>62</v>
      </c>
      <c r="AN31" s="70">
        <v>323</v>
      </c>
      <c r="AO31" s="70">
        <v>129</v>
      </c>
      <c r="AP31" s="70">
        <v>206</v>
      </c>
      <c r="AQ31" s="70">
        <v>82</v>
      </c>
      <c r="AR31" s="63"/>
      <c r="AS31" s="63"/>
      <c r="AT31" s="63"/>
      <c r="AU31" s="63"/>
      <c r="AV31" s="63"/>
      <c r="AW31" s="50"/>
      <c r="AX31" s="80">
        <v>3340</v>
      </c>
      <c r="AY31" s="70">
        <v>17352</v>
      </c>
      <c r="AZ31" s="54">
        <v>1310</v>
      </c>
      <c r="BA31" s="54">
        <v>4051</v>
      </c>
      <c r="BB31" s="54">
        <v>795</v>
      </c>
      <c r="BC31" s="54">
        <v>1598</v>
      </c>
      <c r="BD31" s="54">
        <v>833</v>
      </c>
      <c r="BE31" s="70">
        <v>2375</v>
      </c>
      <c r="BF31" s="63"/>
      <c r="BG31" s="71">
        <v>1483</v>
      </c>
      <c r="BH31" s="67"/>
      <c r="BI31" s="68"/>
      <c r="BJ31" s="72">
        <v>854</v>
      </c>
      <c r="BK31" s="62"/>
      <c r="BL31" s="70">
        <v>2073</v>
      </c>
      <c r="BM31" s="70">
        <v>148</v>
      </c>
      <c r="BN31" s="70">
        <v>111</v>
      </c>
      <c r="BO31" s="70">
        <v>584</v>
      </c>
      <c r="BP31" s="73">
        <v>11</v>
      </c>
      <c r="BQ31" s="152">
        <v>669</v>
      </c>
      <c r="BR31" s="153">
        <v>288</v>
      </c>
      <c r="BS31" s="154">
        <v>74</v>
      </c>
      <c r="BT31" s="76">
        <v>70.216450216450212</v>
      </c>
      <c r="BU31" s="77">
        <v>29.783549783549784</v>
      </c>
      <c r="BV31" s="78">
        <v>811</v>
      </c>
      <c r="BW31" s="79">
        <v>344</v>
      </c>
      <c r="BX31" s="69">
        <v>404</v>
      </c>
      <c r="BY31" s="70">
        <v>116</v>
      </c>
      <c r="BZ31" s="70">
        <v>234</v>
      </c>
      <c r="CA31" s="70">
        <v>291</v>
      </c>
      <c r="CB31" s="70">
        <v>8</v>
      </c>
      <c r="CC31" s="70">
        <v>92</v>
      </c>
      <c r="CD31" s="70">
        <v>10</v>
      </c>
      <c r="CE31" s="73">
        <v>0</v>
      </c>
    </row>
    <row r="32" spans="2:83" x14ac:dyDescent="0.3">
      <c r="B32" s="46">
        <v>4</v>
      </c>
      <c r="C32" s="150">
        <v>43126</v>
      </c>
      <c r="D32" s="74">
        <v>48</v>
      </c>
      <c r="E32" s="54">
        <v>1886</v>
      </c>
      <c r="F32" s="75">
        <v>234</v>
      </c>
      <c r="G32" s="51">
        <v>3.9019060901906091</v>
      </c>
      <c r="H32" s="52">
        <v>6.077480086893555</v>
      </c>
      <c r="I32" s="53">
        <v>1381</v>
      </c>
      <c r="J32" s="54">
        <v>2151</v>
      </c>
      <c r="K32" s="54">
        <v>8393</v>
      </c>
      <c r="L32" s="55">
        <v>6388.2</v>
      </c>
      <c r="M32" s="55">
        <v>501.41800000000001</v>
      </c>
      <c r="N32" s="57">
        <v>1258.95</v>
      </c>
      <c r="O32" s="58">
        <v>650.61</v>
      </c>
      <c r="P32" s="59">
        <v>12.900201349502774</v>
      </c>
      <c r="Q32" s="60">
        <v>804.47</v>
      </c>
      <c r="R32" s="61">
        <v>10.432955859137071</v>
      </c>
      <c r="S32" s="48"/>
      <c r="T32" s="50"/>
      <c r="U32" s="151">
        <v>13</v>
      </c>
      <c r="V32" s="54">
        <v>32</v>
      </c>
      <c r="W32" s="75">
        <v>38</v>
      </c>
      <c r="X32" s="80">
        <v>38</v>
      </c>
      <c r="Y32" s="70">
        <v>83</v>
      </c>
      <c r="Z32" s="70">
        <v>210</v>
      </c>
      <c r="AA32" s="64">
        <v>861.5</v>
      </c>
      <c r="AB32" s="64">
        <v>60.932000000000002</v>
      </c>
      <c r="AC32" s="66"/>
      <c r="AD32" s="67"/>
      <c r="AE32" s="68"/>
      <c r="AF32" s="80">
        <v>149</v>
      </c>
      <c r="AG32" s="70">
        <v>155</v>
      </c>
      <c r="AH32" s="70">
        <v>51</v>
      </c>
      <c r="AI32" s="70">
        <v>68</v>
      </c>
      <c r="AJ32" s="70">
        <v>66</v>
      </c>
      <c r="AK32" s="70">
        <v>21</v>
      </c>
      <c r="AL32" s="70">
        <v>241</v>
      </c>
      <c r="AM32" s="70">
        <v>106</v>
      </c>
      <c r="AN32" s="70">
        <v>431</v>
      </c>
      <c r="AO32" s="70">
        <v>176</v>
      </c>
      <c r="AP32" s="70">
        <v>235</v>
      </c>
      <c r="AQ32" s="70">
        <v>128</v>
      </c>
      <c r="AR32" s="63"/>
      <c r="AS32" s="63"/>
      <c r="AT32" s="63"/>
      <c r="AU32" s="63"/>
      <c r="AV32" s="63"/>
      <c r="AW32" s="50"/>
      <c r="AX32" s="80">
        <v>3889</v>
      </c>
      <c r="AY32" s="70">
        <v>24603</v>
      </c>
      <c r="AZ32" s="54">
        <v>1961</v>
      </c>
      <c r="BA32" s="54">
        <v>5071</v>
      </c>
      <c r="BB32" s="54">
        <v>845</v>
      </c>
      <c r="BC32" s="54">
        <v>1694</v>
      </c>
      <c r="BD32" s="54">
        <v>1254</v>
      </c>
      <c r="BE32" s="70">
        <v>2565</v>
      </c>
      <c r="BF32" s="63"/>
      <c r="BG32" s="71">
        <v>3259</v>
      </c>
      <c r="BH32" s="67"/>
      <c r="BI32" s="68"/>
      <c r="BJ32" s="72">
        <v>831</v>
      </c>
      <c r="BK32" s="62"/>
      <c r="BL32" s="70">
        <v>2402</v>
      </c>
      <c r="BM32" s="70">
        <v>197</v>
      </c>
      <c r="BN32" s="70">
        <v>72</v>
      </c>
      <c r="BO32" s="70">
        <v>550</v>
      </c>
      <c r="BP32" s="73">
        <v>12</v>
      </c>
      <c r="BQ32" s="152">
        <v>705</v>
      </c>
      <c r="BR32" s="153">
        <v>439</v>
      </c>
      <c r="BS32" s="154">
        <v>114</v>
      </c>
      <c r="BT32" s="76">
        <v>73.012399708242157</v>
      </c>
      <c r="BU32" s="77">
        <v>26.98760029175784</v>
      </c>
      <c r="BV32" s="78">
        <v>1001</v>
      </c>
      <c r="BW32" s="79">
        <v>370</v>
      </c>
      <c r="BX32" s="69">
        <v>592</v>
      </c>
      <c r="BY32" s="70">
        <v>181</v>
      </c>
      <c r="BZ32" s="70">
        <v>256</v>
      </c>
      <c r="CA32" s="70">
        <v>228</v>
      </c>
      <c r="CB32" s="70">
        <v>11</v>
      </c>
      <c r="CC32" s="70">
        <v>97</v>
      </c>
      <c r="CD32" s="70">
        <v>6</v>
      </c>
      <c r="CE32" s="73">
        <v>0</v>
      </c>
    </row>
    <row r="33" spans="2:83" x14ac:dyDescent="0.3">
      <c r="B33" s="46">
        <v>5</v>
      </c>
      <c r="C33" s="150">
        <v>43129</v>
      </c>
      <c r="D33" s="74">
        <v>39</v>
      </c>
      <c r="E33" s="54">
        <v>3044</v>
      </c>
      <c r="F33" s="75">
        <v>198</v>
      </c>
      <c r="G33" s="51">
        <v>2.4062785736056083</v>
      </c>
      <c r="H33" s="52">
        <v>2.8460706560922855</v>
      </c>
      <c r="I33" s="53">
        <v>2774</v>
      </c>
      <c r="J33" s="54">
        <v>3281</v>
      </c>
      <c r="K33" s="54">
        <v>7895</v>
      </c>
      <c r="L33" s="55">
        <v>4655.8</v>
      </c>
      <c r="M33" s="55">
        <v>481.363</v>
      </c>
      <c r="N33" s="57">
        <v>1184.25</v>
      </c>
      <c r="O33" s="58">
        <v>660.26</v>
      </c>
      <c r="P33" s="59">
        <v>11.957410716990276</v>
      </c>
      <c r="Q33" s="60">
        <v>835.24</v>
      </c>
      <c r="R33" s="61">
        <v>9.4523729706431681</v>
      </c>
      <c r="S33" s="48"/>
      <c r="T33" s="50"/>
      <c r="U33" s="151">
        <v>25</v>
      </c>
      <c r="V33" s="54">
        <v>85</v>
      </c>
      <c r="W33" s="75">
        <v>36</v>
      </c>
      <c r="X33" s="80">
        <v>87</v>
      </c>
      <c r="Y33" s="70">
        <v>165</v>
      </c>
      <c r="Z33" s="70">
        <v>839</v>
      </c>
      <c r="AA33" s="64">
        <v>573.6</v>
      </c>
      <c r="AB33" s="64">
        <v>87.831000000000003</v>
      </c>
      <c r="AC33" s="66"/>
      <c r="AD33" s="67"/>
      <c r="AE33" s="68"/>
      <c r="AF33" s="80">
        <v>261</v>
      </c>
      <c r="AG33" s="70">
        <v>412</v>
      </c>
      <c r="AH33" s="70">
        <v>99</v>
      </c>
      <c r="AI33" s="70">
        <v>203</v>
      </c>
      <c r="AJ33" s="70">
        <v>178</v>
      </c>
      <c r="AK33" s="70">
        <v>47</v>
      </c>
      <c r="AL33" s="70">
        <v>756</v>
      </c>
      <c r="AM33" s="70">
        <v>177</v>
      </c>
      <c r="AN33" s="70">
        <v>355</v>
      </c>
      <c r="AO33" s="70">
        <v>159</v>
      </c>
      <c r="AP33" s="70">
        <v>136</v>
      </c>
      <c r="AQ33" s="70">
        <v>76</v>
      </c>
      <c r="AR33" s="63"/>
      <c r="AS33" s="63"/>
      <c r="AT33" s="63"/>
      <c r="AU33" s="63"/>
      <c r="AV33" s="63"/>
      <c r="AW33" s="50"/>
      <c r="AX33" s="80">
        <v>4147</v>
      </c>
      <c r="AY33" s="70">
        <v>22175</v>
      </c>
      <c r="AZ33" s="54">
        <v>849</v>
      </c>
      <c r="BA33" s="54">
        <v>2159</v>
      </c>
      <c r="BB33" s="54">
        <v>395</v>
      </c>
      <c r="BC33" s="54">
        <v>575</v>
      </c>
      <c r="BD33" s="54">
        <v>1286</v>
      </c>
      <c r="BE33" s="70">
        <v>1467</v>
      </c>
      <c r="BF33" s="63"/>
      <c r="BG33" s="71">
        <v>2057</v>
      </c>
      <c r="BH33" s="67"/>
      <c r="BI33" s="68"/>
      <c r="BJ33" s="72">
        <v>999</v>
      </c>
      <c r="BK33" s="62"/>
      <c r="BL33" s="70">
        <v>2396</v>
      </c>
      <c r="BM33" s="70">
        <v>211</v>
      </c>
      <c r="BN33" s="70">
        <v>118</v>
      </c>
      <c r="BO33" s="70">
        <v>652</v>
      </c>
      <c r="BP33" s="73">
        <v>18</v>
      </c>
      <c r="BQ33" s="152">
        <v>2034</v>
      </c>
      <c r="BR33" s="153">
        <v>330</v>
      </c>
      <c r="BS33" s="154">
        <v>101</v>
      </c>
      <c r="BT33" s="76">
        <v>84.267631103074137</v>
      </c>
      <c r="BU33" s="77">
        <v>15.732368896925859</v>
      </c>
      <c r="BV33" s="78">
        <v>2330</v>
      </c>
      <c r="BW33" s="79">
        <v>435</v>
      </c>
      <c r="BX33" s="69">
        <v>1340</v>
      </c>
      <c r="BY33" s="70">
        <v>181</v>
      </c>
      <c r="BZ33" s="70">
        <v>171</v>
      </c>
      <c r="CA33" s="70">
        <v>809</v>
      </c>
      <c r="CB33" s="70">
        <v>13</v>
      </c>
      <c r="CC33" s="70">
        <v>237</v>
      </c>
      <c r="CD33" s="70">
        <v>14</v>
      </c>
      <c r="CE33" s="73">
        <v>0</v>
      </c>
    </row>
    <row r="34" spans="2:83" x14ac:dyDescent="0.3">
      <c r="B34" s="46">
        <v>5</v>
      </c>
      <c r="C34" s="150">
        <v>43130</v>
      </c>
      <c r="D34" s="74">
        <v>27</v>
      </c>
      <c r="E34" s="54">
        <v>1797</v>
      </c>
      <c r="F34" s="75">
        <v>238</v>
      </c>
      <c r="G34" s="51">
        <v>4.40737148399612</v>
      </c>
      <c r="H34" s="52">
        <v>6.1865214431586111</v>
      </c>
      <c r="I34" s="53">
        <v>1469</v>
      </c>
      <c r="J34" s="54">
        <v>2062</v>
      </c>
      <c r="K34" s="54">
        <v>9088</v>
      </c>
      <c r="L34" s="55">
        <v>6892.9</v>
      </c>
      <c r="M34" s="55">
        <v>428.23500000000001</v>
      </c>
      <c r="N34" s="57">
        <v>1363.1999999999998</v>
      </c>
      <c r="O34" s="58">
        <v>643.09</v>
      </c>
      <c r="P34" s="59">
        <v>14.131770047738263</v>
      </c>
      <c r="Q34" s="60">
        <v>811.01</v>
      </c>
      <c r="R34" s="61">
        <v>11.205780446603617</v>
      </c>
      <c r="S34" s="48"/>
      <c r="T34" s="50"/>
      <c r="U34" s="151">
        <v>0</v>
      </c>
      <c r="V34" s="54">
        <v>71</v>
      </c>
      <c r="W34" s="75">
        <v>39</v>
      </c>
      <c r="X34" s="80">
        <v>76</v>
      </c>
      <c r="Y34" s="70">
        <v>112</v>
      </c>
      <c r="Z34" s="70">
        <v>493</v>
      </c>
      <c r="AA34" s="64">
        <v>497.2</v>
      </c>
      <c r="AB34" s="64">
        <v>45.908999999999999</v>
      </c>
      <c r="AC34" s="66"/>
      <c r="AD34" s="67"/>
      <c r="AE34" s="68"/>
      <c r="AF34" s="80">
        <v>107</v>
      </c>
      <c r="AG34" s="70">
        <v>177</v>
      </c>
      <c r="AH34" s="70">
        <v>32</v>
      </c>
      <c r="AI34" s="70">
        <v>123</v>
      </c>
      <c r="AJ34" s="70">
        <v>103</v>
      </c>
      <c r="AK34" s="70">
        <v>36</v>
      </c>
      <c r="AL34" s="70">
        <v>321</v>
      </c>
      <c r="AM34" s="70">
        <v>121</v>
      </c>
      <c r="AN34" s="70">
        <v>281</v>
      </c>
      <c r="AO34" s="70">
        <v>166</v>
      </c>
      <c r="AP34" s="70">
        <v>182</v>
      </c>
      <c r="AQ34" s="70">
        <v>106</v>
      </c>
      <c r="AR34" s="63"/>
      <c r="AS34" s="63"/>
      <c r="AT34" s="63"/>
      <c r="AU34" s="63"/>
      <c r="AV34" s="63"/>
      <c r="AW34" s="50"/>
      <c r="AX34" s="80">
        <v>4472</v>
      </c>
      <c r="AY34" s="70">
        <v>25336</v>
      </c>
      <c r="AZ34" s="54">
        <v>1531</v>
      </c>
      <c r="BA34" s="54">
        <v>4588</v>
      </c>
      <c r="BB34" s="54">
        <v>431</v>
      </c>
      <c r="BC34" s="54">
        <v>801</v>
      </c>
      <c r="BD34" s="54">
        <v>1123</v>
      </c>
      <c r="BE34" s="70">
        <v>2056</v>
      </c>
      <c r="BF34" s="63"/>
      <c r="BG34" s="71">
        <v>2314</v>
      </c>
      <c r="BH34" s="67"/>
      <c r="BI34" s="68"/>
      <c r="BJ34" s="72">
        <v>996</v>
      </c>
      <c r="BK34" s="62"/>
      <c r="BL34" s="70">
        <v>2481</v>
      </c>
      <c r="BM34" s="70">
        <v>217</v>
      </c>
      <c r="BN34" s="70">
        <v>136</v>
      </c>
      <c r="BO34" s="70">
        <v>615</v>
      </c>
      <c r="BP34" s="73">
        <v>28</v>
      </c>
      <c r="BQ34" s="152">
        <v>846</v>
      </c>
      <c r="BR34" s="153">
        <v>339</v>
      </c>
      <c r="BS34" s="154">
        <v>112</v>
      </c>
      <c r="BT34" s="76">
        <v>75.518672199170126</v>
      </c>
      <c r="BU34" s="77">
        <v>24.481327800829874</v>
      </c>
      <c r="BV34" s="78">
        <v>1092</v>
      </c>
      <c r="BW34" s="79">
        <v>354</v>
      </c>
      <c r="BX34" s="69">
        <v>528</v>
      </c>
      <c r="BY34" s="70">
        <v>138</v>
      </c>
      <c r="BZ34" s="70">
        <v>215</v>
      </c>
      <c r="CA34" s="70">
        <v>426</v>
      </c>
      <c r="CB34" s="70">
        <v>9</v>
      </c>
      <c r="CC34" s="70">
        <v>127</v>
      </c>
      <c r="CD34" s="70">
        <v>3</v>
      </c>
      <c r="CE34" s="73">
        <v>0</v>
      </c>
    </row>
    <row r="35" spans="2:83" x14ac:dyDescent="0.3">
      <c r="B35" s="46">
        <v>5</v>
      </c>
      <c r="C35" s="150">
        <v>43131</v>
      </c>
      <c r="D35" s="74">
        <v>18</v>
      </c>
      <c r="E35" s="54">
        <v>2140</v>
      </c>
      <c r="F35" s="75">
        <v>262</v>
      </c>
      <c r="G35" s="51">
        <v>4.494214876033058</v>
      </c>
      <c r="H35" s="52">
        <v>6.5597104945717728</v>
      </c>
      <c r="I35" s="53">
        <v>1658</v>
      </c>
      <c r="J35" s="54">
        <v>2420</v>
      </c>
      <c r="K35" s="54">
        <v>10876</v>
      </c>
      <c r="L35" s="55">
        <v>5770.2</v>
      </c>
      <c r="M35" s="55">
        <v>512.28300000000002</v>
      </c>
      <c r="N35" s="57">
        <v>1631.3999999999999</v>
      </c>
      <c r="O35" s="58">
        <v>612.91999999999996</v>
      </c>
      <c r="P35" s="59">
        <v>17.744566990798148</v>
      </c>
      <c r="Q35" s="60">
        <v>799.39</v>
      </c>
      <c r="R35" s="61">
        <v>13.605374097749534</v>
      </c>
      <c r="S35" s="48"/>
      <c r="T35" s="50"/>
      <c r="U35" s="151">
        <v>0</v>
      </c>
      <c r="V35" s="54">
        <v>51</v>
      </c>
      <c r="W35" s="75">
        <v>98</v>
      </c>
      <c r="X35" s="80">
        <v>43</v>
      </c>
      <c r="Y35" s="70">
        <v>153</v>
      </c>
      <c r="Z35" s="70">
        <v>343</v>
      </c>
      <c r="AA35" s="64">
        <v>535.79999999999995</v>
      </c>
      <c r="AB35" s="64">
        <v>96.606999999999999</v>
      </c>
      <c r="AC35" s="66"/>
      <c r="AD35" s="67"/>
      <c r="AE35" s="68"/>
      <c r="AF35" s="80">
        <v>134</v>
      </c>
      <c r="AG35" s="70">
        <v>239</v>
      </c>
      <c r="AH35" s="70">
        <v>64</v>
      </c>
      <c r="AI35" s="70">
        <v>107</v>
      </c>
      <c r="AJ35" s="70">
        <v>83</v>
      </c>
      <c r="AK35" s="70">
        <v>20</v>
      </c>
      <c r="AL35" s="70">
        <v>325</v>
      </c>
      <c r="AM35" s="70">
        <v>133</v>
      </c>
      <c r="AN35" s="70">
        <v>413</v>
      </c>
      <c r="AO35" s="70">
        <v>174</v>
      </c>
      <c r="AP35" s="70">
        <v>267</v>
      </c>
      <c r="AQ35" s="70">
        <v>87</v>
      </c>
      <c r="AR35" s="63"/>
      <c r="AS35" s="63"/>
      <c r="AT35" s="63"/>
      <c r="AU35" s="63"/>
      <c r="AV35" s="63"/>
      <c r="AW35" s="50"/>
      <c r="AX35" s="80">
        <v>5463</v>
      </c>
      <c r="AY35" s="70">
        <v>24208</v>
      </c>
      <c r="AZ35" s="54">
        <v>2208</v>
      </c>
      <c r="BA35" s="54">
        <v>4403</v>
      </c>
      <c r="BB35" s="54">
        <v>819</v>
      </c>
      <c r="BC35" s="54">
        <v>1461</v>
      </c>
      <c r="BD35" s="54">
        <v>1389</v>
      </c>
      <c r="BE35" s="70">
        <v>2898</v>
      </c>
      <c r="BF35" s="63"/>
      <c r="BG35" s="71">
        <v>1765</v>
      </c>
      <c r="BH35" s="67"/>
      <c r="BI35" s="68"/>
      <c r="BJ35" s="72">
        <v>1088</v>
      </c>
      <c r="BK35" s="62"/>
      <c r="BL35" s="70">
        <v>2704</v>
      </c>
      <c r="BM35" s="70">
        <v>252</v>
      </c>
      <c r="BN35" s="70">
        <v>108</v>
      </c>
      <c r="BO35" s="70">
        <v>715</v>
      </c>
      <c r="BP35" s="73">
        <v>13</v>
      </c>
      <c r="BQ35" s="152">
        <v>873</v>
      </c>
      <c r="BR35" s="153">
        <v>420</v>
      </c>
      <c r="BS35" s="154">
        <v>169</v>
      </c>
      <c r="BT35" s="76">
        <v>74.254412659768718</v>
      </c>
      <c r="BU35" s="77">
        <v>25.745587340231285</v>
      </c>
      <c r="BV35" s="78">
        <v>1220</v>
      </c>
      <c r="BW35" s="79">
        <v>423</v>
      </c>
      <c r="BX35" s="69">
        <v>627</v>
      </c>
      <c r="BY35" s="70">
        <v>196</v>
      </c>
      <c r="BZ35" s="70">
        <v>234</v>
      </c>
      <c r="CA35" s="70">
        <v>397</v>
      </c>
      <c r="CB35" s="70">
        <v>8</v>
      </c>
      <c r="CC35" s="70">
        <v>177</v>
      </c>
      <c r="CD35" s="70">
        <v>4</v>
      </c>
      <c r="CE35" s="73">
        <v>0</v>
      </c>
    </row>
    <row r="36" spans="2:83" x14ac:dyDescent="0.3">
      <c r="B36" s="46">
        <v>5</v>
      </c>
      <c r="C36" s="150">
        <v>43132</v>
      </c>
      <c r="D36" s="74">
        <v>19</v>
      </c>
      <c r="E36" s="54">
        <v>1940</v>
      </c>
      <c r="F36" s="75">
        <v>270</v>
      </c>
      <c r="G36" s="51">
        <v>3.6114849708389412</v>
      </c>
      <c r="H36" s="52">
        <v>5.3030303030303028</v>
      </c>
      <c r="I36" s="53">
        <v>1518</v>
      </c>
      <c r="J36" s="54">
        <v>2229</v>
      </c>
      <c r="K36" s="54">
        <v>8050</v>
      </c>
      <c r="L36" s="55">
        <v>7454.8</v>
      </c>
      <c r="M36" s="55">
        <v>430.94799999999998</v>
      </c>
      <c r="N36" s="57">
        <v>1207.5</v>
      </c>
      <c r="O36" s="58">
        <v>660.82999999999993</v>
      </c>
      <c r="P36" s="59">
        <v>12.181650348803778</v>
      </c>
      <c r="Q36" s="60">
        <v>834.83999999999992</v>
      </c>
      <c r="R36" s="61">
        <v>9.6425662402376506</v>
      </c>
      <c r="S36" s="48"/>
      <c r="T36" s="50"/>
      <c r="U36" s="151">
        <v>1</v>
      </c>
      <c r="V36" s="54">
        <v>187</v>
      </c>
      <c r="W36" s="75">
        <v>36</v>
      </c>
      <c r="X36" s="80">
        <v>47</v>
      </c>
      <c r="Y36" s="70">
        <v>166</v>
      </c>
      <c r="Z36" s="70">
        <v>554</v>
      </c>
      <c r="AA36" s="64">
        <v>747.4</v>
      </c>
      <c r="AB36" s="64">
        <v>53.475999999999999</v>
      </c>
      <c r="AC36" s="66"/>
      <c r="AD36" s="67"/>
      <c r="AE36" s="68"/>
      <c r="AF36" s="80">
        <v>166</v>
      </c>
      <c r="AG36" s="70">
        <v>221</v>
      </c>
      <c r="AH36" s="70">
        <v>54</v>
      </c>
      <c r="AI36" s="70">
        <v>118</v>
      </c>
      <c r="AJ36" s="70">
        <v>135</v>
      </c>
      <c r="AK36" s="70">
        <v>26</v>
      </c>
      <c r="AL36" s="70">
        <v>338</v>
      </c>
      <c r="AM36" s="70">
        <v>105</v>
      </c>
      <c r="AN36" s="70">
        <v>291</v>
      </c>
      <c r="AO36" s="70">
        <v>182</v>
      </c>
      <c r="AP36" s="70">
        <v>187</v>
      </c>
      <c r="AQ36" s="70">
        <v>19</v>
      </c>
      <c r="AR36" s="63"/>
      <c r="AS36" s="63"/>
      <c r="AT36" s="63"/>
      <c r="AU36" s="63"/>
      <c r="AV36" s="63"/>
      <c r="AW36" s="50"/>
      <c r="AX36" s="80">
        <v>3954</v>
      </c>
      <c r="AY36" s="70">
        <v>25107</v>
      </c>
      <c r="AZ36" s="54">
        <v>1485</v>
      </c>
      <c r="BA36" s="54">
        <v>4721</v>
      </c>
      <c r="BB36" s="54">
        <v>215</v>
      </c>
      <c r="BC36" s="54">
        <v>363</v>
      </c>
      <c r="BD36" s="54">
        <v>1214</v>
      </c>
      <c r="BE36" s="70">
        <v>1850</v>
      </c>
      <c r="BF36" s="63"/>
      <c r="BG36" s="71">
        <v>1525</v>
      </c>
      <c r="BH36" s="67"/>
      <c r="BI36" s="68"/>
      <c r="BJ36" s="72">
        <v>1059</v>
      </c>
      <c r="BK36" s="62"/>
      <c r="BL36" s="70">
        <v>2201</v>
      </c>
      <c r="BM36" s="70">
        <v>219</v>
      </c>
      <c r="BN36" s="70">
        <v>126</v>
      </c>
      <c r="BO36" s="70">
        <v>696</v>
      </c>
      <c r="BP36" s="73">
        <v>18</v>
      </c>
      <c r="BQ36" s="152">
        <v>823</v>
      </c>
      <c r="BR36" s="153">
        <v>307</v>
      </c>
      <c r="BS36" s="154">
        <v>183</v>
      </c>
      <c r="BT36" s="76">
        <v>75.400000000000006</v>
      </c>
      <c r="BU36" s="77">
        <v>24.6</v>
      </c>
      <c r="BV36" s="78">
        <v>1131</v>
      </c>
      <c r="BW36" s="79">
        <v>369</v>
      </c>
      <c r="BX36" s="69">
        <v>655</v>
      </c>
      <c r="BY36" s="70">
        <v>113</v>
      </c>
      <c r="BZ36" s="70">
        <v>193</v>
      </c>
      <c r="CA36" s="70">
        <v>363</v>
      </c>
      <c r="CB36" s="70">
        <v>15</v>
      </c>
      <c r="CC36" s="70">
        <v>155</v>
      </c>
      <c r="CD36" s="70">
        <v>6</v>
      </c>
      <c r="CE36" s="73">
        <v>0</v>
      </c>
    </row>
    <row r="37" spans="2:83" x14ac:dyDescent="0.3">
      <c r="B37" s="46">
        <v>5</v>
      </c>
      <c r="C37" s="150">
        <v>43133</v>
      </c>
      <c r="D37" s="74">
        <v>17</v>
      </c>
      <c r="E37" s="54">
        <v>1966</v>
      </c>
      <c r="F37" s="75">
        <v>152</v>
      </c>
      <c r="G37" s="51">
        <v>2.868384074941452</v>
      </c>
      <c r="H37" s="52">
        <v>4.1688223281143637</v>
      </c>
      <c r="I37" s="53">
        <v>1469</v>
      </c>
      <c r="J37" s="54">
        <v>2135</v>
      </c>
      <c r="K37" s="54">
        <v>6124</v>
      </c>
      <c r="L37" s="55">
        <v>5206</v>
      </c>
      <c r="M37" s="55">
        <v>413.34100000000001</v>
      </c>
      <c r="N37" s="57">
        <v>918.59999999999991</v>
      </c>
      <c r="O37" s="58">
        <v>609.57999999999993</v>
      </c>
      <c r="P37" s="59">
        <v>10.04626136028085</v>
      </c>
      <c r="Q37" s="60">
        <v>760.14</v>
      </c>
      <c r="R37" s="61">
        <v>8.0564106611939899</v>
      </c>
      <c r="S37" s="48"/>
      <c r="T37" s="50"/>
      <c r="U37" s="151">
        <v>1</v>
      </c>
      <c r="V37" s="54">
        <v>55</v>
      </c>
      <c r="W37" s="75">
        <v>21</v>
      </c>
      <c r="X37" s="80">
        <v>41</v>
      </c>
      <c r="Y37" s="70">
        <v>138</v>
      </c>
      <c r="Z37" s="70">
        <v>282</v>
      </c>
      <c r="AA37" s="64">
        <v>578.70000000000005</v>
      </c>
      <c r="AB37" s="64">
        <v>31.626000000000001</v>
      </c>
      <c r="AC37" s="66"/>
      <c r="AD37" s="67"/>
      <c r="AE37" s="68"/>
      <c r="AF37" s="80">
        <v>125</v>
      </c>
      <c r="AG37" s="70">
        <v>150</v>
      </c>
      <c r="AH37" s="70">
        <v>42</v>
      </c>
      <c r="AI37" s="70">
        <v>100</v>
      </c>
      <c r="AJ37" s="70">
        <v>102</v>
      </c>
      <c r="AK37" s="70">
        <v>18</v>
      </c>
      <c r="AL37" s="70">
        <v>282</v>
      </c>
      <c r="AM37" s="70">
        <v>126</v>
      </c>
      <c r="AN37" s="70">
        <v>353</v>
      </c>
      <c r="AO37" s="70">
        <v>281</v>
      </c>
      <c r="AP37" s="70">
        <v>202</v>
      </c>
      <c r="AQ37" s="70">
        <v>52</v>
      </c>
      <c r="AR37" s="63"/>
      <c r="AS37" s="63"/>
      <c r="AT37" s="63"/>
      <c r="AU37" s="63"/>
      <c r="AV37" s="63"/>
      <c r="AW37" s="50"/>
      <c r="AX37" s="80">
        <v>2903</v>
      </c>
      <c r="AY37" s="70">
        <v>17721</v>
      </c>
      <c r="AZ37" s="54">
        <v>1472</v>
      </c>
      <c r="BA37" s="54">
        <v>3583</v>
      </c>
      <c r="BB37" s="54">
        <v>163</v>
      </c>
      <c r="BC37" s="54">
        <v>314</v>
      </c>
      <c r="BD37" s="54">
        <v>985</v>
      </c>
      <c r="BE37" s="70">
        <v>1600</v>
      </c>
      <c r="BF37" s="63"/>
      <c r="BG37" s="71">
        <v>1249</v>
      </c>
      <c r="BH37" s="67"/>
      <c r="BI37" s="68"/>
      <c r="BJ37" s="72">
        <v>785</v>
      </c>
      <c r="BK37" s="62"/>
      <c r="BL37" s="70">
        <v>1868</v>
      </c>
      <c r="BM37" s="70">
        <v>244</v>
      </c>
      <c r="BN37" s="70">
        <v>88</v>
      </c>
      <c r="BO37" s="70">
        <v>440</v>
      </c>
      <c r="BP37" s="73">
        <v>13</v>
      </c>
      <c r="BQ37" s="152">
        <v>762</v>
      </c>
      <c r="BR37" s="153">
        <v>413</v>
      </c>
      <c r="BS37" s="154">
        <v>132</v>
      </c>
      <c r="BT37" s="76">
        <v>75.819672131147541</v>
      </c>
      <c r="BU37" s="77">
        <v>24.180327868852459</v>
      </c>
      <c r="BV37" s="78">
        <v>1110</v>
      </c>
      <c r="BW37" s="79">
        <v>354</v>
      </c>
      <c r="BX37" s="69">
        <v>578</v>
      </c>
      <c r="BY37" s="70">
        <v>166</v>
      </c>
      <c r="BZ37" s="70">
        <v>209</v>
      </c>
      <c r="CA37" s="70">
        <v>366</v>
      </c>
      <c r="CB37" s="70">
        <v>14</v>
      </c>
      <c r="CC37" s="70">
        <v>121</v>
      </c>
      <c r="CD37" s="70">
        <v>10</v>
      </c>
      <c r="CE37" s="73">
        <v>0</v>
      </c>
    </row>
    <row r="38" spans="2:83" x14ac:dyDescent="0.3">
      <c r="B38" s="46">
        <v>6</v>
      </c>
      <c r="C38" s="150">
        <v>43136</v>
      </c>
      <c r="D38" s="74">
        <v>5</v>
      </c>
      <c r="E38" s="54">
        <v>2254</v>
      </c>
      <c r="F38" s="75">
        <v>171</v>
      </c>
      <c r="G38" s="51">
        <v>2.1043699618158676</v>
      </c>
      <c r="H38" s="52">
        <v>2.3675417661097851</v>
      </c>
      <c r="I38" s="53">
        <v>2095</v>
      </c>
      <c r="J38" s="54">
        <v>2357</v>
      </c>
      <c r="K38" s="54">
        <v>4960</v>
      </c>
      <c r="L38" s="55">
        <v>5393.8</v>
      </c>
      <c r="M38" s="55">
        <v>307.16500000000002</v>
      </c>
      <c r="N38" s="57">
        <v>744</v>
      </c>
      <c r="O38" s="58">
        <v>632.23000000000013</v>
      </c>
      <c r="P38" s="59">
        <v>7.84524619205036</v>
      </c>
      <c r="Q38" s="60">
        <v>783.26</v>
      </c>
      <c r="R38" s="61">
        <v>6.3325077241273648</v>
      </c>
      <c r="S38" s="48"/>
      <c r="T38" s="50"/>
      <c r="U38" s="151">
        <v>0</v>
      </c>
      <c r="V38" s="54">
        <v>65</v>
      </c>
      <c r="W38" s="75">
        <v>44</v>
      </c>
      <c r="X38" s="80">
        <v>30</v>
      </c>
      <c r="Y38" s="70">
        <v>55</v>
      </c>
      <c r="Z38" s="70">
        <v>211</v>
      </c>
      <c r="AA38" s="64">
        <v>820</v>
      </c>
      <c r="AB38" s="64">
        <v>40.210999999999999</v>
      </c>
      <c r="AC38" s="66"/>
      <c r="AD38" s="67"/>
      <c r="AE38" s="68"/>
      <c r="AF38" s="80">
        <v>245</v>
      </c>
      <c r="AG38" s="70">
        <v>334</v>
      </c>
      <c r="AH38" s="70">
        <v>66</v>
      </c>
      <c r="AI38" s="70">
        <v>167</v>
      </c>
      <c r="AJ38" s="70">
        <v>157</v>
      </c>
      <c r="AK38" s="70">
        <v>19</v>
      </c>
      <c r="AL38" s="70">
        <v>631</v>
      </c>
      <c r="AM38" s="70">
        <v>125</v>
      </c>
      <c r="AN38" s="70">
        <v>204</v>
      </c>
      <c r="AO38" s="70">
        <v>100</v>
      </c>
      <c r="AP38" s="70">
        <v>77</v>
      </c>
      <c r="AQ38" s="70">
        <v>44</v>
      </c>
      <c r="AR38" s="63"/>
      <c r="AS38" s="63"/>
      <c r="AT38" s="63"/>
      <c r="AU38" s="63"/>
      <c r="AV38" s="63"/>
      <c r="AW38" s="50"/>
      <c r="AX38" s="80">
        <v>3494</v>
      </c>
      <c r="AY38" s="70">
        <v>17851</v>
      </c>
      <c r="AZ38" s="54">
        <v>271</v>
      </c>
      <c r="BA38" s="54">
        <v>1848</v>
      </c>
      <c r="BB38" s="54">
        <v>230</v>
      </c>
      <c r="BC38" s="54">
        <v>244</v>
      </c>
      <c r="BD38" s="54">
        <v>1325</v>
      </c>
      <c r="BE38" s="70">
        <v>573</v>
      </c>
      <c r="BF38" s="63"/>
      <c r="BG38" s="71">
        <v>804</v>
      </c>
      <c r="BH38" s="67"/>
      <c r="BI38" s="68"/>
      <c r="BJ38" s="72">
        <v>664</v>
      </c>
      <c r="BK38" s="62"/>
      <c r="BL38" s="70">
        <v>2007</v>
      </c>
      <c r="BM38" s="70">
        <v>88</v>
      </c>
      <c r="BN38" s="70">
        <v>74</v>
      </c>
      <c r="BO38" s="70">
        <v>489</v>
      </c>
      <c r="BP38" s="73">
        <v>13</v>
      </c>
      <c r="BQ38" s="152">
        <v>1570</v>
      </c>
      <c r="BR38" s="153">
        <v>240</v>
      </c>
      <c r="BS38" s="154">
        <v>102</v>
      </c>
      <c r="BT38" s="76">
        <v>86.529242569511027</v>
      </c>
      <c r="BU38" s="77">
        <v>13.470757430488973</v>
      </c>
      <c r="BV38" s="78">
        <v>1805</v>
      </c>
      <c r="BW38" s="79">
        <v>281</v>
      </c>
      <c r="BX38" s="69">
        <v>1017</v>
      </c>
      <c r="BY38" s="70">
        <v>115</v>
      </c>
      <c r="BZ38" s="70">
        <v>104</v>
      </c>
      <c r="CA38" s="70">
        <v>673</v>
      </c>
      <c r="CB38" s="70">
        <v>10</v>
      </c>
      <c r="CC38" s="70">
        <v>163</v>
      </c>
      <c r="CD38" s="70">
        <v>4</v>
      </c>
      <c r="CE38" s="73">
        <v>0</v>
      </c>
    </row>
    <row r="39" spans="2:83" x14ac:dyDescent="0.3">
      <c r="B39" s="46">
        <v>6</v>
      </c>
      <c r="C39" s="150">
        <v>43137</v>
      </c>
      <c r="D39" s="74">
        <v>17</v>
      </c>
      <c r="E39" s="54">
        <v>1605</v>
      </c>
      <c r="F39" s="75">
        <v>209</v>
      </c>
      <c r="G39" s="51">
        <v>3.5797728501892916</v>
      </c>
      <c r="H39" s="52">
        <v>5.1191028615622587</v>
      </c>
      <c r="I39" s="53">
        <v>1293</v>
      </c>
      <c r="J39" s="54">
        <v>1849</v>
      </c>
      <c r="K39" s="54">
        <v>6619</v>
      </c>
      <c r="L39" s="55">
        <v>4277.3999999999996</v>
      </c>
      <c r="M39" s="55">
        <v>389.12</v>
      </c>
      <c r="N39" s="57">
        <v>992.84999999999991</v>
      </c>
      <c r="O39" s="58">
        <v>590.13</v>
      </c>
      <c r="P39" s="59">
        <v>11.216172707708472</v>
      </c>
      <c r="Q39" s="60">
        <v>748.93</v>
      </c>
      <c r="R39" s="61">
        <v>8.8379421307732375</v>
      </c>
      <c r="S39" s="48"/>
      <c r="T39" s="50"/>
      <c r="U39" s="151">
        <v>0</v>
      </c>
      <c r="V39" s="54">
        <v>79</v>
      </c>
      <c r="W39" s="75">
        <v>68</v>
      </c>
      <c r="X39" s="80">
        <v>46</v>
      </c>
      <c r="Y39" s="70">
        <v>153</v>
      </c>
      <c r="Z39" s="70">
        <v>561</v>
      </c>
      <c r="AA39" s="64">
        <v>863.3</v>
      </c>
      <c r="AB39" s="64">
        <v>61.088000000000001</v>
      </c>
      <c r="AC39" s="66"/>
      <c r="AD39" s="67"/>
      <c r="AE39" s="68"/>
      <c r="AF39" s="80">
        <v>174</v>
      </c>
      <c r="AG39" s="70">
        <v>178</v>
      </c>
      <c r="AH39" s="70">
        <v>39</v>
      </c>
      <c r="AI39" s="70">
        <v>88</v>
      </c>
      <c r="AJ39" s="70">
        <v>79</v>
      </c>
      <c r="AK39" s="70">
        <v>14</v>
      </c>
      <c r="AL39" s="70">
        <v>283</v>
      </c>
      <c r="AM39" s="70">
        <v>60</v>
      </c>
      <c r="AN39" s="70">
        <v>276</v>
      </c>
      <c r="AO39" s="70">
        <v>153</v>
      </c>
      <c r="AP39" s="70">
        <v>174</v>
      </c>
      <c r="AQ39" s="70">
        <v>67</v>
      </c>
      <c r="AR39" s="63"/>
      <c r="AS39" s="63"/>
      <c r="AT39" s="63"/>
      <c r="AU39" s="63"/>
      <c r="AV39" s="63"/>
      <c r="AW39" s="50"/>
      <c r="AX39" s="80">
        <v>2887</v>
      </c>
      <c r="AY39" s="70">
        <v>13507</v>
      </c>
      <c r="AZ39" s="54">
        <v>1176</v>
      </c>
      <c r="BA39" s="54">
        <v>2342</v>
      </c>
      <c r="BB39" s="54">
        <v>261</v>
      </c>
      <c r="BC39" s="54">
        <v>424</v>
      </c>
      <c r="BD39" s="54">
        <v>869</v>
      </c>
      <c r="BE39" s="70">
        <v>1457</v>
      </c>
      <c r="BF39" s="63"/>
      <c r="BG39" s="71">
        <v>1693</v>
      </c>
      <c r="BH39" s="67"/>
      <c r="BI39" s="68"/>
      <c r="BJ39" s="72">
        <v>640</v>
      </c>
      <c r="BK39" s="62"/>
      <c r="BL39" s="70">
        <v>1540</v>
      </c>
      <c r="BM39" s="70">
        <v>124</v>
      </c>
      <c r="BN39" s="70">
        <v>135</v>
      </c>
      <c r="BO39" s="70">
        <v>371</v>
      </c>
      <c r="BP39" s="73">
        <v>10</v>
      </c>
      <c r="BQ39" s="152">
        <v>820</v>
      </c>
      <c r="BR39" s="153">
        <v>225</v>
      </c>
      <c r="BS39" s="154">
        <v>63</v>
      </c>
      <c r="BT39" s="76">
        <v>76.279069767441854</v>
      </c>
      <c r="BU39" s="77">
        <v>23.720930232558139</v>
      </c>
      <c r="BV39" s="78">
        <v>984</v>
      </c>
      <c r="BW39" s="79">
        <v>306</v>
      </c>
      <c r="BX39" s="69">
        <v>565</v>
      </c>
      <c r="BY39" s="70">
        <v>88</v>
      </c>
      <c r="BZ39" s="70">
        <v>155</v>
      </c>
      <c r="CA39" s="70">
        <v>331</v>
      </c>
      <c r="CB39" s="70">
        <v>4</v>
      </c>
      <c r="CC39" s="70">
        <v>138</v>
      </c>
      <c r="CD39" s="70">
        <v>9</v>
      </c>
      <c r="CE39" s="73">
        <v>0</v>
      </c>
    </row>
    <row r="40" spans="2:83" x14ac:dyDescent="0.3">
      <c r="B40" s="46">
        <v>6</v>
      </c>
      <c r="C40" s="150">
        <v>43138</v>
      </c>
      <c r="D40" s="74">
        <v>10</v>
      </c>
      <c r="E40" s="54">
        <v>1357</v>
      </c>
      <c r="F40" s="75">
        <v>259</v>
      </c>
      <c r="G40" s="51">
        <v>5.1439114391143912</v>
      </c>
      <c r="H40" s="52">
        <v>7.6105550500454955</v>
      </c>
      <c r="I40" s="53">
        <v>1099</v>
      </c>
      <c r="J40" s="54">
        <v>1626</v>
      </c>
      <c r="K40" s="54">
        <v>8364</v>
      </c>
      <c r="L40" s="55">
        <v>5667</v>
      </c>
      <c r="M40" s="55">
        <v>417.803</v>
      </c>
      <c r="N40" s="57">
        <v>1254.6000000000001</v>
      </c>
      <c r="O40" s="58">
        <v>707.56</v>
      </c>
      <c r="P40" s="59">
        <v>11.820905647577591</v>
      </c>
      <c r="Q40" s="60">
        <v>874.46</v>
      </c>
      <c r="R40" s="61">
        <v>9.5647599661505378</v>
      </c>
      <c r="S40" s="48"/>
      <c r="T40" s="50"/>
      <c r="U40" s="151">
        <v>0</v>
      </c>
      <c r="V40" s="54">
        <v>36</v>
      </c>
      <c r="W40" s="75">
        <v>94</v>
      </c>
      <c r="X40" s="80">
        <v>38</v>
      </c>
      <c r="Y40" s="70">
        <v>123</v>
      </c>
      <c r="Z40" s="70">
        <v>181</v>
      </c>
      <c r="AA40" s="64">
        <v>924.5</v>
      </c>
      <c r="AB40" s="64">
        <v>125.187</v>
      </c>
      <c r="AC40" s="66"/>
      <c r="AD40" s="67"/>
      <c r="AE40" s="68"/>
      <c r="AF40" s="80">
        <v>92</v>
      </c>
      <c r="AG40" s="70">
        <v>136</v>
      </c>
      <c r="AH40" s="70">
        <v>15</v>
      </c>
      <c r="AI40" s="70">
        <v>67</v>
      </c>
      <c r="AJ40" s="70">
        <v>62</v>
      </c>
      <c r="AK40" s="70">
        <v>8</v>
      </c>
      <c r="AL40" s="70">
        <v>225</v>
      </c>
      <c r="AM40" s="70">
        <v>71</v>
      </c>
      <c r="AN40" s="70">
        <v>180</v>
      </c>
      <c r="AO40" s="70">
        <v>92</v>
      </c>
      <c r="AP40" s="70">
        <v>173</v>
      </c>
      <c r="AQ40" s="70">
        <v>73</v>
      </c>
      <c r="AR40" s="63"/>
      <c r="AS40" s="63"/>
      <c r="AT40" s="63"/>
      <c r="AU40" s="63"/>
      <c r="AV40" s="63"/>
      <c r="AW40" s="50"/>
      <c r="AX40" s="80">
        <v>5592</v>
      </c>
      <c r="AY40" s="70">
        <v>26891</v>
      </c>
      <c r="AZ40" s="54">
        <v>3120</v>
      </c>
      <c r="BA40" s="54">
        <v>7641</v>
      </c>
      <c r="BB40" s="54">
        <v>808</v>
      </c>
      <c r="BC40" s="54">
        <v>1495</v>
      </c>
      <c r="BD40" s="54">
        <v>1273</v>
      </c>
      <c r="BE40" s="70">
        <v>2882</v>
      </c>
      <c r="BF40" s="63"/>
      <c r="BG40" s="71">
        <v>1780</v>
      </c>
      <c r="BH40" s="67"/>
      <c r="BI40" s="68"/>
      <c r="BJ40" s="72">
        <v>1295</v>
      </c>
      <c r="BK40" s="62"/>
      <c r="BL40" s="70">
        <v>2458</v>
      </c>
      <c r="BM40" s="70">
        <v>323</v>
      </c>
      <c r="BN40" s="70">
        <v>152</v>
      </c>
      <c r="BO40" s="70">
        <v>800</v>
      </c>
      <c r="BP40" s="73">
        <v>20</v>
      </c>
      <c r="BQ40" s="152">
        <v>639</v>
      </c>
      <c r="BR40" s="153">
        <v>309</v>
      </c>
      <c r="BS40" s="154">
        <v>89</v>
      </c>
      <c r="BT40" s="76">
        <v>79.212454212454219</v>
      </c>
      <c r="BU40" s="77">
        <v>20.787545787545788</v>
      </c>
      <c r="BV40" s="78">
        <v>865</v>
      </c>
      <c r="BW40" s="79">
        <v>227</v>
      </c>
      <c r="BX40" s="69">
        <v>461</v>
      </c>
      <c r="BY40" s="70">
        <v>158</v>
      </c>
      <c r="BZ40" s="70">
        <v>144</v>
      </c>
      <c r="CA40" s="70">
        <v>246</v>
      </c>
      <c r="CB40" s="70">
        <v>5</v>
      </c>
      <c r="CC40" s="70">
        <v>67</v>
      </c>
      <c r="CD40" s="70">
        <v>11</v>
      </c>
      <c r="CE40" s="73">
        <v>0</v>
      </c>
    </row>
    <row r="41" spans="2:83" x14ac:dyDescent="0.3">
      <c r="B41" s="46">
        <v>6</v>
      </c>
      <c r="C41" s="150">
        <v>43139</v>
      </c>
      <c r="D41" s="74">
        <v>14</v>
      </c>
      <c r="E41" s="54">
        <v>1441</v>
      </c>
      <c r="F41" s="75">
        <v>245</v>
      </c>
      <c r="G41" s="51">
        <v>4.4973821989528799</v>
      </c>
      <c r="H41" s="52">
        <v>6.8903743315508024</v>
      </c>
      <c r="I41" s="53">
        <v>1122</v>
      </c>
      <c r="J41" s="54">
        <v>1719</v>
      </c>
      <c r="K41" s="54">
        <v>7731</v>
      </c>
      <c r="L41" s="55">
        <v>10039.700000000001</v>
      </c>
      <c r="M41" s="55">
        <v>496.733</v>
      </c>
      <c r="N41" s="57">
        <v>1159.6500000000001</v>
      </c>
      <c r="O41" s="58">
        <v>599.04999999999995</v>
      </c>
      <c r="P41" s="59">
        <v>12.905433603205076</v>
      </c>
      <c r="Q41" s="60">
        <v>772.89</v>
      </c>
      <c r="R41" s="61">
        <v>10.002717074874822</v>
      </c>
      <c r="S41" s="48"/>
      <c r="T41" s="50"/>
      <c r="U41" s="151">
        <v>0</v>
      </c>
      <c r="V41" s="54">
        <v>40</v>
      </c>
      <c r="W41" s="75">
        <v>48</v>
      </c>
      <c r="X41" s="80">
        <v>40</v>
      </c>
      <c r="Y41" s="70">
        <v>127</v>
      </c>
      <c r="Z41" s="70">
        <v>451</v>
      </c>
      <c r="AA41" s="64">
        <v>4056.1</v>
      </c>
      <c r="AB41" s="64">
        <v>128.673</v>
      </c>
      <c r="AC41" s="66"/>
      <c r="AD41" s="67"/>
      <c r="AE41" s="68"/>
      <c r="AF41" s="80">
        <v>93</v>
      </c>
      <c r="AG41" s="70">
        <v>138</v>
      </c>
      <c r="AH41" s="70">
        <v>15</v>
      </c>
      <c r="AI41" s="70">
        <v>67</v>
      </c>
      <c r="AJ41" s="70">
        <v>65</v>
      </c>
      <c r="AK41" s="70">
        <v>12</v>
      </c>
      <c r="AL41" s="70">
        <v>254</v>
      </c>
      <c r="AM41" s="70">
        <v>85</v>
      </c>
      <c r="AN41" s="70">
        <v>256</v>
      </c>
      <c r="AO41" s="70">
        <v>112</v>
      </c>
      <c r="AP41" s="70">
        <v>210</v>
      </c>
      <c r="AQ41" s="70">
        <v>98</v>
      </c>
      <c r="AR41" s="63"/>
      <c r="AS41" s="63"/>
      <c r="AT41" s="63"/>
      <c r="AU41" s="63"/>
      <c r="AV41" s="63"/>
      <c r="AW41" s="50"/>
      <c r="AX41" s="80">
        <v>2878</v>
      </c>
      <c r="AY41" s="70">
        <v>15760</v>
      </c>
      <c r="AZ41" s="54">
        <v>554</v>
      </c>
      <c r="BA41" s="54">
        <v>1005</v>
      </c>
      <c r="BB41" s="54">
        <v>173</v>
      </c>
      <c r="BC41" s="54">
        <v>323</v>
      </c>
      <c r="BD41" s="54">
        <v>841</v>
      </c>
      <c r="BE41" s="70">
        <v>1819</v>
      </c>
      <c r="BF41" s="63"/>
      <c r="BG41" s="71">
        <v>974</v>
      </c>
      <c r="BH41" s="67"/>
      <c r="BI41" s="68"/>
      <c r="BJ41" s="72">
        <v>992</v>
      </c>
      <c r="BK41" s="62"/>
      <c r="BL41" s="70">
        <v>1420</v>
      </c>
      <c r="BM41" s="70">
        <v>359</v>
      </c>
      <c r="BN41" s="70">
        <v>88</v>
      </c>
      <c r="BO41" s="70">
        <v>518</v>
      </c>
      <c r="BP41" s="73">
        <v>27</v>
      </c>
      <c r="BQ41" s="152">
        <v>581</v>
      </c>
      <c r="BR41" s="153">
        <v>303</v>
      </c>
      <c r="BS41" s="154">
        <v>97</v>
      </c>
      <c r="BT41" s="76">
        <v>69.092542677448336</v>
      </c>
      <c r="BU41" s="77">
        <v>30.907457322551661</v>
      </c>
      <c r="BV41" s="78">
        <v>769</v>
      </c>
      <c r="BW41" s="79">
        <v>344</v>
      </c>
      <c r="BX41" s="69">
        <v>418</v>
      </c>
      <c r="BY41" s="70">
        <v>113</v>
      </c>
      <c r="BZ41" s="70">
        <v>207</v>
      </c>
      <c r="CA41" s="70">
        <v>238</v>
      </c>
      <c r="CB41" s="70">
        <v>4</v>
      </c>
      <c r="CC41" s="70">
        <v>124</v>
      </c>
      <c r="CD41" s="70">
        <v>9</v>
      </c>
      <c r="CE41" s="73">
        <v>0</v>
      </c>
    </row>
    <row r="42" spans="2:83" x14ac:dyDescent="0.3">
      <c r="B42" s="46">
        <v>6</v>
      </c>
      <c r="C42" s="150">
        <v>43140</v>
      </c>
      <c r="D42" s="74">
        <v>0</v>
      </c>
      <c r="E42" s="54">
        <v>1675</v>
      </c>
      <c r="F42" s="75">
        <v>215</v>
      </c>
      <c r="G42" s="51">
        <v>3.0513227513227514</v>
      </c>
      <c r="H42" s="52">
        <v>4.2560885608856092</v>
      </c>
      <c r="I42" s="53">
        <v>1355</v>
      </c>
      <c r="J42" s="54">
        <v>1890</v>
      </c>
      <c r="K42" s="54">
        <v>5767</v>
      </c>
      <c r="L42" s="55">
        <v>4939.8</v>
      </c>
      <c r="M42" s="55">
        <v>333.8</v>
      </c>
      <c r="N42" s="57">
        <v>865.05000000000007</v>
      </c>
      <c r="O42" s="58">
        <v>556.81999999999994</v>
      </c>
      <c r="P42" s="59">
        <v>10.3570274056248</v>
      </c>
      <c r="Q42" s="60">
        <v>725.82</v>
      </c>
      <c r="R42" s="61">
        <v>7.9454961285167114</v>
      </c>
      <c r="S42" s="48"/>
      <c r="T42" s="50"/>
      <c r="U42" s="151">
        <v>0</v>
      </c>
      <c r="V42" s="54">
        <v>61</v>
      </c>
      <c r="W42" s="75">
        <v>51</v>
      </c>
      <c r="X42" s="80">
        <v>34</v>
      </c>
      <c r="Y42" s="70">
        <v>95</v>
      </c>
      <c r="Z42" s="70">
        <v>178</v>
      </c>
      <c r="AA42" s="64">
        <v>577.4</v>
      </c>
      <c r="AB42" s="64">
        <v>39.033999999999999</v>
      </c>
      <c r="AC42" s="66"/>
      <c r="AD42" s="67"/>
      <c r="AE42" s="68"/>
      <c r="AF42" s="80">
        <v>124</v>
      </c>
      <c r="AG42" s="70">
        <v>213</v>
      </c>
      <c r="AH42" s="70">
        <v>45</v>
      </c>
      <c r="AI42" s="70">
        <v>83</v>
      </c>
      <c r="AJ42" s="70">
        <v>91</v>
      </c>
      <c r="AK42" s="70">
        <v>25</v>
      </c>
      <c r="AL42" s="70">
        <v>292</v>
      </c>
      <c r="AM42" s="70">
        <v>116</v>
      </c>
      <c r="AN42" s="70">
        <v>287</v>
      </c>
      <c r="AO42" s="70">
        <v>126</v>
      </c>
      <c r="AP42" s="70">
        <v>152</v>
      </c>
      <c r="AQ42" s="70">
        <v>91</v>
      </c>
      <c r="AR42" s="63"/>
      <c r="AS42" s="63"/>
      <c r="AT42" s="63"/>
      <c r="AU42" s="63"/>
      <c r="AV42" s="63"/>
      <c r="AW42" s="50"/>
      <c r="AX42" s="80">
        <v>3429</v>
      </c>
      <c r="AY42" s="70">
        <v>17591</v>
      </c>
      <c r="AZ42" s="54">
        <v>1446</v>
      </c>
      <c r="BA42" s="54">
        <v>4299</v>
      </c>
      <c r="BB42" s="54">
        <v>247</v>
      </c>
      <c r="BC42" s="54">
        <v>522</v>
      </c>
      <c r="BD42" s="54">
        <v>1026</v>
      </c>
      <c r="BE42" s="70">
        <v>1429</v>
      </c>
      <c r="BF42" s="63"/>
      <c r="BG42" s="71">
        <v>1239</v>
      </c>
      <c r="BH42" s="67"/>
      <c r="BI42" s="68"/>
      <c r="BJ42" s="72">
        <v>586</v>
      </c>
      <c r="BK42" s="62"/>
      <c r="BL42" s="70">
        <v>2047</v>
      </c>
      <c r="BM42" s="70">
        <v>44</v>
      </c>
      <c r="BN42" s="70">
        <v>102</v>
      </c>
      <c r="BO42" s="70">
        <v>432</v>
      </c>
      <c r="BP42" s="73">
        <v>8</v>
      </c>
      <c r="BQ42" s="152">
        <v>708</v>
      </c>
      <c r="BR42" s="153">
        <v>363</v>
      </c>
      <c r="BS42" s="154">
        <v>151</v>
      </c>
      <c r="BT42" s="76">
        <v>78.332092330603132</v>
      </c>
      <c r="BU42" s="77">
        <v>21.667907669396872</v>
      </c>
      <c r="BV42" s="78">
        <v>1052</v>
      </c>
      <c r="BW42" s="79">
        <v>291</v>
      </c>
      <c r="BX42" s="69">
        <v>542</v>
      </c>
      <c r="BY42" s="70">
        <v>188</v>
      </c>
      <c r="BZ42" s="70">
        <v>178</v>
      </c>
      <c r="CA42" s="70">
        <v>322</v>
      </c>
      <c r="CB42" s="70">
        <v>10</v>
      </c>
      <c r="CC42" s="70">
        <v>97</v>
      </c>
      <c r="CD42" s="70">
        <v>6</v>
      </c>
      <c r="CE42" s="73">
        <v>0</v>
      </c>
    </row>
    <row r="43" spans="2:83" x14ac:dyDescent="0.3">
      <c r="B43" s="46">
        <v>7</v>
      </c>
      <c r="C43" s="150">
        <v>43143</v>
      </c>
      <c r="D43" s="74">
        <v>25</v>
      </c>
      <c r="E43" s="54">
        <v>1914</v>
      </c>
      <c r="F43" s="75">
        <v>316</v>
      </c>
      <c r="G43" s="51">
        <v>3.1965849387040279</v>
      </c>
      <c r="H43" s="52">
        <v>3.9084582441113489</v>
      </c>
      <c r="I43" s="53">
        <v>1868</v>
      </c>
      <c r="J43" s="54">
        <v>2284</v>
      </c>
      <c r="K43" s="54">
        <v>7301</v>
      </c>
      <c r="L43" s="55">
        <v>5474.1</v>
      </c>
      <c r="M43" s="55">
        <v>593.88400000000001</v>
      </c>
      <c r="N43" s="57">
        <v>1095.1500000000001</v>
      </c>
      <c r="O43" s="58">
        <v>586.81000000000006</v>
      </c>
      <c r="P43" s="59">
        <v>12.441846594297983</v>
      </c>
      <c r="Q43" s="60">
        <v>779.48</v>
      </c>
      <c r="R43" s="61">
        <v>9.3665007440858012</v>
      </c>
      <c r="S43" s="48"/>
      <c r="T43" s="50"/>
      <c r="U43" s="151">
        <v>0</v>
      </c>
      <c r="V43" s="54">
        <v>75</v>
      </c>
      <c r="W43" s="75">
        <v>42</v>
      </c>
      <c r="X43" s="80">
        <v>70</v>
      </c>
      <c r="Y43" s="70">
        <v>137</v>
      </c>
      <c r="Z43" s="70">
        <v>270</v>
      </c>
      <c r="AA43" s="64">
        <v>1018</v>
      </c>
      <c r="AB43" s="64">
        <v>73.483000000000004</v>
      </c>
      <c r="AC43" s="66"/>
      <c r="AD43" s="67"/>
      <c r="AE43" s="68"/>
      <c r="AF43" s="80">
        <v>221</v>
      </c>
      <c r="AG43" s="70">
        <v>320</v>
      </c>
      <c r="AH43" s="70">
        <v>62</v>
      </c>
      <c r="AI43" s="70">
        <v>113</v>
      </c>
      <c r="AJ43" s="70">
        <v>100</v>
      </c>
      <c r="AK43" s="70">
        <v>12</v>
      </c>
      <c r="AL43" s="70">
        <v>516</v>
      </c>
      <c r="AM43" s="70">
        <v>93</v>
      </c>
      <c r="AN43" s="70">
        <v>182</v>
      </c>
      <c r="AO43" s="70">
        <v>100</v>
      </c>
      <c r="AP43" s="70">
        <v>92</v>
      </c>
      <c r="AQ43" s="70">
        <v>64</v>
      </c>
      <c r="AR43" s="63"/>
      <c r="AS43" s="63"/>
      <c r="AT43" s="63"/>
      <c r="AU43" s="63"/>
      <c r="AV43" s="63"/>
      <c r="AW43" s="50"/>
      <c r="AX43" s="80">
        <v>3718</v>
      </c>
      <c r="AY43" s="70">
        <v>17031</v>
      </c>
      <c r="AZ43" s="54">
        <v>683</v>
      </c>
      <c r="BA43" s="54">
        <v>1429</v>
      </c>
      <c r="BB43" s="54">
        <v>693</v>
      </c>
      <c r="BC43" s="54">
        <v>1949</v>
      </c>
      <c r="BD43" s="54">
        <v>1174</v>
      </c>
      <c r="BE43" s="70">
        <v>1499</v>
      </c>
      <c r="BF43" s="63"/>
      <c r="BG43" s="71">
        <v>1857</v>
      </c>
      <c r="BH43" s="67"/>
      <c r="BI43" s="68"/>
      <c r="BJ43" s="72">
        <v>978</v>
      </c>
      <c r="BK43" s="62"/>
      <c r="BL43" s="70">
        <v>2474</v>
      </c>
      <c r="BM43" s="70">
        <v>304</v>
      </c>
      <c r="BN43" s="70">
        <v>84</v>
      </c>
      <c r="BO43" s="70">
        <v>575</v>
      </c>
      <c r="BP43" s="73">
        <v>15</v>
      </c>
      <c r="BQ43" s="152">
        <v>176</v>
      </c>
      <c r="BR43" s="153">
        <v>229</v>
      </c>
      <c r="BS43" s="154">
        <v>1332</v>
      </c>
      <c r="BT43" s="76">
        <v>83.261339092872575</v>
      </c>
      <c r="BU43" s="77">
        <v>16.738660907127429</v>
      </c>
      <c r="BV43" s="78">
        <v>1542</v>
      </c>
      <c r="BW43" s="79">
        <v>310</v>
      </c>
      <c r="BX43" s="69">
        <v>938</v>
      </c>
      <c r="BY43" s="70">
        <v>121</v>
      </c>
      <c r="BZ43" s="70">
        <v>202</v>
      </c>
      <c r="CA43" s="70">
        <v>483</v>
      </c>
      <c r="CB43" s="70">
        <v>1</v>
      </c>
      <c r="CC43" s="70">
        <v>103</v>
      </c>
      <c r="CD43" s="70">
        <v>4</v>
      </c>
      <c r="CE43" s="73">
        <v>0</v>
      </c>
    </row>
    <row r="44" spans="2:83" x14ac:dyDescent="0.3">
      <c r="B44" s="46">
        <v>7</v>
      </c>
      <c r="C44" s="150">
        <v>43144</v>
      </c>
      <c r="D44" s="74">
        <v>29</v>
      </c>
      <c r="E44" s="54">
        <v>1787</v>
      </c>
      <c r="F44" s="75">
        <v>147</v>
      </c>
      <c r="G44" s="51">
        <v>3.8107971745711402</v>
      </c>
      <c r="H44" s="52">
        <v>5.6281669150521614</v>
      </c>
      <c r="I44" s="53">
        <v>1342</v>
      </c>
      <c r="J44" s="54">
        <v>1982</v>
      </c>
      <c r="K44" s="54">
        <v>7553</v>
      </c>
      <c r="L44" s="55">
        <v>5410.6</v>
      </c>
      <c r="M44" s="55">
        <v>396.50099999999998</v>
      </c>
      <c r="N44" s="57">
        <v>1132.95</v>
      </c>
      <c r="O44" s="58">
        <v>502.28</v>
      </c>
      <c r="P44" s="59">
        <v>15.037429322290357</v>
      </c>
      <c r="Q44" s="60">
        <v>679.45999999999992</v>
      </c>
      <c r="R44" s="61">
        <v>11.116180496276456</v>
      </c>
      <c r="S44" s="48"/>
      <c r="T44" s="50"/>
      <c r="U44" s="151">
        <v>0</v>
      </c>
      <c r="V44" s="54">
        <v>64</v>
      </c>
      <c r="W44" s="75">
        <v>25</v>
      </c>
      <c r="X44" s="80">
        <v>32</v>
      </c>
      <c r="Y44" s="70">
        <v>91</v>
      </c>
      <c r="Z44" s="70">
        <v>492</v>
      </c>
      <c r="AA44" s="64">
        <v>494.3</v>
      </c>
      <c r="AB44" s="64">
        <v>38.329000000000001</v>
      </c>
      <c r="AC44" s="66"/>
      <c r="AD44" s="67"/>
      <c r="AE44" s="68"/>
      <c r="AF44" s="80">
        <v>99</v>
      </c>
      <c r="AG44" s="70">
        <v>176</v>
      </c>
      <c r="AH44" s="70">
        <v>36</v>
      </c>
      <c r="AI44" s="70">
        <v>102</v>
      </c>
      <c r="AJ44" s="70">
        <v>94</v>
      </c>
      <c r="AK44" s="70">
        <v>1</v>
      </c>
      <c r="AL44" s="70">
        <v>330</v>
      </c>
      <c r="AM44" s="70">
        <v>105</v>
      </c>
      <c r="AN44" s="70">
        <v>303</v>
      </c>
      <c r="AO44" s="70">
        <v>170</v>
      </c>
      <c r="AP44" s="70">
        <v>253</v>
      </c>
      <c r="AQ44" s="70">
        <v>102</v>
      </c>
      <c r="AR44" s="63"/>
      <c r="AS44" s="63"/>
      <c r="AT44" s="63"/>
      <c r="AU44" s="63"/>
      <c r="AV44" s="63"/>
      <c r="AW44" s="50"/>
      <c r="AX44" s="80">
        <v>2889</v>
      </c>
      <c r="AY44" s="70">
        <v>14659</v>
      </c>
      <c r="AZ44" s="54">
        <v>1510</v>
      </c>
      <c r="BA44" s="54">
        <v>3036</v>
      </c>
      <c r="BB44" s="54">
        <v>139</v>
      </c>
      <c r="BC44" s="54">
        <v>270</v>
      </c>
      <c r="BD44" s="54">
        <v>967</v>
      </c>
      <c r="BE44" s="70">
        <v>1873</v>
      </c>
      <c r="BF44" s="63"/>
      <c r="BG44" s="71">
        <v>1134</v>
      </c>
      <c r="BH44" s="67"/>
      <c r="BI44" s="68"/>
      <c r="BJ44" s="72">
        <v>1001</v>
      </c>
      <c r="BK44" s="62"/>
      <c r="BL44" s="70">
        <v>2007</v>
      </c>
      <c r="BM44" s="70">
        <v>366</v>
      </c>
      <c r="BN44" s="70">
        <v>66</v>
      </c>
      <c r="BO44" s="70">
        <v>556</v>
      </c>
      <c r="BP44" s="73">
        <v>13</v>
      </c>
      <c r="BQ44" s="152">
        <v>717</v>
      </c>
      <c r="BR44" s="153">
        <v>355</v>
      </c>
      <c r="BS44" s="154">
        <v>106</v>
      </c>
      <c r="BT44" s="76">
        <v>74.234503360716957</v>
      </c>
      <c r="BU44" s="77">
        <v>25.765496639283047</v>
      </c>
      <c r="BV44" s="78">
        <v>994</v>
      </c>
      <c r="BW44" s="79">
        <v>345</v>
      </c>
      <c r="BX44" s="69">
        <v>512</v>
      </c>
      <c r="BY44" s="70">
        <v>154</v>
      </c>
      <c r="BZ44" s="70">
        <v>213</v>
      </c>
      <c r="CA44" s="70">
        <v>328</v>
      </c>
      <c r="CB44" s="70">
        <v>21</v>
      </c>
      <c r="CC44" s="70">
        <v>100</v>
      </c>
      <c r="CD44" s="70">
        <v>11</v>
      </c>
      <c r="CE44" s="73">
        <v>0</v>
      </c>
    </row>
    <row r="45" spans="2:83" x14ac:dyDescent="0.3">
      <c r="B45" s="46">
        <v>7</v>
      </c>
      <c r="C45" s="150">
        <v>43145</v>
      </c>
      <c r="D45" s="74">
        <v>19</v>
      </c>
      <c r="E45" s="54">
        <v>1293</v>
      </c>
      <c r="F45" s="75">
        <v>253</v>
      </c>
      <c r="G45" s="51">
        <v>6.505829015544041</v>
      </c>
      <c r="H45" s="52">
        <v>9.7904483430799214</v>
      </c>
      <c r="I45" s="53">
        <v>1026</v>
      </c>
      <c r="J45" s="54">
        <v>1544</v>
      </c>
      <c r="K45" s="54">
        <v>10045</v>
      </c>
      <c r="L45" s="55">
        <v>5165.2</v>
      </c>
      <c r="M45" s="55">
        <v>434.96499999999997</v>
      </c>
      <c r="N45" s="57">
        <v>1506.75</v>
      </c>
      <c r="O45" s="58">
        <v>600.29999999999995</v>
      </c>
      <c r="P45" s="59">
        <v>16.73330001665834</v>
      </c>
      <c r="Q45" s="60">
        <v>754.27</v>
      </c>
      <c r="R45" s="61">
        <v>13.317512296657696</v>
      </c>
      <c r="S45" s="48"/>
      <c r="T45" s="50"/>
      <c r="U45" s="151">
        <v>0</v>
      </c>
      <c r="V45" s="54">
        <v>45</v>
      </c>
      <c r="W45" s="75">
        <v>24</v>
      </c>
      <c r="X45" s="80">
        <v>34</v>
      </c>
      <c r="Y45" s="70">
        <v>71</v>
      </c>
      <c r="Z45" s="70">
        <v>266</v>
      </c>
      <c r="AA45" s="64">
        <v>455.3</v>
      </c>
      <c r="AB45" s="64">
        <v>34.67</v>
      </c>
      <c r="AC45" s="66"/>
      <c r="AD45" s="67"/>
      <c r="AE45" s="68"/>
      <c r="AF45" s="80">
        <v>65</v>
      </c>
      <c r="AG45" s="70">
        <v>130</v>
      </c>
      <c r="AH45" s="70">
        <v>42</v>
      </c>
      <c r="AI45" s="70">
        <v>57</v>
      </c>
      <c r="AJ45" s="70">
        <v>47</v>
      </c>
      <c r="AK45" s="70">
        <v>0</v>
      </c>
      <c r="AL45" s="70">
        <v>191</v>
      </c>
      <c r="AM45" s="70">
        <v>76</v>
      </c>
      <c r="AN45" s="70">
        <v>298</v>
      </c>
      <c r="AO45" s="70">
        <v>130</v>
      </c>
      <c r="AP45" s="70">
        <v>180</v>
      </c>
      <c r="AQ45" s="70">
        <v>58</v>
      </c>
      <c r="AR45" s="63"/>
      <c r="AS45" s="63"/>
      <c r="AT45" s="63"/>
      <c r="AU45" s="63"/>
      <c r="AV45" s="63"/>
      <c r="AW45" s="50"/>
      <c r="AX45" s="80">
        <v>5367</v>
      </c>
      <c r="AY45" s="70">
        <v>27829</v>
      </c>
      <c r="AZ45" s="54">
        <v>2889</v>
      </c>
      <c r="BA45" s="54">
        <v>6309</v>
      </c>
      <c r="BB45" s="54">
        <v>610</v>
      </c>
      <c r="BC45" s="54">
        <v>1069</v>
      </c>
      <c r="BD45" s="54">
        <v>1159</v>
      </c>
      <c r="BE45" s="70">
        <v>3416</v>
      </c>
      <c r="BF45" s="63"/>
      <c r="BG45" s="71">
        <v>1484</v>
      </c>
      <c r="BH45" s="67"/>
      <c r="BI45" s="68"/>
      <c r="BJ45" s="72">
        <v>1070</v>
      </c>
      <c r="BK45" s="62"/>
      <c r="BL45" s="70">
        <v>2214</v>
      </c>
      <c r="BM45" s="70">
        <v>191</v>
      </c>
      <c r="BN45" s="70">
        <v>87</v>
      </c>
      <c r="BO45" s="70">
        <v>770</v>
      </c>
      <c r="BP45" s="73">
        <v>22</v>
      </c>
      <c r="BQ45" s="152">
        <v>517</v>
      </c>
      <c r="BR45" s="153">
        <v>329</v>
      </c>
      <c r="BS45" s="154">
        <v>84</v>
      </c>
      <c r="BT45" s="76">
        <v>71.568627450980387</v>
      </c>
      <c r="BU45" s="77">
        <v>28.431372549019606</v>
      </c>
      <c r="BV45" s="78">
        <v>730</v>
      </c>
      <c r="BW45" s="79">
        <v>290</v>
      </c>
      <c r="BX45" s="69">
        <v>365</v>
      </c>
      <c r="BY45" s="70">
        <v>150</v>
      </c>
      <c r="BZ45" s="70">
        <v>201</v>
      </c>
      <c r="CA45" s="70">
        <v>215</v>
      </c>
      <c r="CB45" s="70">
        <v>11</v>
      </c>
      <c r="CC45" s="70">
        <v>73</v>
      </c>
      <c r="CD45" s="70">
        <v>5</v>
      </c>
      <c r="CE45" s="73">
        <v>0</v>
      </c>
    </row>
    <row r="46" spans="2:83" x14ac:dyDescent="0.3">
      <c r="B46" s="46">
        <v>7</v>
      </c>
      <c r="C46" s="150">
        <v>43146</v>
      </c>
      <c r="D46" s="74">
        <v>16</v>
      </c>
      <c r="E46" s="54">
        <v>1430</v>
      </c>
      <c r="F46" s="75">
        <v>238</v>
      </c>
      <c r="G46" s="51">
        <v>4.0697392359005455</v>
      </c>
      <c r="H46" s="52">
        <v>6.0350719424460433</v>
      </c>
      <c r="I46" s="53">
        <v>1112</v>
      </c>
      <c r="J46" s="54">
        <v>1649</v>
      </c>
      <c r="K46" s="54">
        <v>6711</v>
      </c>
      <c r="L46" s="55">
        <v>6498</v>
      </c>
      <c r="M46" s="55">
        <v>407.803</v>
      </c>
      <c r="N46" s="57">
        <v>1006.6500000000001</v>
      </c>
      <c r="O46" s="58">
        <v>505.93</v>
      </c>
      <c r="P46" s="59">
        <v>13.264680884707371</v>
      </c>
      <c r="Q46" s="60">
        <v>677.08</v>
      </c>
      <c r="R46" s="61">
        <v>9.9116795651917045</v>
      </c>
      <c r="S46" s="48"/>
      <c r="T46" s="50"/>
      <c r="U46" s="151">
        <v>0</v>
      </c>
      <c r="V46" s="54">
        <v>96</v>
      </c>
      <c r="W46" s="75">
        <v>40</v>
      </c>
      <c r="X46" s="80">
        <v>62</v>
      </c>
      <c r="Y46" s="70">
        <v>137</v>
      </c>
      <c r="Z46" s="70">
        <v>552</v>
      </c>
      <c r="AA46" s="64">
        <v>741.2</v>
      </c>
      <c r="AB46" s="64">
        <v>59.487000000000002</v>
      </c>
      <c r="AC46" s="66"/>
      <c r="AD46" s="67"/>
      <c r="AE46" s="68"/>
      <c r="AF46" s="80">
        <v>95</v>
      </c>
      <c r="AG46" s="70">
        <v>149</v>
      </c>
      <c r="AH46" s="70">
        <v>59</v>
      </c>
      <c r="AI46" s="70">
        <v>52</v>
      </c>
      <c r="AJ46" s="70">
        <v>81</v>
      </c>
      <c r="AK46" s="70">
        <v>1</v>
      </c>
      <c r="AL46" s="70">
        <v>222</v>
      </c>
      <c r="AM46" s="70">
        <v>81</v>
      </c>
      <c r="AN46" s="70">
        <v>219</v>
      </c>
      <c r="AO46" s="70">
        <v>188</v>
      </c>
      <c r="AP46" s="70">
        <v>206</v>
      </c>
      <c r="AQ46" s="70">
        <v>68</v>
      </c>
      <c r="AR46" s="63"/>
      <c r="AS46" s="63"/>
      <c r="AT46" s="63"/>
      <c r="AU46" s="63"/>
      <c r="AV46" s="63"/>
      <c r="AW46" s="50"/>
      <c r="AX46" s="80">
        <v>3123</v>
      </c>
      <c r="AY46" s="70">
        <v>19238</v>
      </c>
      <c r="AZ46" s="54">
        <v>1222</v>
      </c>
      <c r="BA46" s="54">
        <v>3906</v>
      </c>
      <c r="BB46" s="54">
        <v>234</v>
      </c>
      <c r="BC46" s="54">
        <v>418</v>
      </c>
      <c r="BD46" s="54">
        <v>916</v>
      </c>
      <c r="BE46" s="70">
        <v>1584</v>
      </c>
      <c r="BF46" s="63"/>
      <c r="BG46" s="71">
        <v>1149</v>
      </c>
      <c r="BH46" s="67"/>
      <c r="BI46" s="68"/>
      <c r="BJ46" s="72">
        <v>901</v>
      </c>
      <c r="BK46" s="62"/>
      <c r="BL46" s="70">
        <v>1801</v>
      </c>
      <c r="BM46" s="70">
        <v>158</v>
      </c>
      <c r="BN46" s="70">
        <v>106</v>
      </c>
      <c r="BO46" s="70">
        <v>616</v>
      </c>
      <c r="BP46" s="73">
        <v>21</v>
      </c>
      <c r="BQ46" s="152">
        <v>589</v>
      </c>
      <c r="BR46" s="153">
        <v>280</v>
      </c>
      <c r="BS46" s="154">
        <v>118</v>
      </c>
      <c r="BT46" s="76">
        <v>70.464904284412029</v>
      </c>
      <c r="BU46" s="77">
        <v>29.535095715587968</v>
      </c>
      <c r="BV46" s="78">
        <v>773</v>
      </c>
      <c r="BW46" s="79">
        <v>324</v>
      </c>
      <c r="BX46" s="69">
        <v>428</v>
      </c>
      <c r="BY46" s="70">
        <v>97</v>
      </c>
      <c r="BZ46" s="70">
        <v>196</v>
      </c>
      <c r="CA46" s="70">
        <v>248</v>
      </c>
      <c r="CB46" s="70">
        <v>11</v>
      </c>
      <c r="CC46" s="70">
        <v>106</v>
      </c>
      <c r="CD46" s="70">
        <v>11</v>
      </c>
      <c r="CE46" s="73">
        <v>0</v>
      </c>
    </row>
    <row r="47" spans="2:83" x14ac:dyDescent="0.3">
      <c r="B47" s="46">
        <v>7</v>
      </c>
      <c r="C47" s="150">
        <v>43147</v>
      </c>
      <c r="D47" s="74">
        <v>11</v>
      </c>
      <c r="E47" s="54">
        <v>1738</v>
      </c>
      <c r="F47" s="75">
        <v>160</v>
      </c>
      <c r="G47" s="51">
        <v>3.5475810738968634</v>
      </c>
      <c r="H47" s="52">
        <v>5.1409861325115562</v>
      </c>
      <c r="I47" s="53">
        <v>1298</v>
      </c>
      <c r="J47" s="54">
        <v>1881</v>
      </c>
      <c r="K47" s="54">
        <v>6673</v>
      </c>
      <c r="L47" s="55">
        <v>5557.6</v>
      </c>
      <c r="M47" s="55">
        <v>322.85599999999999</v>
      </c>
      <c r="N47" s="57">
        <v>1000.95</v>
      </c>
      <c r="O47" s="58">
        <v>433.51</v>
      </c>
      <c r="P47" s="59">
        <v>15.392955179811308</v>
      </c>
      <c r="Q47" s="60">
        <v>570.79</v>
      </c>
      <c r="R47" s="61">
        <v>11.690814485187197</v>
      </c>
      <c r="S47" s="48"/>
      <c r="T47" s="50"/>
      <c r="U47" s="151">
        <v>0</v>
      </c>
      <c r="V47" s="54">
        <v>43</v>
      </c>
      <c r="W47" s="75">
        <v>3</v>
      </c>
      <c r="X47" s="80">
        <v>11</v>
      </c>
      <c r="Y47" s="70">
        <v>42</v>
      </c>
      <c r="Z47" s="70">
        <v>46</v>
      </c>
      <c r="AA47" s="64">
        <v>71.5</v>
      </c>
      <c r="AB47" s="64">
        <v>2.0550000000000002</v>
      </c>
      <c r="AC47" s="66"/>
      <c r="AD47" s="67"/>
      <c r="AE47" s="68"/>
      <c r="AF47" s="80">
        <v>114</v>
      </c>
      <c r="AG47" s="70">
        <v>191</v>
      </c>
      <c r="AH47" s="70">
        <v>62</v>
      </c>
      <c r="AI47" s="70">
        <v>57</v>
      </c>
      <c r="AJ47" s="70">
        <v>68</v>
      </c>
      <c r="AK47" s="70">
        <v>2</v>
      </c>
      <c r="AL47" s="70">
        <v>309</v>
      </c>
      <c r="AM47" s="70">
        <v>134</v>
      </c>
      <c r="AN47" s="70">
        <v>265</v>
      </c>
      <c r="AO47" s="70">
        <v>168</v>
      </c>
      <c r="AP47" s="70">
        <v>267</v>
      </c>
      <c r="AQ47" s="70">
        <v>74</v>
      </c>
      <c r="AR47" s="63"/>
      <c r="AS47" s="63"/>
      <c r="AT47" s="63"/>
      <c r="AU47" s="63"/>
      <c r="AV47" s="63"/>
      <c r="AW47" s="50"/>
      <c r="AX47" s="80">
        <v>2714</v>
      </c>
      <c r="AY47" s="70">
        <v>17681</v>
      </c>
      <c r="AZ47" s="54">
        <v>1287</v>
      </c>
      <c r="BA47" s="54">
        <v>2583</v>
      </c>
      <c r="BB47" s="54">
        <v>495</v>
      </c>
      <c r="BC47" s="54">
        <v>975</v>
      </c>
      <c r="BD47" s="54">
        <v>915</v>
      </c>
      <c r="BE47" s="70">
        <v>1775</v>
      </c>
      <c r="BF47" s="63"/>
      <c r="BG47" s="71">
        <v>2127</v>
      </c>
      <c r="BH47" s="67"/>
      <c r="BI47" s="68"/>
      <c r="BJ47" s="72">
        <v>1091</v>
      </c>
      <c r="BK47" s="62"/>
      <c r="BL47" s="70">
        <v>2295</v>
      </c>
      <c r="BM47" s="70">
        <v>229</v>
      </c>
      <c r="BN47" s="70">
        <v>70</v>
      </c>
      <c r="BO47" s="70">
        <v>776</v>
      </c>
      <c r="BP47" s="73">
        <v>16</v>
      </c>
      <c r="BQ47" s="152">
        <v>740</v>
      </c>
      <c r="BR47" s="153">
        <v>360</v>
      </c>
      <c r="BS47" s="154">
        <v>131</v>
      </c>
      <c r="BT47" s="76">
        <v>77.596899224806208</v>
      </c>
      <c r="BU47" s="77">
        <v>22.403100775193799</v>
      </c>
      <c r="BV47" s="78">
        <v>1001</v>
      </c>
      <c r="BW47" s="79">
        <v>289</v>
      </c>
      <c r="BX47" s="69">
        <v>535</v>
      </c>
      <c r="BY47" s="70">
        <v>143</v>
      </c>
      <c r="BZ47" s="70">
        <v>216</v>
      </c>
      <c r="CA47" s="70">
        <v>323</v>
      </c>
      <c r="CB47" s="70">
        <v>5</v>
      </c>
      <c r="CC47" s="70">
        <v>66</v>
      </c>
      <c r="CD47" s="70">
        <v>2</v>
      </c>
      <c r="CE47" s="73">
        <v>0</v>
      </c>
    </row>
    <row r="48" spans="2:83" x14ac:dyDescent="0.3">
      <c r="B48" s="46">
        <v>8</v>
      </c>
      <c r="C48" s="150">
        <v>43150</v>
      </c>
      <c r="D48" s="74">
        <v>9</v>
      </c>
      <c r="E48" s="54">
        <v>2409</v>
      </c>
      <c r="F48" s="75">
        <v>213</v>
      </c>
      <c r="G48" s="51">
        <v>2.2724816673099189</v>
      </c>
      <c r="H48" s="52">
        <v>2.6203827325322653</v>
      </c>
      <c r="I48" s="53">
        <v>2247</v>
      </c>
      <c r="J48" s="54">
        <v>2591</v>
      </c>
      <c r="K48" s="54">
        <v>5888</v>
      </c>
      <c r="L48" s="55">
        <v>4576.8999999999996</v>
      </c>
      <c r="M48" s="55">
        <v>373.05799999999999</v>
      </c>
      <c r="N48" s="57">
        <v>883.19999999999993</v>
      </c>
      <c r="O48" s="58">
        <v>489.21000000000004</v>
      </c>
      <c r="P48" s="59">
        <v>12.035731076633756</v>
      </c>
      <c r="Q48" s="60">
        <v>620.91</v>
      </c>
      <c r="R48" s="61">
        <v>9.4828558084102372</v>
      </c>
      <c r="S48" s="48"/>
      <c r="T48" s="50"/>
      <c r="U48" s="151">
        <v>0</v>
      </c>
      <c r="V48" s="54">
        <v>42</v>
      </c>
      <c r="W48" s="75">
        <v>52</v>
      </c>
      <c r="X48" s="80">
        <v>46</v>
      </c>
      <c r="Y48" s="70">
        <v>65</v>
      </c>
      <c r="Z48" s="70">
        <v>125</v>
      </c>
      <c r="AA48" s="64">
        <v>373.6</v>
      </c>
      <c r="AB48" s="64">
        <v>33.195</v>
      </c>
      <c r="AC48" s="66"/>
      <c r="AD48" s="67"/>
      <c r="AE48" s="68"/>
      <c r="AF48" s="80">
        <v>273</v>
      </c>
      <c r="AG48" s="70">
        <v>373</v>
      </c>
      <c r="AH48" s="70">
        <v>162</v>
      </c>
      <c r="AI48" s="70">
        <v>169</v>
      </c>
      <c r="AJ48" s="70">
        <v>139</v>
      </c>
      <c r="AK48" s="70">
        <v>10</v>
      </c>
      <c r="AL48" s="70">
        <v>540</v>
      </c>
      <c r="AM48" s="70">
        <v>153</v>
      </c>
      <c r="AN48" s="70">
        <v>211</v>
      </c>
      <c r="AO48" s="70">
        <v>104</v>
      </c>
      <c r="AP48" s="70">
        <v>121</v>
      </c>
      <c r="AQ48" s="70">
        <v>49</v>
      </c>
      <c r="AR48" s="63"/>
      <c r="AS48" s="63"/>
      <c r="AT48" s="63"/>
      <c r="AU48" s="63"/>
      <c r="AV48" s="63"/>
      <c r="AW48" s="50"/>
      <c r="AX48" s="80">
        <v>3131</v>
      </c>
      <c r="AY48" s="70">
        <v>16839</v>
      </c>
      <c r="AZ48" s="54">
        <v>943</v>
      </c>
      <c r="BA48" s="54">
        <v>2088</v>
      </c>
      <c r="BB48" s="54">
        <v>268</v>
      </c>
      <c r="BC48" s="54">
        <v>319</v>
      </c>
      <c r="BD48" s="54">
        <v>1120</v>
      </c>
      <c r="BE48" s="70">
        <v>1238</v>
      </c>
      <c r="BF48" s="63"/>
      <c r="BG48" s="71">
        <v>1683</v>
      </c>
      <c r="BH48" s="67"/>
      <c r="BI48" s="68"/>
      <c r="BJ48" s="72">
        <v>845</v>
      </c>
      <c r="BK48" s="62"/>
      <c r="BL48" s="70">
        <v>1995</v>
      </c>
      <c r="BM48" s="70">
        <v>262</v>
      </c>
      <c r="BN48" s="70">
        <v>136</v>
      </c>
      <c r="BO48" s="70">
        <v>436</v>
      </c>
      <c r="BP48" s="73">
        <v>11</v>
      </c>
      <c r="BQ48" s="152">
        <v>1781</v>
      </c>
      <c r="BR48" s="153">
        <v>212</v>
      </c>
      <c r="BS48" s="154">
        <v>70</v>
      </c>
      <c r="BT48" s="76">
        <v>85.612153708668458</v>
      </c>
      <c r="BU48" s="77">
        <v>14.387846291331545</v>
      </c>
      <c r="BV48" s="78">
        <v>1916</v>
      </c>
      <c r="BW48" s="79">
        <v>322</v>
      </c>
      <c r="BX48" s="69">
        <v>1189</v>
      </c>
      <c r="BY48" s="70">
        <v>113</v>
      </c>
      <c r="BZ48" s="70">
        <v>131</v>
      </c>
      <c r="CA48" s="70">
        <v>614</v>
      </c>
      <c r="CB48" s="70">
        <v>8</v>
      </c>
      <c r="CC48" s="70">
        <v>178</v>
      </c>
      <c r="CD48" s="70">
        <v>5</v>
      </c>
      <c r="CE48" s="73">
        <v>0</v>
      </c>
    </row>
    <row r="49" spans="2:83" x14ac:dyDescent="0.3">
      <c r="B49" s="46">
        <v>8</v>
      </c>
      <c r="C49" s="150">
        <v>43151</v>
      </c>
      <c r="D49" s="74">
        <v>17</v>
      </c>
      <c r="E49" s="54">
        <v>1534</v>
      </c>
      <c r="F49" s="75">
        <v>317</v>
      </c>
      <c r="G49" s="51">
        <v>3.5909351692484224</v>
      </c>
      <c r="H49" s="52">
        <v>5.151440329218107</v>
      </c>
      <c r="I49" s="53">
        <v>1215</v>
      </c>
      <c r="J49" s="54">
        <v>1743</v>
      </c>
      <c r="K49" s="54">
        <v>6259</v>
      </c>
      <c r="L49" s="55">
        <v>4387.7</v>
      </c>
      <c r="M49" s="55">
        <v>427.935</v>
      </c>
      <c r="N49" s="57">
        <v>938.85</v>
      </c>
      <c r="O49" s="58">
        <v>540.4</v>
      </c>
      <c r="P49" s="59">
        <v>11.582161361954109</v>
      </c>
      <c r="Q49" s="60">
        <v>687.49</v>
      </c>
      <c r="R49" s="61">
        <v>9.1041324237443444</v>
      </c>
      <c r="S49" s="48"/>
      <c r="T49" s="50"/>
      <c r="U49" s="151">
        <v>0</v>
      </c>
      <c r="V49" s="54">
        <v>81</v>
      </c>
      <c r="W49" s="75">
        <v>170</v>
      </c>
      <c r="X49" s="80">
        <v>55</v>
      </c>
      <c r="Y49" s="70">
        <v>207</v>
      </c>
      <c r="Z49" s="70">
        <v>207</v>
      </c>
      <c r="AA49" s="64">
        <v>809.6</v>
      </c>
      <c r="AB49" s="64">
        <v>190.989</v>
      </c>
      <c r="AC49" s="66"/>
      <c r="AD49" s="67"/>
      <c r="AE49" s="68"/>
      <c r="AF49" s="80">
        <v>106</v>
      </c>
      <c r="AG49" s="70">
        <v>179</v>
      </c>
      <c r="AH49" s="70">
        <v>52</v>
      </c>
      <c r="AI49" s="70">
        <v>86</v>
      </c>
      <c r="AJ49" s="70">
        <v>73</v>
      </c>
      <c r="AK49" s="70">
        <v>41</v>
      </c>
      <c r="AL49" s="70">
        <v>256</v>
      </c>
      <c r="AM49" s="70">
        <v>71</v>
      </c>
      <c r="AN49" s="70">
        <v>254</v>
      </c>
      <c r="AO49" s="70">
        <v>107</v>
      </c>
      <c r="AP49" s="70">
        <v>164</v>
      </c>
      <c r="AQ49" s="70">
        <v>109</v>
      </c>
      <c r="AR49" s="63"/>
      <c r="AS49" s="63"/>
      <c r="AT49" s="63"/>
      <c r="AU49" s="63"/>
      <c r="AV49" s="63"/>
      <c r="AW49" s="50"/>
      <c r="AX49" s="80">
        <v>3968</v>
      </c>
      <c r="AY49" s="70">
        <v>18219</v>
      </c>
      <c r="AZ49" s="54">
        <v>1010</v>
      </c>
      <c r="BA49" s="54">
        <v>2405</v>
      </c>
      <c r="BB49" s="54">
        <v>336</v>
      </c>
      <c r="BC49" s="54">
        <v>601</v>
      </c>
      <c r="BD49" s="54">
        <v>971</v>
      </c>
      <c r="BE49" s="70">
        <v>1387</v>
      </c>
      <c r="BF49" s="63"/>
      <c r="BG49" s="71">
        <v>1208</v>
      </c>
      <c r="BH49" s="67"/>
      <c r="BI49" s="68"/>
      <c r="BJ49" s="72">
        <v>964</v>
      </c>
      <c r="BK49" s="62"/>
      <c r="BL49" s="70">
        <v>1831</v>
      </c>
      <c r="BM49" s="70">
        <v>227</v>
      </c>
      <c r="BN49" s="70">
        <v>202</v>
      </c>
      <c r="BO49" s="70">
        <v>527</v>
      </c>
      <c r="BP49" s="73">
        <v>8</v>
      </c>
      <c r="BQ49" s="152">
        <v>720</v>
      </c>
      <c r="BR49" s="153">
        <v>225</v>
      </c>
      <c r="BS49" s="154">
        <v>88</v>
      </c>
      <c r="BT49" s="76">
        <v>76.417419884963024</v>
      </c>
      <c r="BU49" s="77">
        <v>23.582580115036976</v>
      </c>
      <c r="BV49" s="78">
        <v>930</v>
      </c>
      <c r="BW49" s="79">
        <v>287</v>
      </c>
      <c r="BX49" s="69">
        <v>475</v>
      </c>
      <c r="BY49" s="70">
        <v>102</v>
      </c>
      <c r="BZ49" s="70">
        <v>143</v>
      </c>
      <c r="CA49" s="70">
        <v>353</v>
      </c>
      <c r="CB49" s="70">
        <v>17</v>
      </c>
      <c r="CC49" s="70">
        <v>114</v>
      </c>
      <c r="CD49" s="70">
        <v>13</v>
      </c>
      <c r="CE49" s="73">
        <v>0</v>
      </c>
    </row>
    <row r="50" spans="2:83" x14ac:dyDescent="0.3">
      <c r="B50" s="46">
        <v>8</v>
      </c>
      <c r="C50" s="150">
        <v>43152</v>
      </c>
      <c r="D50" s="74">
        <v>23</v>
      </c>
      <c r="E50" s="54">
        <v>1724</v>
      </c>
      <c r="F50" s="75">
        <v>305</v>
      </c>
      <c r="G50" s="51">
        <v>4.1332385016595543</v>
      </c>
      <c r="H50" s="52">
        <v>6.7469040247678018</v>
      </c>
      <c r="I50" s="53">
        <v>1292</v>
      </c>
      <c r="J50" s="54">
        <v>2109</v>
      </c>
      <c r="K50" s="54">
        <v>8717</v>
      </c>
      <c r="L50" s="55">
        <v>5834</v>
      </c>
      <c r="M50" s="55">
        <v>589.59</v>
      </c>
      <c r="N50" s="57">
        <v>1307.5500000000002</v>
      </c>
      <c r="O50" s="58">
        <v>660.68</v>
      </c>
      <c r="P50" s="59">
        <v>13.193981957982686</v>
      </c>
      <c r="Q50" s="60">
        <v>832.74</v>
      </c>
      <c r="R50" s="61">
        <v>10.467853111415328</v>
      </c>
      <c r="S50" s="48"/>
      <c r="T50" s="50"/>
      <c r="U50" s="151">
        <v>0</v>
      </c>
      <c r="V50" s="54">
        <v>42</v>
      </c>
      <c r="W50" s="75">
        <v>161</v>
      </c>
      <c r="X50" s="80">
        <v>34</v>
      </c>
      <c r="Y50" s="70">
        <v>232</v>
      </c>
      <c r="Z50" s="70">
        <v>450</v>
      </c>
      <c r="AA50" s="64">
        <v>836.8</v>
      </c>
      <c r="AB50" s="64">
        <v>211.94399999999999</v>
      </c>
      <c r="AC50" s="66"/>
      <c r="AD50" s="67"/>
      <c r="AE50" s="68"/>
      <c r="AF50" s="80">
        <v>112</v>
      </c>
      <c r="AG50" s="70">
        <v>177</v>
      </c>
      <c r="AH50" s="70">
        <v>59</v>
      </c>
      <c r="AI50" s="70">
        <v>83</v>
      </c>
      <c r="AJ50" s="70">
        <v>72</v>
      </c>
      <c r="AK50" s="70">
        <v>32</v>
      </c>
      <c r="AL50" s="70">
        <v>251</v>
      </c>
      <c r="AM50" s="70">
        <v>103</v>
      </c>
      <c r="AN50" s="70">
        <v>260</v>
      </c>
      <c r="AO50" s="70">
        <v>125</v>
      </c>
      <c r="AP50" s="70">
        <v>227</v>
      </c>
      <c r="AQ50" s="70">
        <v>200</v>
      </c>
      <c r="AR50" s="63"/>
      <c r="AS50" s="63"/>
      <c r="AT50" s="63"/>
      <c r="AU50" s="63"/>
      <c r="AV50" s="63"/>
      <c r="AW50" s="50"/>
      <c r="AX50" s="80">
        <v>5188</v>
      </c>
      <c r="AY50" s="70">
        <v>23096</v>
      </c>
      <c r="AZ50" s="54">
        <v>2370</v>
      </c>
      <c r="BA50" s="54">
        <v>4710</v>
      </c>
      <c r="BB50" s="54">
        <v>819</v>
      </c>
      <c r="BC50" s="54">
        <v>1965</v>
      </c>
      <c r="BD50" s="54">
        <v>1194</v>
      </c>
      <c r="BE50" s="70">
        <v>2527</v>
      </c>
      <c r="BF50" s="63"/>
      <c r="BG50" s="71">
        <v>1702</v>
      </c>
      <c r="BH50" s="67"/>
      <c r="BI50" s="68"/>
      <c r="BJ50" s="72">
        <v>1160</v>
      </c>
      <c r="BK50" s="62"/>
      <c r="BL50" s="70">
        <v>2371</v>
      </c>
      <c r="BM50" s="70">
        <v>210</v>
      </c>
      <c r="BN50" s="70">
        <v>99</v>
      </c>
      <c r="BO50" s="70">
        <v>836</v>
      </c>
      <c r="BP50" s="73">
        <v>15</v>
      </c>
      <c r="BQ50" s="152">
        <v>726</v>
      </c>
      <c r="BR50" s="153">
        <v>370</v>
      </c>
      <c r="BS50" s="154">
        <v>78</v>
      </c>
      <c r="BT50" s="76">
        <v>73.271173271173268</v>
      </c>
      <c r="BU50" s="77">
        <v>26.728826728826728</v>
      </c>
      <c r="BV50" s="78">
        <v>943</v>
      </c>
      <c r="BW50" s="79">
        <v>344</v>
      </c>
      <c r="BX50" s="69">
        <v>575</v>
      </c>
      <c r="BY50" s="70">
        <v>118</v>
      </c>
      <c r="BZ50" s="70">
        <v>231</v>
      </c>
      <c r="CA50" s="70">
        <v>250</v>
      </c>
      <c r="CB50" s="70">
        <v>29</v>
      </c>
      <c r="CC50" s="70">
        <v>78</v>
      </c>
      <c r="CD50" s="70">
        <v>6</v>
      </c>
      <c r="CE50" s="73">
        <v>0</v>
      </c>
    </row>
    <row r="51" spans="2:83" x14ac:dyDescent="0.3">
      <c r="B51" s="46">
        <v>8</v>
      </c>
      <c r="C51" s="150">
        <v>43153</v>
      </c>
      <c r="D51" s="74">
        <v>9</v>
      </c>
      <c r="E51" s="54">
        <v>1214</v>
      </c>
      <c r="F51" s="75">
        <v>332</v>
      </c>
      <c r="G51" s="51">
        <v>4.6809045226130657</v>
      </c>
      <c r="H51" s="52">
        <v>7.0169491525423728</v>
      </c>
      <c r="I51" s="53">
        <v>1062</v>
      </c>
      <c r="J51" s="54">
        <v>1592</v>
      </c>
      <c r="K51" s="54">
        <v>7452</v>
      </c>
      <c r="L51" s="55">
        <v>9281.9</v>
      </c>
      <c r="M51" s="55">
        <v>530.03300000000002</v>
      </c>
      <c r="N51" s="57">
        <v>1117.8</v>
      </c>
      <c r="O51" s="58">
        <v>658.76</v>
      </c>
      <c r="P51" s="59">
        <v>11.312162244216406</v>
      </c>
      <c r="Q51" s="60">
        <v>822.16</v>
      </c>
      <c r="R51" s="61">
        <v>9.0639291622068701</v>
      </c>
      <c r="S51" s="48"/>
      <c r="T51" s="50"/>
      <c r="U51" s="151">
        <v>0</v>
      </c>
      <c r="V51" s="54">
        <v>46</v>
      </c>
      <c r="W51" s="75">
        <v>96</v>
      </c>
      <c r="X51" s="80">
        <v>44</v>
      </c>
      <c r="Y51" s="70">
        <v>169</v>
      </c>
      <c r="Z51" s="70">
        <v>240</v>
      </c>
      <c r="AA51" s="64">
        <v>2049.6</v>
      </c>
      <c r="AB51" s="64">
        <v>114.771</v>
      </c>
      <c r="AC51" s="66"/>
      <c r="AD51" s="67"/>
      <c r="AE51" s="68"/>
      <c r="AF51" s="80">
        <v>74</v>
      </c>
      <c r="AG51" s="70">
        <v>159</v>
      </c>
      <c r="AH51" s="70">
        <v>35</v>
      </c>
      <c r="AI51" s="70">
        <v>66</v>
      </c>
      <c r="AJ51" s="70">
        <v>57</v>
      </c>
      <c r="AK51" s="70">
        <v>15</v>
      </c>
      <c r="AL51" s="70">
        <v>226</v>
      </c>
      <c r="AM51" s="70">
        <v>86</v>
      </c>
      <c r="AN51" s="70">
        <v>216</v>
      </c>
      <c r="AO51" s="70">
        <v>85</v>
      </c>
      <c r="AP51" s="70">
        <v>109</v>
      </c>
      <c r="AQ51" s="70">
        <v>68</v>
      </c>
      <c r="AR51" s="63"/>
      <c r="AS51" s="63"/>
      <c r="AT51" s="63"/>
      <c r="AU51" s="63"/>
      <c r="AV51" s="63"/>
      <c r="AW51" s="50"/>
      <c r="AX51" s="80">
        <v>3155</v>
      </c>
      <c r="AY51" s="70">
        <v>18227</v>
      </c>
      <c r="AZ51" s="54">
        <v>1580</v>
      </c>
      <c r="BA51" s="54">
        <v>5259</v>
      </c>
      <c r="BB51" s="54">
        <v>460</v>
      </c>
      <c r="BC51" s="54">
        <v>1062</v>
      </c>
      <c r="BD51" s="54">
        <v>894</v>
      </c>
      <c r="BE51" s="70">
        <v>1954</v>
      </c>
      <c r="BF51" s="63"/>
      <c r="BG51" s="71">
        <v>1256</v>
      </c>
      <c r="BH51" s="67"/>
      <c r="BI51" s="68"/>
      <c r="BJ51" s="72">
        <v>1143</v>
      </c>
      <c r="BK51" s="62"/>
      <c r="BL51" s="70">
        <v>1955</v>
      </c>
      <c r="BM51" s="70">
        <v>232</v>
      </c>
      <c r="BN51" s="70">
        <v>114</v>
      </c>
      <c r="BO51" s="70">
        <v>769</v>
      </c>
      <c r="BP51" s="73">
        <v>28</v>
      </c>
      <c r="BQ51" s="152">
        <v>636</v>
      </c>
      <c r="BR51" s="153">
        <v>234</v>
      </c>
      <c r="BS51" s="154">
        <v>83</v>
      </c>
      <c r="BT51" s="76">
        <v>77.841451766953199</v>
      </c>
      <c r="BU51" s="77">
        <v>22.158548233046801</v>
      </c>
      <c r="BV51" s="78">
        <v>815</v>
      </c>
      <c r="BW51" s="79">
        <v>232</v>
      </c>
      <c r="BX51" s="69">
        <v>434</v>
      </c>
      <c r="BY51" s="70">
        <v>114</v>
      </c>
      <c r="BZ51" s="70">
        <v>145</v>
      </c>
      <c r="CA51" s="70">
        <v>267</v>
      </c>
      <c r="CB51" s="70">
        <v>2</v>
      </c>
      <c r="CC51" s="70">
        <v>72</v>
      </c>
      <c r="CD51" s="70">
        <v>13</v>
      </c>
      <c r="CE51" s="73">
        <v>0</v>
      </c>
    </row>
    <row r="52" spans="2:83" x14ac:dyDescent="0.3">
      <c r="B52" s="46">
        <v>8</v>
      </c>
      <c r="C52" s="150">
        <v>43154</v>
      </c>
      <c r="D52" s="74">
        <v>20</v>
      </c>
      <c r="E52" s="54">
        <v>1193</v>
      </c>
      <c r="F52" s="75">
        <v>385</v>
      </c>
      <c r="G52" s="51">
        <v>3.7540473225404734</v>
      </c>
      <c r="H52" s="52">
        <v>6.071500503524673</v>
      </c>
      <c r="I52" s="53">
        <v>993</v>
      </c>
      <c r="J52" s="54">
        <v>1606</v>
      </c>
      <c r="K52" s="54">
        <v>6029</v>
      </c>
      <c r="L52" s="55">
        <v>4871.3999999999996</v>
      </c>
      <c r="M52" s="55">
        <v>531</v>
      </c>
      <c r="N52" s="57">
        <v>904.35</v>
      </c>
      <c r="O52" s="58">
        <v>473.76</v>
      </c>
      <c r="P52" s="59">
        <v>12.725852752448498</v>
      </c>
      <c r="Q52" s="60">
        <v>613.93999999999994</v>
      </c>
      <c r="R52" s="61">
        <v>9.8201778675440607</v>
      </c>
      <c r="S52" s="48"/>
      <c r="T52" s="50"/>
      <c r="U52" s="151">
        <v>0</v>
      </c>
      <c r="V52" s="54">
        <v>43</v>
      </c>
      <c r="W52" s="75">
        <v>116</v>
      </c>
      <c r="X52" s="80">
        <v>34</v>
      </c>
      <c r="Y52" s="70">
        <v>157</v>
      </c>
      <c r="Z52" s="70">
        <v>452</v>
      </c>
      <c r="AA52" s="64">
        <v>1410.1</v>
      </c>
      <c r="AB52" s="64">
        <v>170.71899999999999</v>
      </c>
      <c r="AC52" s="66"/>
      <c r="AD52" s="67"/>
      <c r="AE52" s="68"/>
      <c r="AF52" s="80">
        <v>92</v>
      </c>
      <c r="AG52" s="70">
        <v>113</v>
      </c>
      <c r="AH52" s="70">
        <v>29</v>
      </c>
      <c r="AI52" s="70">
        <v>71</v>
      </c>
      <c r="AJ52" s="70">
        <v>44</v>
      </c>
      <c r="AK52" s="70">
        <v>17</v>
      </c>
      <c r="AL52" s="70">
        <v>204</v>
      </c>
      <c r="AM52" s="70">
        <v>70</v>
      </c>
      <c r="AN52" s="70">
        <v>217</v>
      </c>
      <c r="AO52" s="70">
        <v>62</v>
      </c>
      <c r="AP52" s="70">
        <v>90</v>
      </c>
      <c r="AQ52" s="70">
        <v>161</v>
      </c>
      <c r="AR52" s="63"/>
      <c r="AS52" s="63"/>
      <c r="AT52" s="63"/>
      <c r="AU52" s="63"/>
      <c r="AV52" s="63"/>
      <c r="AW52" s="50"/>
      <c r="AX52" s="80">
        <v>1192</v>
      </c>
      <c r="AY52" s="70">
        <v>6499</v>
      </c>
      <c r="AZ52" s="54">
        <v>829</v>
      </c>
      <c r="BA52" s="54">
        <v>2830</v>
      </c>
      <c r="BB52" s="54">
        <v>238</v>
      </c>
      <c r="BC52" s="54">
        <v>453</v>
      </c>
      <c r="BD52" s="54">
        <v>519</v>
      </c>
      <c r="BE52" s="70">
        <v>1786</v>
      </c>
      <c r="BF52" s="63"/>
      <c r="BG52" s="71">
        <v>753</v>
      </c>
      <c r="BH52" s="67"/>
      <c r="BI52" s="68"/>
      <c r="BJ52" s="72">
        <v>978</v>
      </c>
      <c r="BK52" s="62"/>
      <c r="BL52" s="70">
        <v>1439</v>
      </c>
      <c r="BM52" s="70">
        <v>420</v>
      </c>
      <c r="BN52" s="70">
        <v>136</v>
      </c>
      <c r="BO52" s="70">
        <v>403</v>
      </c>
      <c r="BP52" s="73">
        <v>19</v>
      </c>
      <c r="BQ52" s="152">
        <v>537</v>
      </c>
      <c r="BR52" s="153">
        <v>219</v>
      </c>
      <c r="BS52" s="154">
        <v>99</v>
      </c>
      <c r="BT52" s="76">
        <v>70.921985815602838</v>
      </c>
      <c r="BU52" s="77">
        <v>29.078014184397162</v>
      </c>
      <c r="BV52" s="78">
        <v>700</v>
      </c>
      <c r="BW52" s="79">
        <v>287</v>
      </c>
      <c r="BX52" s="69">
        <v>369</v>
      </c>
      <c r="BY52" s="70">
        <v>94</v>
      </c>
      <c r="BZ52" s="70">
        <v>148</v>
      </c>
      <c r="CA52" s="70">
        <v>237</v>
      </c>
      <c r="CB52" s="70">
        <v>9</v>
      </c>
      <c r="CC52" s="70">
        <v>113</v>
      </c>
      <c r="CD52" s="70">
        <v>7</v>
      </c>
      <c r="CE52" s="73">
        <v>10</v>
      </c>
    </row>
    <row r="53" spans="2:83" x14ac:dyDescent="0.3">
      <c r="B53" s="46">
        <v>9</v>
      </c>
      <c r="C53" s="150">
        <v>43157</v>
      </c>
      <c r="D53" s="74">
        <v>6</v>
      </c>
      <c r="E53" s="54">
        <v>2879</v>
      </c>
      <c r="F53" s="75">
        <v>158</v>
      </c>
      <c r="G53" s="51">
        <v>2.2418725617685307</v>
      </c>
      <c r="H53" s="52">
        <v>2.9183241641980535</v>
      </c>
      <c r="I53" s="53">
        <v>2363</v>
      </c>
      <c r="J53" s="54">
        <v>3076</v>
      </c>
      <c r="K53" s="54">
        <v>6896</v>
      </c>
      <c r="L53" s="55">
        <v>4153.3999999999996</v>
      </c>
      <c r="M53" s="55">
        <v>453.36700000000002</v>
      </c>
      <c r="N53" s="57">
        <v>1034.4000000000001</v>
      </c>
      <c r="O53" s="58">
        <v>592.89</v>
      </c>
      <c r="P53" s="59">
        <v>11.631162610264974</v>
      </c>
      <c r="Q53" s="60">
        <v>739.8</v>
      </c>
      <c r="R53" s="61">
        <v>9.3214382265477163</v>
      </c>
      <c r="S53" s="48"/>
      <c r="T53" s="50"/>
      <c r="U53" s="151">
        <v>0</v>
      </c>
      <c r="V53" s="54">
        <v>37</v>
      </c>
      <c r="W53" s="75">
        <v>39</v>
      </c>
      <c r="X53" s="80">
        <v>30</v>
      </c>
      <c r="Y53" s="70">
        <v>81</v>
      </c>
      <c r="Z53" s="70">
        <v>125</v>
      </c>
      <c r="AA53" s="64">
        <v>648.5</v>
      </c>
      <c r="AB53" s="64">
        <v>54.576999999999998</v>
      </c>
      <c r="AC53" s="66"/>
      <c r="AD53" s="67"/>
      <c r="AE53" s="68"/>
      <c r="AF53" s="80">
        <v>236</v>
      </c>
      <c r="AG53" s="70">
        <v>390</v>
      </c>
      <c r="AH53" s="70">
        <v>104</v>
      </c>
      <c r="AI53" s="70">
        <v>140</v>
      </c>
      <c r="AJ53" s="70">
        <v>130</v>
      </c>
      <c r="AK53" s="70">
        <v>35</v>
      </c>
      <c r="AL53" s="70">
        <v>499</v>
      </c>
      <c r="AM53" s="70">
        <v>300</v>
      </c>
      <c r="AN53" s="70">
        <v>356</v>
      </c>
      <c r="AO53" s="70">
        <v>92</v>
      </c>
      <c r="AP53" s="70">
        <v>181</v>
      </c>
      <c r="AQ53" s="70">
        <v>307</v>
      </c>
      <c r="AR53" s="63"/>
      <c r="AS53" s="63"/>
      <c r="AT53" s="63"/>
      <c r="AU53" s="63"/>
      <c r="AV53" s="63"/>
      <c r="AW53" s="50"/>
      <c r="AX53" s="80">
        <v>4083</v>
      </c>
      <c r="AY53" s="70">
        <v>20846</v>
      </c>
      <c r="AZ53" s="54">
        <v>1226</v>
      </c>
      <c r="BA53" s="54">
        <v>2898</v>
      </c>
      <c r="BB53" s="54">
        <v>658</v>
      </c>
      <c r="BC53" s="54">
        <v>1047</v>
      </c>
      <c r="BD53" s="54">
        <v>1369</v>
      </c>
      <c r="BE53" s="70">
        <v>1826</v>
      </c>
      <c r="BF53" s="63"/>
      <c r="BG53" s="71">
        <v>2048</v>
      </c>
      <c r="BH53" s="67"/>
      <c r="BI53" s="68"/>
      <c r="BJ53" s="72">
        <v>979</v>
      </c>
      <c r="BK53" s="62"/>
      <c r="BL53" s="70">
        <v>1995</v>
      </c>
      <c r="BM53" s="70">
        <v>248</v>
      </c>
      <c r="BN53" s="70">
        <v>107</v>
      </c>
      <c r="BO53" s="70">
        <v>613</v>
      </c>
      <c r="BP53" s="73">
        <v>11</v>
      </c>
      <c r="BQ53" s="152">
        <v>1632</v>
      </c>
      <c r="BR53" s="153">
        <v>382</v>
      </c>
      <c r="BS53" s="154">
        <v>86</v>
      </c>
      <c r="BT53" s="76">
        <v>81.837425910245557</v>
      </c>
      <c r="BU53" s="77">
        <v>18.162574089754447</v>
      </c>
      <c r="BV53" s="78">
        <v>1933</v>
      </c>
      <c r="BW53" s="79">
        <v>429</v>
      </c>
      <c r="BX53" s="69">
        <v>1141</v>
      </c>
      <c r="BY53" s="70">
        <v>205</v>
      </c>
      <c r="BZ53" s="70">
        <v>154</v>
      </c>
      <c r="CA53" s="70">
        <v>587</v>
      </c>
      <c r="CB53" s="70">
        <v>4</v>
      </c>
      <c r="CC53" s="70">
        <v>208</v>
      </c>
      <c r="CD53" s="70">
        <v>2</v>
      </c>
      <c r="CE53" s="73">
        <v>61</v>
      </c>
    </row>
    <row r="54" spans="2:83" x14ac:dyDescent="0.3">
      <c r="B54" s="46">
        <v>9</v>
      </c>
      <c r="C54" s="150">
        <v>43158</v>
      </c>
      <c r="D54" s="74">
        <v>12</v>
      </c>
      <c r="E54" s="54">
        <v>1704</v>
      </c>
      <c r="F54" s="75">
        <v>283</v>
      </c>
      <c r="G54" s="51">
        <v>3.6976623376623379</v>
      </c>
      <c r="H54" s="52">
        <v>5.48804934464148</v>
      </c>
      <c r="I54" s="53">
        <v>1297</v>
      </c>
      <c r="J54" s="54">
        <v>1925</v>
      </c>
      <c r="K54" s="54">
        <v>7118</v>
      </c>
      <c r="L54" s="55">
        <v>6149.7</v>
      </c>
      <c r="M54" s="55">
        <v>435.02199999999999</v>
      </c>
      <c r="N54" s="57">
        <v>1067.7</v>
      </c>
      <c r="O54" s="58">
        <v>571.96</v>
      </c>
      <c r="P54" s="59">
        <v>12.444926218616686</v>
      </c>
      <c r="Q54" s="60">
        <v>732.38</v>
      </c>
      <c r="R54" s="61">
        <v>9.7189983341980941</v>
      </c>
      <c r="S54" s="48"/>
      <c r="T54" s="50"/>
      <c r="U54" s="151">
        <v>0</v>
      </c>
      <c r="V54" s="54">
        <v>46</v>
      </c>
      <c r="W54" s="75">
        <v>51</v>
      </c>
      <c r="X54" s="80">
        <v>36</v>
      </c>
      <c r="Y54" s="70">
        <v>65</v>
      </c>
      <c r="Z54" s="70">
        <v>154</v>
      </c>
      <c r="AA54" s="64">
        <v>1659</v>
      </c>
      <c r="AB54" s="64">
        <v>25.876000000000001</v>
      </c>
      <c r="AC54" s="66"/>
      <c r="AD54" s="67"/>
      <c r="AE54" s="68"/>
      <c r="AF54" s="80">
        <v>76</v>
      </c>
      <c r="AG54" s="70">
        <v>139</v>
      </c>
      <c r="AH54" s="70">
        <v>35</v>
      </c>
      <c r="AI54" s="70">
        <v>66</v>
      </c>
      <c r="AJ54" s="70">
        <v>72</v>
      </c>
      <c r="AK54" s="70">
        <v>9</v>
      </c>
      <c r="AL54" s="70">
        <v>132</v>
      </c>
      <c r="AM54" s="70">
        <v>366</v>
      </c>
      <c r="AN54" s="70">
        <v>317</v>
      </c>
      <c r="AO54" s="70">
        <v>145</v>
      </c>
      <c r="AP54" s="70">
        <v>144</v>
      </c>
      <c r="AQ54" s="70">
        <v>167</v>
      </c>
      <c r="AR54" s="63"/>
      <c r="AS54" s="63"/>
      <c r="AT54" s="63"/>
      <c r="AU54" s="63"/>
      <c r="AV54" s="63"/>
      <c r="AW54" s="50"/>
      <c r="AX54" s="80">
        <v>3701</v>
      </c>
      <c r="AY54" s="70">
        <v>18356</v>
      </c>
      <c r="AZ54" s="54">
        <v>1105</v>
      </c>
      <c r="BA54" s="54">
        <v>3294</v>
      </c>
      <c r="BB54" s="54">
        <v>599</v>
      </c>
      <c r="BC54" s="54">
        <v>1172</v>
      </c>
      <c r="BD54" s="54">
        <v>779</v>
      </c>
      <c r="BE54" s="70">
        <v>1708</v>
      </c>
      <c r="BF54" s="63"/>
      <c r="BG54" s="71">
        <v>1291</v>
      </c>
      <c r="BH54" s="67"/>
      <c r="BI54" s="68"/>
      <c r="BJ54" s="72">
        <v>771</v>
      </c>
      <c r="BK54" s="62"/>
      <c r="BL54" s="70">
        <v>1866</v>
      </c>
      <c r="BM54" s="70">
        <v>171</v>
      </c>
      <c r="BN54" s="70">
        <v>166</v>
      </c>
      <c r="BO54" s="70">
        <v>410</v>
      </c>
      <c r="BP54" s="73">
        <v>24</v>
      </c>
      <c r="BQ54" s="152">
        <v>697</v>
      </c>
      <c r="BR54" s="153">
        <v>310</v>
      </c>
      <c r="BS54" s="154">
        <v>99</v>
      </c>
      <c r="BT54" s="76">
        <v>74.980635166537567</v>
      </c>
      <c r="BU54" s="77">
        <v>25.019364833462433</v>
      </c>
      <c r="BV54" s="78">
        <v>968</v>
      </c>
      <c r="BW54" s="79">
        <v>323</v>
      </c>
      <c r="BX54" s="69">
        <v>569</v>
      </c>
      <c r="BY54" s="70">
        <v>90</v>
      </c>
      <c r="BZ54" s="70">
        <v>168</v>
      </c>
      <c r="CA54" s="70">
        <v>309</v>
      </c>
      <c r="CB54" s="70">
        <v>9</v>
      </c>
      <c r="CC54" s="70">
        <v>126</v>
      </c>
      <c r="CD54" s="70">
        <v>17</v>
      </c>
      <c r="CE54" s="73">
        <v>3</v>
      </c>
    </row>
    <row r="55" spans="2:83" x14ac:dyDescent="0.3">
      <c r="B55" s="46">
        <v>9</v>
      </c>
      <c r="C55" s="150">
        <v>43159</v>
      </c>
      <c r="D55" s="74">
        <v>12</v>
      </c>
      <c r="E55" s="54">
        <v>1676</v>
      </c>
      <c r="F55" s="75">
        <v>305</v>
      </c>
      <c r="G55" s="51">
        <v>3.8310412573673869</v>
      </c>
      <c r="H55" s="52">
        <v>6.0185185185185182</v>
      </c>
      <c r="I55" s="53">
        <v>1296</v>
      </c>
      <c r="J55" s="54">
        <v>2036</v>
      </c>
      <c r="K55" s="54">
        <v>7800</v>
      </c>
      <c r="L55" s="55">
        <v>5446.1</v>
      </c>
      <c r="M55" s="55">
        <v>612.37699999999995</v>
      </c>
      <c r="N55" s="57">
        <v>1170</v>
      </c>
      <c r="O55" s="58">
        <v>567.89</v>
      </c>
      <c r="P55" s="59">
        <v>13.735054323900755</v>
      </c>
      <c r="Q55" s="60">
        <v>734.96</v>
      </c>
      <c r="R55" s="61">
        <v>10.61282246652879</v>
      </c>
      <c r="S55" s="48"/>
      <c r="T55" s="50"/>
      <c r="U55" s="151">
        <v>0</v>
      </c>
      <c r="V55" s="54">
        <v>71</v>
      </c>
      <c r="W55" s="75">
        <v>67</v>
      </c>
      <c r="X55" s="80">
        <v>52</v>
      </c>
      <c r="Y55" s="70">
        <v>160</v>
      </c>
      <c r="Z55" s="70">
        <v>245</v>
      </c>
      <c r="AA55" s="64">
        <v>766.6</v>
      </c>
      <c r="AB55" s="64">
        <v>120.242</v>
      </c>
      <c r="AC55" s="66"/>
      <c r="AD55" s="67"/>
      <c r="AE55" s="68"/>
      <c r="AF55" s="80">
        <v>117</v>
      </c>
      <c r="AG55" s="70">
        <v>214</v>
      </c>
      <c r="AH55" s="70">
        <v>42</v>
      </c>
      <c r="AI55" s="70">
        <v>61</v>
      </c>
      <c r="AJ55" s="70">
        <v>64</v>
      </c>
      <c r="AK55" s="70">
        <v>2</v>
      </c>
      <c r="AL55" s="70">
        <v>34</v>
      </c>
      <c r="AM55" s="70">
        <v>280</v>
      </c>
      <c r="AN55" s="70">
        <v>234</v>
      </c>
      <c r="AO55" s="70">
        <v>126</v>
      </c>
      <c r="AP55" s="70">
        <v>132</v>
      </c>
      <c r="AQ55" s="70">
        <v>264</v>
      </c>
      <c r="AR55" s="63"/>
      <c r="AS55" s="63"/>
      <c r="AT55" s="63"/>
      <c r="AU55" s="63"/>
      <c r="AV55" s="63"/>
      <c r="AW55" s="50"/>
      <c r="AX55" s="80">
        <v>5449</v>
      </c>
      <c r="AY55" s="70">
        <v>21513</v>
      </c>
      <c r="AZ55" s="54">
        <v>1595</v>
      </c>
      <c r="BA55" s="54">
        <v>3621</v>
      </c>
      <c r="BB55" s="54">
        <v>666</v>
      </c>
      <c r="BC55" s="54">
        <v>1430</v>
      </c>
      <c r="BD55" s="54">
        <v>1203</v>
      </c>
      <c r="BE55" s="70">
        <v>1840</v>
      </c>
      <c r="BF55" s="63"/>
      <c r="BG55" s="71">
        <v>1526</v>
      </c>
      <c r="BH55" s="67"/>
      <c r="BI55" s="68"/>
      <c r="BJ55" s="72">
        <v>765</v>
      </c>
      <c r="BK55" s="62"/>
      <c r="BL55" s="70">
        <v>1723</v>
      </c>
      <c r="BM55" s="70">
        <v>280</v>
      </c>
      <c r="BN55" s="70">
        <v>150</v>
      </c>
      <c r="BO55" s="70">
        <v>317</v>
      </c>
      <c r="BP55" s="73">
        <v>18</v>
      </c>
      <c r="BQ55" s="152">
        <v>739</v>
      </c>
      <c r="BR55" s="153">
        <v>283</v>
      </c>
      <c r="BS55" s="154">
        <v>102</v>
      </c>
      <c r="BT55" s="76">
        <v>73.219814241486063</v>
      </c>
      <c r="BU55" s="77">
        <v>26.78018575851393</v>
      </c>
      <c r="BV55" s="78">
        <v>946</v>
      </c>
      <c r="BW55" s="79">
        <v>346</v>
      </c>
      <c r="BX55" s="69">
        <v>560</v>
      </c>
      <c r="BY55" s="70">
        <v>127</v>
      </c>
      <c r="BZ55" s="70">
        <v>199</v>
      </c>
      <c r="CA55" s="70">
        <v>259</v>
      </c>
      <c r="CB55" s="70">
        <v>10</v>
      </c>
      <c r="CC55" s="70">
        <v>129</v>
      </c>
      <c r="CD55" s="70">
        <v>8</v>
      </c>
      <c r="CE55" s="73">
        <v>0</v>
      </c>
    </row>
    <row r="56" spans="2:83" x14ac:dyDescent="0.3">
      <c r="B56" s="46">
        <v>9</v>
      </c>
      <c r="C56" s="150">
        <v>43160</v>
      </c>
      <c r="D56" s="74">
        <v>26</v>
      </c>
      <c r="E56" s="54">
        <v>1820</v>
      </c>
      <c r="F56" s="75">
        <v>348</v>
      </c>
      <c r="G56" s="51">
        <v>4.2174721189591082</v>
      </c>
      <c r="H56" s="52">
        <v>6.9922958397534671</v>
      </c>
      <c r="I56" s="53">
        <v>1298</v>
      </c>
      <c r="J56" s="54">
        <v>2152</v>
      </c>
      <c r="K56" s="54">
        <v>9076</v>
      </c>
      <c r="L56" s="55">
        <v>5428.4</v>
      </c>
      <c r="M56" s="55">
        <v>563.83699999999999</v>
      </c>
      <c r="N56" s="57">
        <v>1361.4</v>
      </c>
      <c r="O56" s="58">
        <v>575.22</v>
      </c>
      <c r="P56" s="59">
        <v>15.778310907131184</v>
      </c>
      <c r="Q56" s="60">
        <v>739.24</v>
      </c>
      <c r="R56" s="61">
        <v>12.277474162653537</v>
      </c>
      <c r="S56" s="48"/>
      <c r="T56" s="50"/>
      <c r="U56" s="151">
        <v>0</v>
      </c>
      <c r="V56" s="54">
        <v>93</v>
      </c>
      <c r="W56" s="75">
        <v>77</v>
      </c>
      <c r="X56" s="80">
        <v>53</v>
      </c>
      <c r="Y56" s="70">
        <v>171</v>
      </c>
      <c r="Z56" s="70">
        <v>368</v>
      </c>
      <c r="AA56" s="64">
        <v>1134.2</v>
      </c>
      <c r="AB56" s="64">
        <v>92.881</v>
      </c>
      <c r="AC56" s="66"/>
      <c r="AD56" s="67"/>
      <c r="AE56" s="68"/>
      <c r="AF56" s="80">
        <v>117</v>
      </c>
      <c r="AG56" s="70">
        <v>231</v>
      </c>
      <c r="AH56" s="70">
        <v>36</v>
      </c>
      <c r="AI56" s="70">
        <v>57</v>
      </c>
      <c r="AJ56" s="70">
        <v>62</v>
      </c>
      <c r="AK56" s="70">
        <v>48</v>
      </c>
      <c r="AL56" s="70">
        <v>2</v>
      </c>
      <c r="AM56" s="70">
        <v>336</v>
      </c>
      <c r="AN56" s="70">
        <v>327</v>
      </c>
      <c r="AO56" s="70">
        <v>289</v>
      </c>
      <c r="AP56" s="70">
        <v>19</v>
      </c>
      <c r="AQ56" s="70">
        <v>262</v>
      </c>
      <c r="AR56" s="63"/>
      <c r="AS56" s="63"/>
      <c r="AT56" s="63"/>
      <c r="AU56" s="63"/>
      <c r="AV56" s="63"/>
      <c r="AW56" s="50"/>
      <c r="AX56" s="80">
        <v>3856</v>
      </c>
      <c r="AY56" s="70">
        <v>20253</v>
      </c>
      <c r="AZ56" s="54">
        <v>1164</v>
      </c>
      <c r="BA56" s="54">
        <v>2908</v>
      </c>
      <c r="BB56" s="54">
        <v>381</v>
      </c>
      <c r="BC56" s="54">
        <v>704</v>
      </c>
      <c r="BD56" s="54">
        <v>1093</v>
      </c>
      <c r="BE56" s="70">
        <v>1857</v>
      </c>
      <c r="BF56" s="63"/>
      <c r="BG56" s="71">
        <v>1397</v>
      </c>
      <c r="BH56" s="67"/>
      <c r="BI56" s="68"/>
      <c r="BJ56" s="72">
        <v>818</v>
      </c>
      <c r="BK56" s="62"/>
      <c r="BL56" s="70">
        <v>1938</v>
      </c>
      <c r="BM56" s="70">
        <v>148</v>
      </c>
      <c r="BN56" s="70">
        <v>184</v>
      </c>
      <c r="BO56" s="70">
        <v>473</v>
      </c>
      <c r="BP56" s="73">
        <v>13</v>
      </c>
      <c r="BQ56" s="152">
        <v>684</v>
      </c>
      <c r="BR56" s="153">
        <v>313</v>
      </c>
      <c r="BS56" s="154">
        <v>84</v>
      </c>
      <c r="BT56" s="76">
        <v>65.663580246913583</v>
      </c>
      <c r="BU56" s="77">
        <v>34.336419753086417</v>
      </c>
      <c r="BV56" s="78">
        <v>851</v>
      </c>
      <c r="BW56" s="79">
        <v>445</v>
      </c>
      <c r="BX56" s="69">
        <v>512</v>
      </c>
      <c r="BY56" s="70">
        <v>108</v>
      </c>
      <c r="BZ56" s="70">
        <v>227</v>
      </c>
      <c r="CA56" s="70">
        <v>231</v>
      </c>
      <c r="CB56" s="70">
        <v>5</v>
      </c>
      <c r="CC56" s="70">
        <v>154</v>
      </c>
      <c r="CD56" s="70">
        <v>4</v>
      </c>
      <c r="CE56" s="73">
        <v>55</v>
      </c>
    </row>
    <row r="57" spans="2:83" x14ac:dyDescent="0.3">
      <c r="B57" s="46">
        <v>9</v>
      </c>
      <c r="C57" s="150">
        <v>43161</v>
      </c>
      <c r="D57" s="74">
        <v>12</v>
      </c>
      <c r="E57" s="54">
        <v>1926</v>
      </c>
      <c r="F57" s="75">
        <v>279</v>
      </c>
      <c r="G57" s="51">
        <v>3.5619448340345956</v>
      </c>
      <c r="H57" s="52">
        <v>5.331700489853044</v>
      </c>
      <c r="I57" s="53">
        <v>1429</v>
      </c>
      <c r="J57" s="54">
        <v>2139</v>
      </c>
      <c r="K57" s="54">
        <v>7619</v>
      </c>
      <c r="L57" s="55">
        <v>6680.8</v>
      </c>
      <c r="M57" s="55">
        <v>436.76799999999997</v>
      </c>
      <c r="N57" s="57">
        <v>1142.8499999999999</v>
      </c>
      <c r="O57" s="58">
        <v>551.34</v>
      </c>
      <c r="P57" s="59">
        <v>13.819059019842564</v>
      </c>
      <c r="Q57" s="60">
        <v>701.3</v>
      </c>
      <c r="R57" s="61">
        <v>10.864109510908314</v>
      </c>
      <c r="S57" s="48"/>
      <c r="T57" s="50"/>
      <c r="U57" s="151">
        <v>0</v>
      </c>
      <c r="V57" s="54">
        <v>37</v>
      </c>
      <c r="W57" s="75">
        <v>26</v>
      </c>
      <c r="X57" s="80">
        <v>33</v>
      </c>
      <c r="Y57" s="70">
        <v>54</v>
      </c>
      <c r="Z57" s="70">
        <v>249</v>
      </c>
      <c r="AA57" s="64">
        <v>513.6</v>
      </c>
      <c r="AB57" s="64">
        <v>19.460999999999999</v>
      </c>
      <c r="AC57" s="66"/>
      <c r="AD57" s="67"/>
      <c r="AE57" s="68"/>
      <c r="AF57" s="80">
        <v>103</v>
      </c>
      <c r="AG57" s="70">
        <v>253</v>
      </c>
      <c r="AH57" s="70">
        <v>57</v>
      </c>
      <c r="AI57" s="70">
        <v>91</v>
      </c>
      <c r="AJ57" s="70">
        <v>63</v>
      </c>
      <c r="AK57" s="70">
        <v>37</v>
      </c>
      <c r="AL57" s="70">
        <v>21</v>
      </c>
      <c r="AM57" s="70">
        <v>371</v>
      </c>
      <c r="AN57" s="70">
        <v>335</v>
      </c>
      <c r="AO57" s="70">
        <v>316</v>
      </c>
      <c r="AP57" s="70">
        <v>3</v>
      </c>
      <c r="AQ57" s="70">
        <v>246</v>
      </c>
      <c r="AR57" s="63"/>
      <c r="AS57" s="63"/>
      <c r="AT57" s="63"/>
      <c r="AU57" s="63"/>
      <c r="AV57" s="63"/>
      <c r="AW57" s="50"/>
      <c r="AX57" s="80">
        <v>4187</v>
      </c>
      <c r="AY57" s="70">
        <v>24044</v>
      </c>
      <c r="AZ57" s="54">
        <v>818</v>
      </c>
      <c r="BA57" s="54">
        <v>3775</v>
      </c>
      <c r="BB57" s="54">
        <v>447</v>
      </c>
      <c r="BC57" s="54">
        <v>1283</v>
      </c>
      <c r="BD57" s="54">
        <v>1238</v>
      </c>
      <c r="BE57" s="70">
        <v>1344</v>
      </c>
      <c r="BF57" s="63"/>
      <c r="BG57" s="71">
        <v>1615</v>
      </c>
      <c r="BH57" s="67"/>
      <c r="BI57" s="68"/>
      <c r="BJ57" s="72">
        <v>835</v>
      </c>
      <c r="BK57" s="62"/>
      <c r="BL57" s="70">
        <v>1665</v>
      </c>
      <c r="BM57" s="70">
        <v>279</v>
      </c>
      <c r="BN57" s="70">
        <v>183</v>
      </c>
      <c r="BO57" s="70">
        <v>356</v>
      </c>
      <c r="BP57" s="73">
        <v>17</v>
      </c>
      <c r="BQ57" s="152">
        <v>872</v>
      </c>
      <c r="BR57" s="153">
        <v>330</v>
      </c>
      <c r="BS57" s="154">
        <v>78</v>
      </c>
      <c r="BT57" s="76">
        <v>78.074490513000697</v>
      </c>
      <c r="BU57" s="77">
        <v>21.925509486999296</v>
      </c>
      <c r="BV57" s="78">
        <v>1111</v>
      </c>
      <c r="BW57" s="79">
        <v>312</v>
      </c>
      <c r="BX57" s="69">
        <v>666</v>
      </c>
      <c r="BY57" s="70">
        <v>134</v>
      </c>
      <c r="BZ57" s="70">
        <v>163</v>
      </c>
      <c r="CA57" s="70">
        <v>311</v>
      </c>
      <c r="CB57" s="70">
        <v>12</v>
      </c>
      <c r="CC57" s="70">
        <v>120</v>
      </c>
      <c r="CD57" s="70">
        <v>7</v>
      </c>
      <c r="CE57" s="73">
        <v>10</v>
      </c>
    </row>
    <row r="58" spans="2:83" x14ac:dyDescent="0.3">
      <c r="B58" s="46">
        <v>10</v>
      </c>
      <c r="C58" s="150">
        <v>43164</v>
      </c>
      <c r="D58" s="74">
        <v>31</v>
      </c>
      <c r="E58" s="54">
        <v>2587</v>
      </c>
      <c r="F58" s="75">
        <v>300</v>
      </c>
      <c r="G58" s="51">
        <v>1.971090670170828</v>
      </c>
      <c r="H58" s="52">
        <v>2.5862068965517242</v>
      </c>
      <c r="I58" s="53">
        <v>2320</v>
      </c>
      <c r="J58" s="54">
        <v>3044</v>
      </c>
      <c r="K58" s="54">
        <v>6000</v>
      </c>
      <c r="L58" s="55">
        <v>8479.4</v>
      </c>
      <c r="M58" s="55">
        <v>710.12199999999996</v>
      </c>
      <c r="N58" s="57">
        <v>900</v>
      </c>
      <c r="O58" s="58">
        <v>607.70000000000005</v>
      </c>
      <c r="P58" s="59">
        <v>9.8732927431298325</v>
      </c>
      <c r="Q58" s="60">
        <v>779.26</v>
      </c>
      <c r="R58" s="61">
        <v>7.6996124528398742</v>
      </c>
      <c r="S58" s="48"/>
      <c r="T58" s="50"/>
      <c r="U58" s="151">
        <v>0</v>
      </c>
      <c r="V58" s="54">
        <v>35</v>
      </c>
      <c r="W58" s="75">
        <v>34</v>
      </c>
      <c r="X58" s="80">
        <v>18</v>
      </c>
      <c r="Y58" s="70">
        <v>64</v>
      </c>
      <c r="Z58" s="70">
        <v>85</v>
      </c>
      <c r="AA58" s="64">
        <v>729.5</v>
      </c>
      <c r="AB58" s="64">
        <v>48.962000000000003</v>
      </c>
      <c r="AC58" s="66"/>
      <c r="AD58" s="67"/>
      <c r="AE58" s="68"/>
      <c r="AF58" s="80">
        <v>234</v>
      </c>
      <c r="AG58" s="70">
        <v>596</v>
      </c>
      <c r="AH58" s="70">
        <v>110</v>
      </c>
      <c r="AI58" s="70">
        <v>165</v>
      </c>
      <c r="AJ58" s="70">
        <v>121</v>
      </c>
      <c r="AK58" s="70">
        <v>110</v>
      </c>
      <c r="AL58" s="70">
        <v>81</v>
      </c>
      <c r="AM58" s="70">
        <v>418</v>
      </c>
      <c r="AN58" s="70">
        <v>243</v>
      </c>
      <c r="AO58" s="70">
        <v>165</v>
      </c>
      <c r="AP58" s="70">
        <v>111</v>
      </c>
      <c r="AQ58" s="70">
        <v>145</v>
      </c>
      <c r="AR58" s="63"/>
      <c r="AS58" s="63"/>
      <c r="AT58" s="63"/>
      <c r="AU58" s="63"/>
      <c r="AV58" s="63"/>
      <c r="AW58" s="50"/>
      <c r="AX58" s="80">
        <v>2886</v>
      </c>
      <c r="AY58" s="70">
        <v>16189</v>
      </c>
      <c r="AZ58" s="54">
        <v>1166</v>
      </c>
      <c r="BA58" s="54">
        <v>2313</v>
      </c>
      <c r="BB58" s="54">
        <v>245</v>
      </c>
      <c r="BC58" s="54">
        <v>455</v>
      </c>
      <c r="BD58" s="54">
        <v>1317</v>
      </c>
      <c r="BE58" s="70">
        <v>1204</v>
      </c>
      <c r="BF58" s="63"/>
      <c r="BG58" s="71">
        <v>1894</v>
      </c>
      <c r="BH58" s="67"/>
      <c r="BI58" s="68"/>
      <c r="BJ58" s="72">
        <v>926</v>
      </c>
      <c r="BK58" s="62"/>
      <c r="BL58" s="70">
        <v>2421</v>
      </c>
      <c r="BM58" s="70">
        <v>242</v>
      </c>
      <c r="BN58" s="70">
        <v>147</v>
      </c>
      <c r="BO58" s="70">
        <v>530</v>
      </c>
      <c r="BP58" s="73">
        <v>7</v>
      </c>
      <c r="BQ58" s="152">
        <v>1727</v>
      </c>
      <c r="BR58" s="153">
        <v>311</v>
      </c>
      <c r="BS58" s="154">
        <v>94</v>
      </c>
      <c r="BT58" s="76">
        <v>83.760312635692571</v>
      </c>
      <c r="BU58" s="77">
        <v>16.239687364307425</v>
      </c>
      <c r="BV58" s="78">
        <v>1929</v>
      </c>
      <c r="BW58" s="79">
        <v>374</v>
      </c>
      <c r="BX58" s="69">
        <v>1220</v>
      </c>
      <c r="BY58" s="70">
        <v>129</v>
      </c>
      <c r="BZ58" s="70">
        <v>185</v>
      </c>
      <c r="CA58" s="70">
        <v>580</v>
      </c>
      <c r="CB58" s="70">
        <v>7</v>
      </c>
      <c r="CC58" s="70">
        <v>175</v>
      </c>
      <c r="CD58" s="70">
        <v>7</v>
      </c>
      <c r="CE58" s="73">
        <v>0</v>
      </c>
    </row>
    <row r="59" spans="2:83" x14ac:dyDescent="0.3">
      <c r="B59" s="46">
        <v>10</v>
      </c>
      <c r="C59" s="150">
        <v>43165</v>
      </c>
      <c r="D59" s="74">
        <v>12</v>
      </c>
      <c r="E59" s="54">
        <v>2221</v>
      </c>
      <c r="F59" s="75">
        <v>323</v>
      </c>
      <c r="G59" s="51">
        <v>3.2163536776212833</v>
      </c>
      <c r="H59" s="52">
        <v>4.3868729989327644</v>
      </c>
      <c r="I59" s="53">
        <v>1874</v>
      </c>
      <c r="J59" s="54">
        <v>2556</v>
      </c>
      <c r="K59" s="54">
        <v>8221</v>
      </c>
      <c r="L59" s="55">
        <v>8521.7999999999993</v>
      </c>
      <c r="M59" s="55">
        <v>519.98</v>
      </c>
      <c r="N59" s="57">
        <v>1233.1500000000001</v>
      </c>
      <c r="O59" s="58">
        <v>607.47</v>
      </c>
      <c r="P59" s="59">
        <v>13.533178593181555</v>
      </c>
      <c r="Q59" s="60">
        <v>772.76</v>
      </c>
      <c r="R59" s="61">
        <v>10.638490605103783</v>
      </c>
      <c r="S59" s="48"/>
      <c r="T59" s="50"/>
      <c r="U59" s="151">
        <v>0</v>
      </c>
      <c r="V59" s="54">
        <v>105</v>
      </c>
      <c r="W59" s="75">
        <v>28</v>
      </c>
      <c r="X59" s="80">
        <v>75</v>
      </c>
      <c r="Y59" s="70">
        <v>114</v>
      </c>
      <c r="Z59" s="70">
        <v>143</v>
      </c>
      <c r="AA59" s="64">
        <v>211.5</v>
      </c>
      <c r="AB59" s="64">
        <v>17.914000000000001</v>
      </c>
      <c r="AC59" s="66"/>
      <c r="AD59" s="67"/>
      <c r="AE59" s="68"/>
      <c r="AF59" s="80">
        <v>119</v>
      </c>
      <c r="AG59" s="70">
        <v>255</v>
      </c>
      <c r="AH59" s="70">
        <v>67</v>
      </c>
      <c r="AI59" s="70">
        <v>127</v>
      </c>
      <c r="AJ59" s="70">
        <v>81</v>
      </c>
      <c r="AK59" s="70">
        <v>135</v>
      </c>
      <c r="AL59" s="70">
        <v>86</v>
      </c>
      <c r="AM59" s="70">
        <v>492</v>
      </c>
      <c r="AN59" s="70">
        <v>384</v>
      </c>
      <c r="AO59" s="70">
        <v>209</v>
      </c>
      <c r="AP59" s="70">
        <v>149</v>
      </c>
      <c r="AQ59" s="70">
        <v>91</v>
      </c>
      <c r="AR59" s="63"/>
      <c r="AS59" s="63"/>
      <c r="AT59" s="63"/>
      <c r="AU59" s="63"/>
      <c r="AV59" s="63"/>
      <c r="AW59" s="50"/>
      <c r="AX59" s="80">
        <v>4098</v>
      </c>
      <c r="AY59" s="70">
        <v>30418</v>
      </c>
      <c r="AZ59" s="54">
        <v>917</v>
      </c>
      <c r="BA59" s="54">
        <v>5143</v>
      </c>
      <c r="BB59" s="54">
        <v>449</v>
      </c>
      <c r="BC59" s="54">
        <v>1133</v>
      </c>
      <c r="BD59" s="54">
        <v>1229</v>
      </c>
      <c r="BE59" s="70">
        <v>1482</v>
      </c>
      <c r="BF59" s="63"/>
      <c r="BG59" s="71">
        <v>1649</v>
      </c>
      <c r="BH59" s="67"/>
      <c r="BI59" s="68"/>
      <c r="BJ59" s="72">
        <v>1273</v>
      </c>
      <c r="BK59" s="62"/>
      <c r="BL59" s="70">
        <v>1895</v>
      </c>
      <c r="BM59" s="70">
        <v>265</v>
      </c>
      <c r="BN59" s="70">
        <v>235</v>
      </c>
      <c r="BO59" s="70">
        <v>724</v>
      </c>
      <c r="BP59" s="73">
        <v>49</v>
      </c>
      <c r="BQ59" s="152">
        <v>1071</v>
      </c>
      <c r="BR59" s="153">
        <v>465</v>
      </c>
      <c r="BS59" s="154">
        <v>141</v>
      </c>
      <c r="BT59" s="76">
        <v>83.951965065502179</v>
      </c>
      <c r="BU59" s="77">
        <v>16.048034934497817</v>
      </c>
      <c r="BV59" s="78">
        <v>1538</v>
      </c>
      <c r="BW59" s="79">
        <v>294</v>
      </c>
      <c r="BX59" s="69">
        <v>784</v>
      </c>
      <c r="BY59" s="70">
        <v>268</v>
      </c>
      <c r="BZ59" s="70">
        <v>159</v>
      </c>
      <c r="CA59" s="70">
        <v>486</v>
      </c>
      <c r="CB59" s="70">
        <v>7</v>
      </c>
      <c r="CC59" s="70">
        <v>119</v>
      </c>
      <c r="CD59" s="70">
        <v>9</v>
      </c>
      <c r="CE59" s="73">
        <v>0</v>
      </c>
    </row>
    <row r="60" spans="2:83" x14ac:dyDescent="0.3">
      <c r="B60" s="46">
        <v>10</v>
      </c>
      <c r="C60" s="150">
        <v>43166</v>
      </c>
      <c r="D60" s="74">
        <v>34</v>
      </c>
      <c r="E60" s="54">
        <v>2239</v>
      </c>
      <c r="F60" s="75">
        <v>350</v>
      </c>
      <c r="G60" s="51">
        <v>3.8999553372041089</v>
      </c>
      <c r="H60" s="52">
        <v>4.687063875469673</v>
      </c>
      <c r="I60" s="53">
        <v>1863</v>
      </c>
      <c r="J60" s="54">
        <v>2239</v>
      </c>
      <c r="K60" s="54">
        <v>8732</v>
      </c>
      <c r="L60" s="55">
        <v>8583.1</v>
      </c>
      <c r="M60" s="55">
        <v>678.24199999999996</v>
      </c>
      <c r="N60" s="57">
        <v>1309.8</v>
      </c>
      <c r="O60" s="58">
        <v>638.20000000000005</v>
      </c>
      <c r="P60" s="59">
        <v>13.682231275462236</v>
      </c>
      <c r="Q60" s="60">
        <v>796.02</v>
      </c>
      <c r="R60" s="61">
        <v>10.969573628803296</v>
      </c>
      <c r="S60" s="48"/>
      <c r="T60" s="50"/>
      <c r="U60" s="151">
        <v>0</v>
      </c>
      <c r="V60" s="54">
        <v>91</v>
      </c>
      <c r="W60" s="75">
        <v>51</v>
      </c>
      <c r="X60" s="80">
        <v>47</v>
      </c>
      <c r="Y60" s="70">
        <v>172</v>
      </c>
      <c r="Z60" s="70">
        <v>425</v>
      </c>
      <c r="AA60" s="64">
        <v>1097.5</v>
      </c>
      <c r="AB60" s="64">
        <v>82.075999999999993</v>
      </c>
      <c r="AC60" s="66"/>
      <c r="AD60" s="67"/>
      <c r="AE60" s="68"/>
      <c r="AF60" s="80">
        <v>156</v>
      </c>
      <c r="AG60" s="70">
        <v>339</v>
      </c>
      <c r="AH60" s="70">
        <v>74</v>
      </c>
      <c r="AI60" s="70">
        <v>107</v>
      </c>
      <c r="AJ60" s="70">
        <v>116</v>
      </c>
      <c r="AK60" s="70">
        <v>65</v>
      </c>
      <c r="AL60" s="70">
        <v>335</v>
      </c>
      <c r="AM60" s="70">
        <v>210</v>
      </c>
      <c r="AN60" s="70">
        <v>287</v>
      </c>
      <c r="AO60" s="70">
        <v>233</v>
      </c>
      <c r="AP60" s="70">
        <v>178</v>
      </c>
      <c r="AQ60" s="70">
        <v>104</v>
      </c>
      <c r="AR60" s="63"/>
      <c r="AS60" s="63"/>
      <c r="AT60" s="63"/>
      <c r="AU60" s="63"/>
      <c r="AV60" s="63"/>
      <c r="AW60" s="50"/>
      <c r="AX60" s="80">
        <v>6152</v>
      </c>
      <c r="AY60" s="70">
        <v>22799</v>
      </c>
      <c r="AZ60" s="54">
        <v>1539</v>
      </c>
      <c r="BA60" s="54">
        <v>3526</v>
      </c>
      <c r="BB60" s="54">
        <v>544</v>
      </c>
      <c r="BC60" s="54">
        <v>1097</v>
      </c>
      <c r="BD60" s="54">
        <v>1620</v>
      </c>
      <c r="BE60" s="70">
        <v>1805</v>
      </c>
      <c r="BF60" s="63"/>
      <c r="BG60" s="71">
        <v>1998</v>
      </c>
      <c r="BH60" s="67"/>
      <c r="BI60" s="68"/>
      <c r="BJ60" s="72">
        <v>1060</v>
      </c>
      <c r="BK60" s="62"/>
      <c r="BL60" s="70">
        <v>2258</v>
      </c>
      <c r="BM60" s="70">
        <v>238</v>
      </c>
      <c r="BN60" s="70">
        <v>172</v>
      </c>
      <c r="BO60" s="70">
        <v>621</v>
      </c>
      <c r="BP60" s="73">
        <v>29</v>
      </c>
      <c r="BQ60" s="152">
        <v>1197</v>
      </c>
      <c r="BR60" s="153">
        <v>382</v>
      </c>
      <c r="BS60" s="154">
        <v>119</v>
      </c>
      <c r="BT60" s="76">
        <v>80.485175202156327</v>
      </c>
      <c r="BU60" s="77">
        <v>19.514824797843666</v>
      </c>
      <c r="BV60" s="78">
        <v>1493</v>
      </c>
      <c r="BW60" s="79">
        <v>362</v>
      </c>
      <c r="BX60" s="69">
        <v>969</v>
      </c>
      <c r="BY60" s="70">
        <v>183</v>
      </c>
      <c r="BZ60" s="70">
        <v>178</v>
      </c>
      <c r="CA60" s="70">
        <v>341</v>
      </c>
      <c r="CB60" s="70">
        <v>16</v>
      </c>
      <c r="CC60" s="70">
        <v>155</v>
      </c>
      <c r="CD60" s="70">
        <v>13</v>
      </c>
      <c r="CE60" s="73">
        <v>0</v>
      </c>
    </row>
    <row r="61" spans="2:83" x14ac:dyDescent="0.3">
      <c r="B61" s="46">
        <v>10</v>
      </c>
      <c r="C61" s="150">
        <v>43167</v>
      </c>
      <c r="D61" s="74">
        <v>35</v>
      </c>
      <c r="E61" s="54">
        <v>2532</v>
      </c>
      <c r="F61" s="75">
        <v>189</v>
      </c>
      <c r="G61" s="51">
        <v>3.7582938388625591</v>
      </c>
      <c r="H61" s="52">
        <v>5.2028430836522688</v>
      </c>
      <c r="I61" s="53">
        <v>1829</v>
      </c>
      <c r="J61" s="54">
        <v>2532</v>
      </c>
      <c r="K61" s="54">
        <v>9516</v>
      </c>
      <c r="L61" s="55">
        <v>5813.5</v>
      </c>
      <c r="M61" s="55">
        <v>486.4</v>
      </c>
      <c r="N61" s="57">
        <v>1427.4</v>
      </c>
      <c r="O61" s="58">
        <v>665.25</v>
      </c>
      <c r="P61" s="59">
        <v>14.304396843291995</v>
      </c>
      <c r="Q61" s="60">
        <v>850.82</v>
      </c>
      <c r="R61" s="61">
        <v>11.184504360499282</v>
      </c>
      <c r="S61" s="48"/>
      <c r="T61" s="50"/>
      <c r="U61" s="151">
        <v>0</v>
      </c>
      <c r="V61" s="54">
        <v>52</v>
      </c>
      <c r="W61" s="75">
        <v>23</v>
      </c>
      <c r="X61" s="80">
        <v>37</v>
      </c>
      <c r="Y61" s="70">
        <v>74</v>
      </c>
      <c r="Z61" s="70">
        <v>190</v>
      </c>
      <c r="AA61" s="64">
        <v>383.2</v>
      </c>
      <c r="AB61" s="64">
        <v>36.819000000000003</v>
      </c>
      <c r="AC61" s="66"/>
      <c r="AD61" s="67"/>
      <c r="AE61" s="68"/>
      <c r="AF61" s="80">
        <v>143</v>
      </c>
      <c r="AG61" s="70">
        <v>359</v>
      </c>
      <c r="AH61" s="70">
        <v>80</v>
      </c>
      <c r="AI61" s="70">
        <v>120</v>
      </c>
      <c r="AJ61" s="70">
        <v>101</v>
      </c>
      <c r="AK61" s="70">
        <v>171</v>
      </c>
      <c r="AL61" s="70">
        <v>207</v>
      </c>
      <c r="AM61" s="70">
        <v>175</v>
      </c>
      <c r="AN61" s="70">
        <v>292</v>
      </c>
      <c r="AO61" s="70">
        <v>223</v>
      </c>
      <c r="AP61" s="70">
        <v>295</v>
      </c>
      <c r="AQ61" s="70">
        <v>120</v>
      </c>
      <c r="AR61" s="63"/>
      <c r="AS61" s="63"/>
      <c r="AT61" s="63"/>
      <c r="AU61" s="63"/>
      <c r="AV61" s="63"/>
      <c r="AW61" s="50"/>
      <c r="AX61" s="80">
        <v>5728</v>
      </c>
      <c r="AY61" s="70">
        <v>18540</v>
      </c>
      <c r="AZ61" s="54">
        <v>1441</v>
      </c>
      <c r="BA61" s="54">
        <v>3732</v>
      </c>
      <c r="BB61" s="54">
        <v>711</v>
      </c>
      <c r="BC61" s="54">
        <v>1325</v>
      </c>
      <c r="BD61" s="54">
        <v>1590</v>
      </c>
      <c r="BE61" s="70">
        <v>1780</v>
      </c>
      <c r="BF61" s="63"/>
      <c r="BG61" s="71">
        <v>1976</v>
      </c>
      <c r="BH61" s="67"/>
      <c r="BI61" s="68"/>
      <c r="BJ61" s="72">
        <v>1176</v>
      </c>
      <c r="BK61" s="62"/>
      <c r="BL61" s="70">
        <v>2376</v>
      </c>
      <c r="BM61" s="70">
        <v>200</v>
      </c>
      <c r="BN61" s="70">
        <v>91</v>
      </c>
      <c r="BO61" s="70">
        <v>875</v>
      </c>
      <c r="BP61" s="73">
        <v>10</v>
      </c>
      <c r="BQ61" s="152">
        <v>1155</v>
      </c>
      <c r="BR61" s="153">
        <v>423</v>
      </c>
      <c r="BS61" s="154">
        <v>110</v>
      </c>
      <c r="BT61" s="76">
        <v>78.985107556536121</v>
      </c>
      <c r="BU61" s="77">
        <v>21.014892443463872</v>
      </c>
      <c r="BV61" s="78">
        <v>1432</v>
      </c>
      <c r="BW61" s="79">
        <v>381</v>
      </c>
      <c r="BX61" s="69">
        <v>951</v>
      </c>
      <c r="BY61" s="70">
        <v>182</v>
      </c>
      <c r="BZ61" s="70">
        <v>279</v>
      </c>
      <c r="CA61" s="70">
        <v>299</v>
      </c>
      <c r="CB61" s="70">
        <v>6</v>
      </c>
      <c r="CC61" s="70">
        <v>89</v>
      </c>
      <c r="CD61" s="70">
        <v>7</v>
      </c>
      <c r="CE61" s="73">
        <v>0</v>
      </c>
    </row>
    <row r="62" spans="2:83" x14ac:dyDescent="0.3">
      <c r="B62" s="46">
        <v>10</v>
      </c>
      <c r="C62" s="150">
        <v>43168</v>
      </c>
      <c r="D62" s="74">
        <v>26</v>
      </c>
      <c r="E62" s="54">
        <v>2016</v>
      </c>
      <c r="F62" s="75">
        <v>260</v>
      </c>
      <c r="G62" s="51">
        <v>4.4639443961772374</v>
      </c>
      <c r="H62" s="52">
        <v>6.5619412515964237</v>
      </c>
      <c r="I62" s="53">
        <v>1566</v>
      </c>
      <c r="J62" s="54">
        <v>2302</v>
      </c>
      <c r="K62" s="54">
        <v>10276</v>
      </c>
      <c r="L62" s="55">
        <v>5712.8</v>
      </c>
      <c r="M62" s="55">
        <v>496.9</v>
      </c>
      <c r="N62" s="57">
        <v>1541.3999999999999</v>
      </c>
      <c r="O62" s="58">
        <v>629.15</v>
      </c>
      <c r="P62" s="59">
        <v>16.333147897957563</v>
      </c>
      <c r="Q62" s="60">
        <v>820.84</v>
      </c>
      <c r="R62" s="61">
        <v>12.518883095365723</v>
      </c>
      <c r="S62" s="48"/>
      <c r="T62" s="50"/>
      <c r="U62" s="151">
        <v>0</v>
      </c>
      <c r="V62" s="54">
        <v>46</v>
      </c>
      <c r="W62" s="75">
        <v>40</v>
      </c>
      <c r="X62" s="80">
        <v>30</v>
      </c>
      <c r="Y62" s="70">
        <v>97</v>
      </c>
      <c r="Z62" s="70">
        <v>218</v>
      </c>
      <c r="AA62" s="64">
        <v>454.2</v>
      </c>
      <c r="AB62" s="64">
        <v>65.088999999999999</v>
      </c>
      <c r="AC62" s="66"/>
      <c r="AD62" s="67"/>
      <c r="AE62" s="68"/>
      <c r="AF62" s="80">
        <v>142</v>
      </c>
      <c r="AG62" s="70">
        <v>260</v>
      </c>
      <c r="AH62" s="70">
        <v>43</v>
      </c>
      <c r="AI62" s="70">
        <v>80</v>
      </c>
      <c r="AJ62" s="70">
        <v>74</v>
      </c>
      <c r="AK62" s="70">
        <v>150</v>
      </c>
      <c r="AL62" s="70">
        <v>175</v>
      </c>
      <c r="AM62" s="70">
        <v>186</v>
      </c>
      <c r="AN62" s="70">
        <v>332</v>
      </c>
      <c r="AO62" s="70">
        <v>154</v>
      </c>
      <c r="AP62" s="70">
        <v>240</v>
      </c>
      <c r="AQ62" s="70">
        <v>169</v>
      </c>
      <c r="AR62" s="63"/>
      <c r="AS62" s="63"/>
      <c r="AT62" s="63"/>
      <c r="AU62" s="63"/>
      <c r="AV62" s="63"/>
      <c r="AW62" s="50"/>
      <c r="AX62" s="80">
        <v>4562</v>
      </c>
      <c r="AY62" s="70">
        <v>26155</v>
      </c>
      <c r="AZ62" s="54">
        <v>1440</v>
      </c>
      <c r="BA62" s="54">
        <v>5425</v>
      </c>
      <c r="BB62" s="54">
        <v>594</v>
      </c>
      <c r="BC62" s="54">
        <v>2395</v>
      </c>
      <c r="BD62" s="54">
        <v>1319</v>
      </c>
      <c r="BE62" s="70">
        <v>2776</v>
      </c>
      <c r="BF62" s="63"/>
      <c r="BG62" s="71">
        <v>1755</v>
      </c>
      <c r="BH62" s="67"/>
      <c r="BI62" s="68"/>
      <c r="BJ62" s="72">
        <v>1096</v>
      </c>
      <c r="BK62" s="62"/>
      <c r="BL62" s="70">
        <v>2288</v>
      </c>
      <c r="BM62" s="70">
        <v>375</v>
      </c>
      <c r="BN62" s="70">
        <v>148</v>
      </c>
      <c r="BO62" s="70">
        <v>552</v>
      </c>
      <c r="BP62" s="73">
        <v>21</v>
      </c>
      <c r="BQ62" s="152">
        <v>901</v>
      </c>
      <c r="BR62" s="153">
        <v>487</v>
      </c>
      <c r="BS62" s="154">
        <v>122</v>
      </c>
      <c r="BT62" s="76">
        <v>79.858429858429858</v>
      </c>
      <c r="BU62" s="77">
        <v>20.141570141570142</v>
      </c>
      <c r="BV62" s="78">
        <v>1241</v>
      </c>
      <c r="BW62" s="79">
        <v>313</v>
      </c>
      <c r="BX62" s="69">
        <v>829</v>
      </c>
      <c r="BY62" s="70">
        <v>180</v>
      </c>
      <c r="BZ62" s="70">
        <v>242</v>
      </c>
      <c r="CA62" s="70">
        <v>232</v>
      </c>
      <c r="CB62" s="70">
        <v>3</v>
      </c>
      <c r="CC62" s="70">
        <v>58</v>
      </c>
      <c r="CD62" s="70">
        <v>4</v>
      </c>
      <c r="CE62" s="73">
        <v>6</v>
      </c>
    </row>
    <row r="63" spans="2:83" x14ac:dyDescent="0.3">
      <c r="B63" s="46">
        <v>10</v>
      </c>
      <c r="C63" s="150">
        <v>43169</v>
      </c>
      <c r="D63" s="74">
        <v>0</v>
      </c>
      <c r="E63" s="54">
        <v>1277</v>
      </c>
      <c r="F63" s="75">
        <v>78</v>
      </c>
      <c r="G63" s="51">
        <v>3.878228782287823</v>
      </c>
      <c r="H63" s="52">
        <v>5.1875616979269497</v>
      </c>
      <c r="I63" s="53">
        <v>1013</v>
      </c>
      <c r="J63" s="54">
        <v>1355</v>
      </c>
      <c r="K63" s="54">
        <v>5255</v>
      </c>
      <c r="L63" s="55">
        <v>2180.9</v>
      </c>
      <c r="M63" s="55">
        <v>174.33600000000001</v>
      </c>
      <c r="N63" s="57">
        <v>788.25</v>
      </c>
      <c r="O63" s="58">
        <v>246.54000000000002</v>
      </c>
      <c r="P63" s="59">
        <v>21.314999594386304</v>
      </c>
      <c r="Q63" s="60">
        <v>286.01</v>
      </c>
      <c r="R63" s="61">
        <v>18.373483444634804</v>
      </c>
      <c r="S63" s="48"/>
      <c r="T63" s="50"/>
      <c r="U63" s="151">
        <v>0</v>
      </c>
      <c r="V63" s="54">
        <v>33</v>
      </c>
      <c r="W63" s="75">
        <v>0</v>
      </c>
      <c r="X63" s="80">
        <v>6</v>
      </c>
      <c r="Y63" s="70">
        <v>33</v>
      </c>
      <c r="Z63" s="70">
        <v>36</v>
      </c>
      <c r="AA63" s="64">
        <v>28</v>
      </c>
      <c r="AB63" s="64">
        <v>1.349</v>
      </c>
      <c r="AC63" s="66"/>
      <c r="AD63" s="67"/>
      <c r="AE63" s="68"/>
      <c r="AF63" s="80">
        <v>97</v>
      </c>
      <c r="AG63" s="70">
        <v>164</v>
      </c>
      <c r="AH63" s="70">
        <v>35</v>
      </c>
      <c r="AI63" s="70">
        <v>59</v>
      </c>
      <c r="AJ63" s="70">
        <v>53</v>
      </c>
      <c r="AK63" s="70">
        <v>1</v>
      </c>
      <c r="AL63" s="70">
        <v>164</v>
      </c>
      <c r="AM63" s="70">
        <v>91</v>
      </c>
      <c r="AN63" s="70">
        <v>166</v>
      </c>
      <c r="AO63" s="70">
        <v>60</v>
      </c>
      <c r="AP63" s="70">
        <v>85</v>
      </c>
      <c r="AQ63" s="70">
        <v>131</v>
      </c>
      <c r="AR63" s="63"/>
      <c r="AS63" s="63"/>
      <c r="AT63" s="63"/>
      <c r="AU63" s="63"/>
      <c r="AV63" s="63"/>
      <c r="AW63" s="50"/>
      <c r="AX63" s="80">
        <v>5571</v>
      </c>
      <c r="AY63" s="70">
        <v>11558</v>
      </c>
      <c r="AZ63" s="54">
        <v>58</v>
      </c>
      <c r="BA63" s="54">
        <v>114</v>
      </c>
      <c r="BB63" s="54">
        <v>698</v>
      </c>
      <c r="BC63" s="54">
        <v>1120</v>
      </c>
      <c r="BD63" s="54">
        <v>1241</v>
      </c>
      <c r="BE63" s="70">
        <v>701</v>
      </c>
      <c r="BF63" s="63"/>
      <c r="BG63" s="71">
        <v>1360</v>
      </c>
      <c r="BH63" s="67"/>
      <c r="BI63" s="68"/>
      <c r="BJ63" s="72">
        <v>101</v>
      </c>
      <c r="BK63" s="62"/>
      <c r="BL63" s="70">
        <v>954</v>
      </c>
      <c r="BM63" s="70">
        <v>1</v>
      </c>
      <c r="BN63" s="70">
        <v>3</v>
      </c>
      <c r="BO63" s="70">
        <v>94</v>
      </c>
      <c r="BP63" s="73">
        <v>3</v>
      </c>
      <c r="BQ63" s="152">
        <v>753</v>
      </c>
      <c r="BR63" s="153">
        <v>163</v>
      </c>
      <c r="BS63" s="154">
        <v>41</v>
      </c>
      <c r="BT63" s="76">
        <v>85.389930898321822</v>
      </c>
      <c r="BU63" s="77">
        <v>14.610069101678183</v>
      </c>
      <c r="BV63" s="78">
        <v>865</v>
      </c>
      <c r="BW63" s="79">
        <v>148</v>
      </c>
      <c r="BX63" s="69">
        <v>663</v>
      </c>
      <c r="BY63" s="70">
        <v>72</v>
      </c>
      <c r="BZ63" s="70">
        <v>127</v>
      </c>
      <c r="CA63" s="70">
        <v>130</v>
      </c>
      <c r="CB63" s="70">
        <v>1</v>
      </c>
      <c r="CC63" s="70">
        <v>20</v>
      </c>
      <c r="CD63" s="70">
        <v>0</v>
      </c>
      <c r="CE63" s="73">
        <v>0</v>
      </c>
    </row>
    <row r="64" spans="2:83" x14ac:dyDescent="0.3">
      <c r="B64" s="46">
        <v>11</v>
      </c>
      <c r="C64" s="150">
        <v>43171</v>
      </c>
      <c r="D64" s="74">
        <v>2</v>
      </c>
      <c r="E64" s="54">
        <v>2407</v>
      </c>
      <c r="F64" s="75">
        <v>250</v>
      </c>
      <c r="G64" s="51">
        <v>3.125837676842889</v>
      </c>
      <c r="H64" s="52">
        <v>4.1688182720953328</v>
      </c>
      <c r="I64" s="53">
        <v>2014</v>
      </c>
      <c r="J64" s="54">
        <v>2686</v>
      </c>
      <c r="K64" s="54">
        <v>8396</v>
      </c>
      <c r="L64" s="55">
        <v>4736.8999999999996</v>
      </c>
      <c r="M64" s="55">
        <v>507.39699999999999</v>
      </c>
      <c r="N64" s="57">
        <v>1259.4000000000001</v>
      </c>
      <c r="O64" s="58">
        <v>582.29</v>
      </c>
      <c r="P64" s="59">
        <v>14.418932147211871</v>
      </c>
      <c r="Q64" s="60">
        <v>768.64</v>
      </c>
      <c r="R64" s="61">
        <v>10.923189009159035</v>
      </c>
      <c r="S64" s="48"/>
      <c r="T64" s="50"/>
      <c r="U64" s="151">
        <v>0</v>
      </c>
      <c r="V64" s="54">
        <v>88</v>
      </c>
      <c r="W64" s="75">
        <v>46</v>
      </c>
      <c r="X64" s="80">
        <v>27</v>
      </c>
      <c r="Y64" s="70">
        <v>123</v>
      </c>
      <c r="Z64" s="70">
        <v>135</v>
      </c>
      <c r="AA64" s="64">
        <v>1065.4000000000001</v>
      </c>
      <c r="AB64" s="64">
        <v>106.80200000000001</v>
      </c>
      <c r="AC64" s="66"/>
      <c r="AD64" s="67"/>
      <c r="AE64" s="68"/>
      <c r="AF64" s="80">
        <v>175</v>
      </c>
      <c r="AG64" s="70">
        <v>404</v>
      </c>
      <c r="AH64" s="70">
        <v>52</v>
      </c>
      <c r="AI64" s="70">
        <v>110</v>
      </c>
      <c r="AJ64" s="70">
        <v>82</v>
      </c>
      <c r="AK64" s="70">
        <v>257</v>
      </c>
      <c r="AL64" s="70">
        <v>246</v>
      </c>
      <c r="AM64" s="70">
        <v>148</v>
      </c>
      <c r="AN64" s="70">
        <v>317</v>
      </c>
      <c r="AO64" s="70">
        <v>184</v>
      </c>
      <c r="AP64" s="70">
        <v>175</v>
      </c>
      <c r="AQ64" s="70">
        <v>191</v>
      </c>
      <c r="AR64" s="63"/>
      <c r="AS64" s="63"/>
      <c r="AT64" s="63"/>
      <c r="AU64" s="63"/>
      <c r="AV64" s="63"/>
      <c r="AW64" s="50"/>
      <c r="AX64" s="80">
        <v>2546</v>
      </c>
      <c r="AY64" s="70">
        <v>10355</v>
      </c>
      <c r="AZ64" s="54">
        <v>599</v>
      </c>
      <c r="BA64" s="54">
        <v>1317</v>
      </c>
      <c r="BB64" s="54">
        <v>205</v>
      </c>
      <c r="BC64" s="54">
        <v>348</v>
      </c>
      <c r="BD64" s="54">
        <v>994</v>
      </c>
      <c r="BE64" s="70">
        <v>1028</v>
      </c>
      <c r="BF64" s="63"/>
      <c r="BG64" s="71">
        <v>1200</v>
      </c>
      <c r="BH64" s="67"/>
      <c r="BI64" s="68"/>
      <c r="BJ64" s="72">
        <v>1060</v>
      </c>
      <c r="BK64" s="62"/>
      <c r="BL64" s="70">
        <v>1812</v>
      </c>
      <c r="BM64" s="70">
        <v>295</v>
      </c>
      <c r="BN64" s="70">
        <v>93</v>
      </c>
      <c r="BO64" s="70">
        <v>662</v>
      </c>
      <c r="BP64" s="73">
        <v>10</v>
      </c>
      <c r="BQ64" s="152">
        <v>1133</v>
      </c>
      <c r="BR64" s="153">
        <v>540</v>
      </c>
      <c r="BS64" s="154">
        <v>39</v>
      </c>
      <c r="BT64" s="76">
        <v>78.92644135188867</v>
      </c>
      <c r="BU64" s="77">
        <v>21.073558648111334</v>
      </c>
      <c r="BV64" s="78">
        <v>1588</v>
      </c>
      <c r="BW64" s="79">
        <v>424</v>
      </c>
      <c r="BX64" s="69">
        <v>855</v>
      </c>
      <c r="BY64" s="70">
        <v>394</v>
      </c>
      <c r="BZ64" s="70">
        <v>168</v>
      </c>
      <c r="CA64" s="70">
        <v>339</v>
      </c>
      <c r="CB64" s="70">
        <v>13</v>
      </c>
      <c r="CC64" s="70">
        <v>236</v>
      </c>
      <c r="CD64" s="70">
        <v>7</v>
      </c>
      <c r="CE64" s="73">
        <v>0</v>
      </c>
    </row>
    <row r="65" spans="2:83" x14ac:dyDescent="0.3">
      <c r="B65" s="46">
        <v>11</v>
      </c>
      <c r="C65" s="150">
        <v>43172</v>
      </c>
      <c r="D65" s="74">
        <v>7</v>
      </c>
      <c r="E65" s="54">
        <v>1968</v>
      </c>
      <c r="F65" s="75">
        <v>310</v>
      </c>
      <c r="G65" s="51">
        <v>3.8730442556995976</v>
      </c>
      <c r="H65" s="52">
        <v>5.6005171299288943</v>
      </c>
      <c r="I65" s="53">
        <v>1547</v>
      </c>
      <c r="J65" s="54">
        <v>2237</v>
      </c>
      <c r="K65" s="54">
        <v>8664</v>
      </c>
      <c r="L65" s="55">
        <v>6393</v>
      </c>
      <c r="M65" s="55">
        <v>536.61800000000005</v>
      </c>
      <c r="N65" s="57">
        <v>1299.5999999999999</v>
      </c>
      <c r="O65" s="58">
        <v>632.98</v>
      </c>
      <c r="P65" s="59">
        <v>13.687636260229391</v>
      </c>
      <c r="Q65" s="60">
        <v>810.52</v>
      </c>
      <c r="R65" s="61">
        <v>10.68943394364112</v>
      </c>
      <c r="S65" s="48"/>
      <c r="T65" s="50"/>
      <c r="U65" s="151">
        <v>0</v>
      </c>
      <c r="V65" s="54">
        <v>105</v>
      </c>
      <c r="W65" s="75">
        <v>62</v>
      </c>
      <c r="X65" s="80">
        <v>44</v>
      </c>
      <c r="Y65" s="70">
        <v>142</v>
      </c>
      <c r="Z65" s="70">
        <v>187</v>
      </c>
      <c r="AA65" s="64">
        <v>1329</v>
      </c>
      <c r="AB65" s="64">
        <v>89.664000000000001</v>
      </c>
      <c r="AC65" s="66"/>
      <c r="AD65" s="67"/>
      <c r="AE65" s="68"/>
      <c r="AF65" s="80">
        <v>126</v>
      </c>
      <c r="AG65" s="70">
        <v>254</v>
      </c>
      <c r="AH65" s="70">
        <v>35</v>
      </c>
      <c r="AI65" s="70">
        <v>91</v>
      </c>
      <c r="AJ65" s="70">
        <v>72</v>
      </c>
      <c r="AK65" s="70">
        <v>229</v>
      </c>
      <c r="AL65" s="70">
        <v>176</v>
      </c>
      <c r="AM65" s="70">
        <v>146</v>
      </c>
      <c r="AN65" s="70">
        <v>311</v>
      </c>
      <c r="AO65" s="70">
        <v>124</v>
      </c>
      <c r="AP65" s="70">
        <v>233</v>
      </c>
      <c r="AQ65" s="70">
        <v>153</v>
      </c>
      <c r="AR65" s="63"/>
      <c r="AS65" s="63"/>
      <c r="AT65" s="63"/>
      <c r="AU65" s="63"/>
      <c r="AV65" s="63"/>
      <c r="AW65" s="50"/>
      <c r="AX65" s="80">
        <v>5171</v>
      </c>
      <c r="AY65" s="70">
        <v>25950</v>
      </c>
      <c r="AZ65" s="54">
        <v>2315</v>
      </c>
      <c r="BA65" s="54">
        <v>6300</v>
      </c>
      <c r="BB65" s="54">
        <v>439</v>
      </c>
      <c r="BC65" s="54">
        <v>747</v>
      </c>
      <c r="BD65" s="54">
        <v>1270</v>
      </c>
      <c r="BE65" s="70">
        <v>2433</v>
      </c>
      <c r="BF65" s="63"/>
      <c r="BG65" s="71">
        <v>1668</v>
      </c>
      <c r="BH65" s="67"/>
      <c r="BI65" s="68"/>
      <c r="BJ65" s="72">
        <v>1073</v>
      </c>
      <c r="BK65" s="62"/>
      <c r="BL65" s="70">
        <v>2091</v>
      </c>
      <c r="BM65" s="70">
        <v>188</v>
      </c>
      <c r="BN65" s="70">
        <v>145</v>
      </c>
      <c r="BO65" s="70">
        <v>706</v>
      </c>
      <c r="BP65" s="73">
        <v>34</v>
      </c>
      <c r="BQ65" s="152">
        <v>884</v>
      </c>
      <c r="BR65" s="153">
        <v>435</v>
      </c>
      <c r="BS65" s="154">
        <v>103</v>
      </c>
      <c r="BT65" s="76">
        <v>73.193166885676746</v>
      </c>
      <c r="BU65" s="77">
        <v>26.806833114323258</v>
      </c>
      <c r="BV65" s="78">
        <v>1114</v>
      </c>
      <c r="BW65" s="79">
        <v>408</v>
      </c>
      <c r="BX65" s="69">
        <v>645</v>
      </c>
      <c r="BY65" s="70">
        <v>110</v>
      </c>
      <c r="BZ65" s="70">
        <v>272</v>
      </c>
      <c r="CA65" s="70">
        <v>359</v>
      </c>
      <c r="CB65" s="70">
        <v>5</v>
      </c>
      <c r="CC65" s="70">
        <v>102</v>
      </c>
      <c r="CD65" s="70">
        <v>12</v>
      </c>
      <c r="CE65" s="73">
        <v>17</v>
      </c>
    </row>
    <row r="66" spans="2:83" x14ac:dyDescent="0.3">
      <c r="B66" s="46">
        <v>11</v>
      </c>
      <c r="C66" s="150">
        <v>43173</v>
      </c>
      <c r="D66" s="74">
        <v>22</v>
      </c>
      <c r="E66" s="54">
        <v>2185</v>
      </c>
      <c r="F66" s="75">
        <v>280</v>
      </c>
      <c r="G66" s="51">
        <v>3.7909786548530002</v>
      </c>
      <c r="H66" s="52">
        <v>5.6602525556223693</v>
      </c>
      <c r="I66" s="53">
        <v>1663</v>
      </c>
      <c r="J66" s="54">
        <v>2483</v>
      </c>
      <c r="K66" s="54">
        <v>9413</v>
      </c>
      <c r="L66" s="55">
        <v>6217.8</v>
      </c>
      <c r="M66" s="55">
        <v>491.178</v>
      </c>
      <c r="N66" s="57">
        <v>1411.95</v>
      </c>
      <c r="O66" s="58">
        <v>600.16000000000008</v>
      </c>
      <c r="P66" s="59">
        <v>15.684150893095172</v>
      </c>
      <c r="Q66" s="60">
        <v>784.2</v>
      </c>
      <c r="R66" s="61">
        <v>12.003315480744707</v>
      </c>
      <c r="S66" s="48"/>
      <c r="T66" s="50"/>
      <c r="U66" s="151">
        <v>0</v>
      </c>
      <c r="V66" s="54">
        <v>74</v>
      </c>
      <c r="W66" s="75">
        <v>52</v>
      </c>
      <c r="X66" s="80">
        <v>37</v>
      </c>
      <c r="Y66" s="70">
        <v>159</v>
      </c>
      <c r="Z66" s="70">
        <v>199</v>
      </c>
      <c r="AA66" s="64">
        <v>7257</v>
      </c>
      <c r="AB66" s="64">
        <v>59.289000000000001</v>
      </c>
      <c r="AC66" s="66"/>
      <c r="AD66" s="67"/>
      <c r="AE66" s="68"/>
      <c r="AF66" s="80">
        <v>135</v>
      </c>
      <c r="AG66" s="70">
        <v>243</v>
      </c>
      <c r="AH66" s="70">
        <v>34</v>
      </c>
      <c r="AI66" s="70">
        <v>127</v>
      </c>
      <c r="AJ66" s="70">
        <v>70</v>
      </c>
      <c r="AK66" s="70">
        <v>234</v>
      </c>
      <c r="AL66" s="70">
        <v>168</v>
      </c>
      <c r="AM66" s="70">
        <v>133</v>
      </c>
      <c r="AN66" s="70">
        <v>402</v>
      </c>
      <c r="AO66" s="70">
        <v>296</v>
      </c>
      <c r="AP66" s="70">
        <v>152</v>
      </c>
      <c r="AQ66" s="70">
        <v>169</v>
      </c>
      <c r="AR66" s="63"/>
      <c r="AS66" s="63"/>
      <c r="AT66" s="63"/>
      <c r="AU66" s="63"/>
      <c r="AV66" s="63"/>
      <c r="AW66" s="50"/>
      <c r="AX66" s="80">
        <v>3854</v>
      </c>
      <c r="AY66" s="70">
        <v>17668</v>
      </c>
      <c r="AZ66" s="54">
        <v>1275</v>
      </c>
      <c r="BA66" s="54">
        <v>3385</v>
      </c>
      <c r="BB66" s="54">
        <v>439</v>
      </c>
      <c r="BC66" s="54">
        <v>905</v>
      </c>
      <c r="BD66" s="54">
        <v>1016</v>
      </c>
      <c r="BE66" s="70">
        <v>2264</v>
      </c>
      <c r="BF66" s="63"/>
      <c r="BG66" s="71">
        <v>1441</v>
      </c>
      <c r="BH66" s="67"/>
      <c r="BI66" s="68"/>
      <c r="BJ66" s="72">
        <v>824</v>
      </c>
      <c r="BK66" s="62"/>
      <c r="BL66" s="70">
        <v>1939</v>
      </c>
      <c r="BM66" s="70">
        <v>177</v>
      </c>
      <c r="BN66" s="70">
        <v>150</v>
      </c>
      <c r="BO66" s="70">
        <v>480</v>
      </c>
      <c r="BP66" s="73">
        <v>17</v>
      </c>
      <c r="BQ66" s="152">
        <v>848</v>
      </c>
      <c r="BR66" s="153">
        <v>462</v>
      </c>
      <c r="BS66" s="154">
        <v>92</v>
      </c>
      <c r="BT66" s="76">
        <v>67.518248175182478</v>
      </c>
      <c r="BU66" s="77">
        <v>32.481751824817515</v>
      </c>
      <c r="BV66" s="78">
        <v>1110</v>
      </c>
      <c r="BW66" s="79">
        <v>534</v>
      </c>
      <c r="BX66" s="69">
        <v>707</v>
      </c>
      <c r="BY66" s="70">
        <v>111</v>
      </c>
      <c r="BZ66" s="70">
        <v>318</v>
      </c>
      <c r="CA66" s="70">
        <v>292</v>
      </c>
      <c r="CB66" s="70">
        <v>10</v>
      </c>
      <c r="CC66" s="70">
        <v>192</v>
      </c>
      <c r="CD66" s="70">
        <v>6</v>
      </c>
      <c r="CE66" s="73">
        <v>8</v>
      </c>
    </row>
    <row r="67" spans="2:83" x14ac:dyDescent="0.3">
      <c r="B67" s="46">
        <v>11</v>
      </c>
      <c r="C67" s="150">
        <v>43174</v>
      </c>
      <c r="D67" s="74">
        <v>4</v>
      </c>
      <c r="E67" s="54">
        <v>2031</v>
      </c>
      <c r="F67" s="75">
        <v>253</v>
      </c>
      <c r="G67" s="51">
        <v>3.7218858131487891</v>
      </c>
      <c r="H67" s="52">
        <v>5.6168407310704964</v>
      </c>
      <c r="I67" s="53">
        <v>1532</v>
      </c>
      <c r="J67" s="54">
        <v>2312</v>
      </c>
      <c r="K67" s="54">
        <v>8605</v>
      </c>
      <c r="L67" s="55">
        <v>8203.5</v>
      </c>
      <c r="M67" s="55">
        <v>523.05999999999995</v>
      </c>
      <c r="N67" s="57">
        <v>1290.75</v>
      </c>
      <c r="O67" s="58">
        <v>554.84</v>
      </c>
      <c r="P67" s="59">
        <v>15.508975560521952</v>
      </c>
      <c r="Q67" s="60">
        <v>731.37</v>
      </c>
      <c r="R67" s="61">
        <v>11.765590603935081</v>
      </c>
      <c r="S67" s="48"/>
      <c r="T67" s="50"/>
      <c r="U67" s="151">
        <v>0</v>
      </c>
      <c r="V67" s="54">
        <v>24</v>
      </c>
      <c r="W67" s="75">
        <v>36</v>
      </c>
      <c r="X67" s="80">
        <v>27</v>
      </c>
      <c r="Y67" s="70">
        <v>65</v>
      </c>
      <c r="Z67" s="70">
        <v>310</v>
      </c>
      <c r="AA67" s="64">
        <v>485.1</v>
      </c>
      <c r="AB67" s="64">
        <v>54.7</v>
      </c>
      <c r="AC67" s="66"/>
      <c r="AD67" s="67"/>
      <c r="AE67" s="68"/>
      <c r="AF67" s="80">
        <v>114</v>
      </c>
      <c r="AG67" s="70">
        <v>210</v>
      </c>
      <c r="AH67" s="70">
        <v>42</v>
      </c>
      <c r="AI67" s="70">
        <v>106</v>
      </c>
      <c r="AJ67" s="70">
        <v>97</v>
      </c>
      <c r="AK67" s="70">
        <v>203</v>
      </c>
      <c r="AL67" s="70">
        <v>186</v>
      </c>
      <c r="AM67" s="70">
        <v>149</v>
      </c>
      <c r="AN67" s="70">
        <v>298</v>
      </c>
      <c r="AO67" s="70">
        <v>385</v>
      </c>
      <c r="AP67" s="70">
        <v>0</v>
      </c>
      <c r="AQ67" s="70">
        <v>192</v>
      </c>
      <c r="AR67" s="63"/>
      <c r="AS67" s="63"/>
      <c r="AT67" s="63"/>
      <c r="AU67" s="63"/>
      <c r="AV67" s="63"/>
      <c r="AW67" s="50"/>
      <c r="AX67" s="80">
        <v>4528</v>
      </c>
      <c r="AY67" s="70">
        <v>25804</v>
      </c>
      <c r="AZ67" s="54">
        <v>1740</v>
      </c>
      <c r="BA67" s="54">
        <v>3943</v>
      </c>
      <c r="BB67" s="54">
        <v>510</v>
      </c>
      <c r="BC67" s="54">
        <v>1047</v>
      </c>
      <c r="BD67" s="54">
        <v>1235</v>
      </c>
      <c r="BE67" s="70">
        <v>2283</v>
      </c>
      <c r="BF67" s="63"/>
      <c r="BG67" s="71">
        <v>1629</v>
      </c>
      <c r="BH67" s="67"/>
      <c r="BI67" s="68"/>
      <c r="BJ67" s="72">
        <v>828</v>
      </c>
      <c r="BK67" s="62"/>
      <c r="BL67" s="70">
        <v>2157</v>
      </c>
      <c r="BM67" s="70">
        <v>74</v>
      </c>
      <c r="BN67" s="70">
        <v>170</v>
      </c>
      <c r="BO67" s="70">
        <v>558</v>
      </c>
      <c r="BP67" s="73">
        <v>26</v>
      </c>
      <c r="BQ67" s="152">
        <v>846</v>
      </c>
      <c r="BR67" s="153">
        <v>391</v>
      </c>
      <c r="BS67" s="154">
        <v>133</v>
      </c>
      <c r="BT67" s="76">
        <v>74.619960343688035</v>
      </c>
      <c r="BU67" s="77">
        <v>25.380039656311961</v>
      </c>
      <c r="BV67" s="78">
        <v>1129</v>
      </c>
      <c r="BW67" s="79">
        <v>384</v>
      </c>
      <c r="BX67" s="69">
        <v>627</v>
      </c>
      <c r="BY67" s="70">
        <v>152</v>
      </c>
      <c r="BZ67" s="70">
        <v>225</v>
      </c>
      <c r="CA67" s="70">
        <v>350</v>
      </c>
      <c r="CB67" s="70">
        <v>11</v>
      </c>
      <c r="CC67" s="70">
        <v>137</v>
      </c>
      <c r="CD67" s="70">
        <v>11</v>
      </c>
      <c r="CE67" s="73">
        <v>0</v>
      </c>
    </row>
    <row r="68" spans="2:83" x14ac:dyDescent="0.3">
      <c r="B68" s="46">
        <v>11</v>
      </c>
      <c r="C68" s="150">
        <v>43175</v>
      </c>
      <c r="D68" s="74">
        <v>10</v>
      </c>
      <c r="E68" s="54">
        <v>2011</v>
      </c>
      <c r="F68" s="75">
        <v>370</v>
      </c>
      <c r="G68" s="51">
        <v>3.4114605773373547</v>
      </c>
      <c r="H68" s="52">
        <v>4.875615763546798</v>
      </c>
      <c r="I68" s="53">
        <v>1624</v>
      </c>
      <c r="J68" s="54">
        <v>2321</v>
      </c>
      <c r="K68" s="54">
        <v>7918</v>
      </c>
      <c r="L68" s="55">
        <v>4979.2</v>
      </c>
      <c r="M68" s="55">
        <v>571</v>
      </c>
      <c r="N68" s="57">
        <v>1187.7</v>
      </c>
      <c r="O68" s="58">
        <v>531.30999999999995</v>
      </c>
      <c r="P68" s="59">
        <v>14.902787449888015</v>
      </c>
      <c r="Q68" s="60">
        <v>700.84999999999991</v>
      </c>
      <c r="R68" s="61">
        <v>11.297709923664124</v>
      </c>
      <c r="S68" s="48"/>
      <c r="T68" s="50"/>
      <c r="U68" s="151">
        <v>0</v>
      </c>
      <c r="V68" s="54">
        <v>96</v>
      </c>
      <c r="W68" s="75">
        <v>99</v>
      </c>
      <c r="X68" s="80">
        <v>39</v>
      </c>
      <c r="Y68" s="70">
        <v>179</v>
      </c>
      <c r="Z68" s="70">
        <v>270</v>
      </c>
      <c r="AA68" s="64">
        <v>1033.5999999999999</v>
      </c>
      <c r="AB68" s="64">
        <v>117.509</v>
      </c>
      <c r="AC68" s="66"/>
      <c r="AD68" s="67"/>
      <c r="AE68" s="68"/>
      <c r="AF68" s="80">
        <v>205</v>
      </c>
      <c r="AG68" s="70">
        <v>263</v>
      </c>
      <c r="AH68" s="70">
        <v>53</v>
      </c>
      <c r="AI68" s="70">
        <v>92</v>
      </c>
      <c r="AJ68" s="70">
        <v>106</v>
      </c>
      <c r="AK68" s="70">
        <v>190</v>
      </c>
      <c r="AL68" s="70">
        <v>162</v>
      </c>
      <c r="AM68" s="70">
        <v>157</v>
      </c>
      <c r="AN68" s="70">
        <v>260</v>
      </c>
      <c r="AO68" s="70">
        <v>144</v>
      </c>
      <c r="AP68" s="70">
        <v>166</v>
      </c>
      <c r="AQ68" s="70">
        <v>108</v>
      </c>
      <c r="AR68" s="63"/>
      <c r="AS68" s="63"/>
      <c r="AT68" s="63"/>
      <c r="AU68" s="63"/>
      <c r="AV68" s="63"/>
      <c r="AW68" s="50"/>
      <c r="AX68" s="80">
        <v>4688</v>
      </c>
      <c r="AY68" s="70">
        <v>25151</v>
      </c>
      <c r="AZ68" s="54">
        <v>2267</v>
      </c>
      <c r="BA68" s="54">
        <v>4343</v>
      </c>
      <c r="BB68" s="54">
        <v>473</v>
      </c>
      <c r="BC68" s="54">
        <v>935</v>
      </c>
      <c r="BD68" s="54">
        <v>1420</v>
      </c>
      <c r="BE68" s="70">
        <v>2376</v>
      </c>
      <c r="BF68" s="63"/>
      <c r="BG68" s="71">
        <v>2815</v>
      </c>
      <c r="BH68" s="67"/>
      <c r="BI68" s="68"/>
      <c r="BJ68" s="72">
        <v>903</v>
      </c>
      <c r="BK68" s="62"/>
      <c r="BL68" s="70">
        <v>1915</v>
      </c>
      <c r="BM68" s="70">
        <v>191</v>
      </c>
      <c r="BN68" s="70">
        <v>134</v>
      </c>
      <c r="BO68" s="70">
        <v>566</v>
      </c>
      <c r="BP68" s="73">
        <v>12</v>
      </c>
      <c r="BQ68" s="152">
        <v>920</v>
      </c>
      <c r="BR68" s="153">
        <v>403</v>
      </c>
      <c r="BS68" s="154">
        <v>93</v>
      </c>
      <c r="BT68" s="76">
        <v>78.018575851393194</v>
      </c>
      <c r="BU68" s="77">
        <v>21.981424148606813</v>
      </c>
      <c r="BV68" s="78">
        <v>1260</v>
      </c>
      <c r="BW68" s="79">
        <v>355</v>
      </c>
      <c r="BX68" s="69">
        <v>742</v>
      </c>
      <c r="BY68" s="70">
        <v>225</v>
      </c>
      <c r="BZ68" s="70">
        <v>171</v>
      </c>
      <c r="CA68" s="70">
        <v>293</v>
      </c>
      <c r="CB68" s="70">
        <v>11</v>
      </c>
      <c r="CC68" s="70">
        <v>150</v>
      </c>
      <c r="CD68" s="70">
        <v>23</v>
      </c>
      <c r="CE68" s="73">
        <v>0</v>
      </c>
    </row>
    <row r="69" spans="2:83" x14ac:dyDescent="0.3">
      <c r="B69" s="46">
        <v>12</v>
      </c>
      <c r="C69" s="150">
        <v>43178</v>
      </c>
      <c r="D69" s="74">
        <v>18</v>
      </c>
      <c r="E69" s="54">
        <v>2785</v>
      </c>
      <c r="F69" s="75">
        <v>286</v>
      </c>
      <c r="G69" s="51">
        <v>2.6254851228978007</v>
      </c>
      <c r="H69" s="52">
        <v>3.3531598513011152</v>
      </c>
      <c r="I69" s="53">
        <v>2421</v>
      </c>
      <c r="J69" s="54">
        <v>3092</v>
      </c>
      <c r="K69" s="54">
        <v>8118</v>
      </c>
      <c r="L69" s="55">
        <v>5058.8999999999996</v>
      </c>
      <c r="M69" s="55">
        <v>502</v>
      </c>
      <c r="N69" s="57">
        <v>1217.7</v>
      </c>
      <c r="O69" s="58">
        <v>612.25999999999988</v>
      </c>
      <c r="P69" s="59">
        <v>13.259072942867412</v>
      </c>
      <c r="Q69" s="60">
        <v>761.79</v>
      </c>
      <c r="R69" s="61">
        <v>10.656480132319931</v>
      </c>
      <c r="S69" s="48"/>
      <c r="T69" s="50"/>
      <c r="U69" s="151">
        <v>0</v>
      </c>
      <c r="V69" s="54">
        <v>83</v>
      </c>
      <c r="W69" s="75">
        <v>79</v>
      </c>
      <c r="X69" s="80">
        <v>55</v>
      </c>
      <c r="Y69" s="70">
        <v>127</v>
      </c>
      <c r="Z69" s="70">
        <v>147</v>
      </c>
      <c r="AA69" s="64">
        <v>378.5</v>
      </c>
      <c r="AB69" s="64">
        <v>69.867000000000004</v>
      </c>
      <c r="AC69" s="66"/>
      <c r="AD69" s="67"/>
      <c r="AE69" s="68"/>
      <c r="AF69" s="80">
        <v>223</v>
      </c>
      <c r="AG69" s="70">
        <v>472</v>
      </c>
      <c r="AH69" s="70">
        <v>107</v>
      </c>
      <c r="AI69" s="70">
        <v>200</v>
      </c>
      <c r="AJ69" s="70">
        <v>148</v>
      </c>
      <c r="AK69" s="70">
        <v>443</v>
      </c>
      <c r="AL69" s="70">
        <v>220</v>
      </c>
      <c r="AM69" s="70">
        <v>153</v>
      </c>
      <c r="AN69" s="70">
        <v>222</v>
      </c>
      <c r="AO69" s="70">
        <v>45</v>
      </c>
      <c r="AP69" s="70">
        <v>237</v>
      </c>
      <c r="AQ69" s="70">
        <v>144</v>
      </c>
      <c r="AR69" s="63"/>
      <c r="AS69" s="63"/>
      <c r="AT69" s="63"/>
      <c r="AU69" s="63"/>
      <c r="AV69" s="63"/>
      <c r="AW69" s="50"/>
      <c r="AX69" s="80">
        <v>4803</v>
      </c>
      <c r="AY69" s="70">
        <v>16491</v>
      </c>
      <c r="AZ69" s="54">
        <v>1419</v>
      </c>
      <c r="BA69" s="54">
        <v>3164</v>
      </c>
      <c r="BB69" s="54">
        <v>511</v>
      </c>
      <c r="BC69" s="54">
        <v>863</v>
      </c>
      <c r="BD69" s="54">
        <v>1652</v>
      </c>
      <c r="BE69" s="70">
        <v>1746</v>
      </c>
      <c r="BF69" s="63"/>
      <c r="BG69" s="71">
        <v>2273</v>
      </c>
      <c r="BH69" s="67"/>
      <c r="BI69" s="68"/>
      <c r="BJ69" s="72">
        <v>828</v>
      </c>
      <c r="BK69" s="62"/>
      <c r="BL69" s="70">
        <v>2016</v>
      </c>
      <c r="BM69" s="70">
        <v>275</v>
      </c>
      <c r="BN69" s="70">
        <v>193</v>
      </c>
      <c r="BO69" s="70">
        <v>330</v>
      </c>
      <c r="BP69" s="73">
        <v>30</v>
      </c>
      <c r="BQ69" s="152">
        <v>1766</v>
      </c>
      <c r="BR69" s="153">
        <v>394</v>
      </c>
      <c r="BS69" s="154">
        <v>87</v>
      </c>
      <c r="BT69" s="76">
        <v>83.810709838107101</v>
      </c>
      <c r="BU69" s="77">
        <v>16.189290161892902</v>
      </c>
      <c r="BV69" s="78">
        <v>2019</v>
      </c>
      <c r="BW69" s="79">
        <v>390</v>
      </c>
      <c r="BX69" s="69">
        <v>1333</v>
      </c>
      <c r="BY69" s="70">
        <v>163</v>
      </c>
      <c r="BZ69" s="70">
        <v>203</v>
      </c>
      <c r="CA69" s="70">
        <v>523</v>
      </c>
      <c r="CB69" s="70">
        <v>4</v>
      </c>
      <c r="CC69" s="70">
        <v>168</v>
      </c>
      <c r="CD69" s="70">
        <v>15</v>
      </c>
      <c r="CE69" s="73">
        <v>0</v>
      </c>
    </row>
    <row r="70" spans="2:83" x14ac:dyDescent="0.3">
      <c r="B70" s="46">
        <v>12</v>
      </c>
      <c r="C70" s="150">
        <v>43179</v>
      </c>
      <c r="D70" s="74">
        <v>6</v>
      </c>
      <c r="E70" s="54">
        <v>1844</v>
      </c>
      <c r="F70" s="75">
        <v>375</v>
      </c>
      <c r="G70" s="51">
        <v>3.2726436781609194</v>
      </c>
      <c r="H70" s="52">
        <v>4.7139072847682115</v>
      </c>
      <c r="I70" s="53">
        <v>1510</v>
      </c>
      <c r="J70" s="54">
        <v>2175</v>
      </c>
      <c r="K70" s="54">
        <v>7118</v>
      </c>
      <c r="L70" s="55">
        <v>6876.1</v>
      </c>
      <c r="M70" s="55">
        <v>572.82899999999995</v>
      </c>
      <c r="N70" s="57">
        <v>1067.7</v>
      </c>
      <c r="O70" s="58">
        <v>586.32000000000005</v>
      </c>
      <c r="P70" s="59">
        <v>12.140128257606767</v>
      </c>
      <c r="Q70" s="60">
        <v>746.05</v>
      </c>
      <c r="R70" s="61">
        <v>9.5409154882380545</v>
      </c>
      <c r="S70" s="48"/>
      <c r="T70" s="50"/>
      <c r="U70" s="151">
        <v>0</v>
      </c>
      <c r="V70" s="54">
        <v>35</v>
      </c>
      <c r="W70" s="75">
        <v>129</v>
      </c>
      <c r="X70" s="80">
        <v>21</v>
      </c>
      <c r="Y70" s="70">
        <v>126</v>
      </c>
      <c r="Z70" s="70">
        <v>94</v>
      </c>
      <c r="AA70" s="64">
        <v>286.10000000000002</v>
      </c>
      <c r="AB70" s="64">
        <v>142.249</v>
      </c>
      <c r="AC70" s="66"/>
      <c r="AD70" s="67"/>
      <c r="AE70" s="68"/>
      <c r="AF70" s="80">
        <v>89</v>
      </c>
      <c r="AG70" s="70">
        <v>237</v>
      </c>
      <c r="AH70" s="70">
        <v>42</v>
      </c>
      <c r="AI70" s="70">
        <v>93</v>
      </c>
      <c r="AJ70" s="70">
        <v>98</v>
      </c>
      <c r="AK70" s="70">
        <v>232</v>
      </c>
      <c r="AL70" s="70">
        <v>208</v>
      </c>
      <c r="AM70" s="70">
        <v>149</v>
      </c>
      <c r="AN70" s="70">
        <v>177</v>
      </c>
      <c r="AO70" s="70">
        <v>0</v>
      </c>
      <c r="AP70" s="70">
        <v>222</v>
      </c>
      <c r="AQ70" s="70">
        <v>95</v>
      </c>
      <c r="AR70" s="63"/>
      <c r="AS70" s="63"/>
      <c r="AT70" s="63"/>
      <c r="AU70" s="63"/>
      <c r="AV70" s="63"/>
      <c r="AW70" s="50"/>
      <c r="AX70" s="80">
        <v>4185</v>
      </c>
      <c r="AY70" s="70">
        <v>16390</v>
      </c>
      <c r="AZ70" s="54">
        <v>1461</v>
      </c>
      <c r="BA70" s="54">
        <v>3860</v>
      </c>
      <c r="BB70" s="54">
        <v>377</v>
      </c>
      <c r="BC70" s="54">
        <v>511</v>
      </c>
      <c r="BD70" s="54">
        <v>965</v>
      </c>
      <c r="BE70" s="70">
        <v>1872</v>
      </c>
      <c r="BF70" s="63"/>
      <c r="BG70" s="71">
        <v>2158</v>
      </c>
      <c r="BH70" s="67"/>
      <c r="BI70" s="68"/>
      <c r="BJ70" s="72">
        <v>770</v>
      </c>
      <c r="BK70" s="62"/>
      <c r="BL70" s="70">
        <v>2043</v>
      </c>
      <c r="BM70" s="70">
        <v>171</v>
      </c>
      <c r="BN70" s="70">
        <v>115</v>
      </c>
      <c r="BO70" s="70">
        <v>472</v>
      </c>
      <c r="BP70" s="73">
        <v>12</v>
      </c>
      <c r="BQ70" s="152">
        <v>881</v>
      </c>
      <c r="BR70" s="153">
        <v>412</v>
      </c>
      <c r="BS70" s="154">
        <v>87</v>
      </c>
      <c r="BT70" s="76">
        <v>77.097203728362189</v>
      </c>
      <c r="BU70" s="77">
        <v>22.902796271637815</v>
      </c>
      <c r="BV70" s="78">
        <v>1158</v>
      </c>
      <c r="BW70" s="79">
        <v>344</v>
      </c>
      <c r="BX70" s="69">
        <v>628</v>
      </c>
      <c r="BY70" s="70">
        <v>180</v>
      </c>
      <c r="BZ70" s="70">
        <v>224</v>
      </c>
      <c r="CA70" s="70">
        <v>350</v>
      </c>
      <c r="CB70" s="70">
        <v>9</v>
      </c>
      <c r="CC70" s="70">
        <v>95</v>
      </c>
      <c r="CD70" s="70">
        <v>16</v>
      </c>
      <c r="CE70" s="73">
        <v>0</v>
      </c>
    </row>
    <row r="71" spans="2:83" x14ac:dyDescent="0.3">
      <c r="B71" s="46">
        <v>12</v>
      </c>
      <c r="C71" s="150">
        <v>43180</v>
      </c>
      <c r="D71" s="74">
        <v>7</v>
      </c>
      <c r="E71" s="54">
        <v>1992</v>
      </c>
      <c r="F71" s="75">
        <v>347</v>
      </c>
      <c r="G71" s="51">
        <v>4.0556499575191163</v>
      </c>
      <c r="H71" s="52">
        <v>5.9114551083591333</v>
      </c>
      <c r="I71" s="53">
        <v>1615</v>
      </c>
      <c r="J71" s="54">
        <v>2354</v>
      </c>
      <c r="K71" s="54">
        <v>9547</v>
      </c>
      <c r="L71" s="55">
        <v>6261.1</v>
      </c>
      <c r="M71" s="55">
        <v>603.85199999999998</v>
      </c>
      <c r="N71" s="57">
        <v>1432.0500000000002</v>
      </c>
      <c r="O71" s="58">
        <v>570.12</v>
      </c>
      <c r="P71" s="59">
        <v>16.745597418087421</v>
      </c>
      <c r="Q71" s="60">
        <v>739.21</v>
      </c>
      <c r="R71" s="61">
        <v>12.915139135022523</v>
      </c>
      <c r="S71" s="48"/>
      <c r="T71" s="50"/>
      <c r="U71" s="151">
        <v>0</v>
      </c>
      <c r="V71" s="54">
        <v>82</v>
      </c>
      <c r="W71" s="75">
        <v>100</v>
      </c>
      <c r="X71" s="80">
        <v>66</v>
      </c>
      <c r="Y71" s="70">
        <v>262</v>
      </c>
      <c r="Z71" s="70">
        <v>508</v>
      </c>
      <c r="AA71" s="64">
        <v>1688.5</v>
      </c>
      <c r="AB71" s="64">
        <v>219.06</v>
      </c>
      <c r="AC71" s="66"/>
      <c r="AD71" s="67"/>
      <c r="AE71" s="68"/>
      <c r="AF71" s="80">
        <v>172</v>
      </c>
      <c r="AG71" s="70">
        <v>253</v>
      </c>
      <c r="AH71" s="70">
        <v>60</v>
      </c>
      <c r="AI71" s="70">
        <v>108</v>
      </c>
      <c r="AJ71" s="70">
        <v>81</v>
      </c>
      <c r="AK71" s="70">
        <v>216</v>
      </c>
      <c r="AL71" s="70">
        <v>189</v>
      </c>
      <c r="AM71" s="70">
        <v>139</v>
      </c>
      <c r="AN71" s="70">
        <v>227</v>
      </c>
      <c r="AO71" s="70">
        <v>1</v>
      </c>
      <c r="AP71" s="70">
        <v>224</v>
      </c>
      <c r="AQ71" s="70">
        <v>50</v>
      </c>
      <c r="AR71" s="63"/>
      <c r="AS71" s="63"/>
      <c r="AT71" s="63"/>
      <c r="AU71" s="63"/>
      <c r="AV71" s="63"/>
      <c r="AW71" s="50"/>
      <c r="AX71" s="80">
        <v>4122</v>
      </c>
      <c r="AY71" s="70">
        <v>18366</v>
      </c>
      <c r="AZ71" s="54">
        <v>805</v>
      </c>
      <c r="BA71" s="54">
        <v>1725</v>
      </c>
      <c r="BB71" s="54">
        <v>466</v>
      </c>
      <c r="BC71" s="54">
        <v>1079</v>
      </c>
      <c r="BD71" s="54">
        <v>1211</v>
      </c>
      <c r="BE71" s="70">
        <v>1666</v>
      </c>
      <c r="BF71" s="63"/>
      <c r="BG71" s="71">
        <v>1980</v>
      </c>
      <c r="BH71" s="67"/>
      <c r="BI71" s="68"/>
      <c r="BJ71" s="72">
        <v>1073</v>
      </c>
      <c r="BK71" s="62"/>
      <c r="BL71" s="70">
        <v>1872</v>
      </c>
      <c r="BM71" s="70">
        <v>72</v>
      </c>
      <c r="BN71" s="70">
        <v>214</v>
      </c>
      <c r="BO71" s="70">
        <v>769</v>
      </c>
      <c r="BP71" s="73">
        <v>18</v>
      </c>
      <c r="BQ71" s="152">
        <v>986</v>
      </c>
      <c r="BR71" s="153">
        <v>443</v>
      </c>
      <c r="BS71" s="154">
        <v>93</v>
      </c>
      <c r="BT71" s="76">
        <v>78.522656734947233</v>
      </c>
      <c r="BU71" s="77">
        <v>21.477343265052763</v>
      </c>
      <c r="BV71" s="78">
        <v>1265</v>
      </c>
      <c r="BW71" s="79">
        <v>346</v>
      </c>
      <c r="BX71" s="69">
        <v>751</v>
      </c>
      <c r="BY71" s="70">
        <v>184</v>
      </c>
      <c r="BZ71" s="70">
        <v>256</v>
      </c>
      <c r="CA71" s="70">
        <v>330</v>
      </c>
      <c r="CB71" s="70">
        <v>4</v>
      </c>
      <c r="CC71" s="70">
        <v>76</v>
      </c>
      <c r="CD71" s="70">
        <v>10</v>
      </c>
      <c r="CE71" s="73">
        <v>0</v>
      </c>
    </row>
    <row r="72" spans="2:83" x14ac:dyDescent="0.3">
      <c r="B72" s="46">
        <v>12</v>
      </c>
      <c r="C72" s="150">
        <v>43181</v>
      </c>
      <c r="D72" s="74">
        <v>5</v>
      </c>
      <c r="E72" s="54">
        <v>1752</v>
      </c>
      <c r="F72" s="75">
        <v>298</v>
      </c>
      <c r="G72" s="51">
        <v>4.2298406566875908</v>
      </c>
      <c r="H72" s="52">
        <v>5.8634538152610443</v>
      </c>
      <c r="I72" s="53">
        <v>1494</v>
      </c>
      <c r="J72" s="54">
        <v>2071</v>
      </c>
      <c r="K72" s="54">
        <v>8760</v>
      </c>
      <c r="L72" s="55">
        <v>9314.2000000000007</v>
      </c>
      <c r="M72" s="55">
        <v>543.68899999999996</v>
      </c>
      <c r="N72" s="57">
        <v>1314</v>
      </c>
      <c r="O72" s="58">
        <v>581.88</v>
      </c>
      <c r="P72" s="59">
        <v>15.05465044339039</v>
      </c>
      <c r="Q72" s="60">
        <v>740.65</v>
      </c>
      <c r="R72" s="61">
        <v>11.827448862485655</v>
      </c>
      <c r="S72" s="48"/>
      <c r="T72" s="50"/>
      <c r="U72" s="151">
        <v>0</v>
      </c>
      <c r="V72" s="54">
        <v>80</v>
      </c>
      <c r="W72" s="75">
        <v>32</v>
      </c>
      <c r="X72" s="80">
        <v>55</v>
      </c>
      <c r="Y72" s="70">
        <v>120</v>
      </c>
      <c r="Z72" s="70">
        <v>258</v>
      </c>
      <c r="AA72" s="64">
        <v>684.8</v>
      </c>
      <c r="AB72" s="64">
        <v>45.118000000000002</v>
      </c>
      <c r="AC72" s="66"/>
      <c r="AD72" s="67"/>
      <c r="AE72" s="68"/>
      <c r="AF72" s="80">
        <v>154</v>
      </c>
      <c r="AG72" s="70">
        <v>270</v>
      </c>
      <c r="AH72" s="70">
        <v>50</v>
      </c>
      <c r="AI72" s="70">
        <v>103</v>
      </c>
      <c r="AJ72" s="70">
        <v>85</v>
      </c>
      <c r="AK72" s="70">
        <v>153</v>
      </c>
      <c r="AL72" s="70">
        <v>138</v>
      </c>
      <c r="AM72" s="70">
        <v>134</v>
      </c>
      <c r="AN72" s="70">
        <v>139</v>
      </c>
      <c r="AO72" s="70">
        <v>2</v>
      </c>
      <c r="AP72" s="70">
        <v>221</v>
      </c>
      <c r="AQ72" s="70">
        <v>55</v>
      </c>
      <c r="AR72" s="63"/>
      <c r="AS72" s="63"/>
      <c r="AT72" s="63"/>
      <c r="AU72" s="63"/>
      <c r="AV72" s="63"/>
      <c r="AW72" s="50"/>
      <c r="AX72" s="80">
        <v>5775</v>
      </c>
      <c r="AY72" s="70">
        <v>34402</v>
      </c>
      <c r="AZ72" s="54">
        <v>1441</v>
      </c>
      <c r="BA72" s="54">
        <v>3320</v>
      </c>
      <c r="BB72" s="54">
        <v>401</v>
      </c>
      <c r="BC72" s="54">
        <v>895</v>
      </c>
      <c r="BD72" s="54">
        <v>1493</v>
      </c>
      <c r="BE72" s="70">
        <v>1827</v>
      </c>
      <c r="BF72" s="63"/>
      <c r="BG72" s="71">
        <v>1801</v>
      </c>
      <c r="BH72" s="67"/>
      <c r="BI72" s="68"/>
      <c r="BJ72" s="72">
        <v>1031</v>
      </c>
      <c r="BK72" s="62"/>
      <c r="BL72" s="70">
        <v>2494</v>
      </c>
      <c r="BM72" s="70">
        <v>159</v>
      </c>
      <c r="BN72" s="70">
        <v>117</v>
      </c>
      <c r="BO72" s="70">
        <v>737</v>
      </c>
      <c r="BP72" s="73">
        <v>18</v>
      </c>
      <c r="BQ72" s="152">
        <v>867</v>
      </c>
      <c r="BR72" s="153">
        <v>406</v>
      </c>
      <c r="BS72" s="154">
        <v>72</v>
      </c>
      <c r="BT72" s="76">
        <v>74.033898305084747</v>
      </c>
      <c r="BU72" s="77">
        <v>25.966101694915253</v>
      </c>
      <c r="BV72" s="78">
        <v>1092</v>
      </c>
      <c r="BW72" s="79">
        <v>383</v>
      </c>
      <c r="BX72" s="69">
        <v>703</v>
      </c>
      <c r="BY72" s="70">
        <v>144</v>
      </c>
      <c r="BZ72" s="70">
        <v>279</v>
      </c>
      <c r="CA72" s="70">
        <v>245</v>
      </c>
      <c r="CB72" s="70">
        <v>8</v>
      </c>
      <c r="CC72" s="70">
        <v>91</v>
      </c>
      <c r="CD72" s="70">
        <v>5</v>
      </c>
      <c r="CE72" s="73">
        <v>0</v>
      </c>
    </row>
    <row r="73" spans="2:83" x14ac:dyDescent="0.3">
      <c r="B73" s="46">
        <v>12</v>
      </c>
      <c r="C73" s="150">
        <v>43182</v>
      </c>
      <c r="D73" s="74">
        <v>6</v>
      </c>
      <c r="E73" s="54">
        <v>2039</v>
      </c>
      <c r="F73" s="75">
        <v>277</v>
      </c>
      <c r="G73" s="51">
        <v>2.8036509349955478</v>
      </c>
      <c r="H73" s="52">
        <v>3.5859908883826881</v>
      </c>
      <c r="I73" s="53">
        <v>1756</v>
      </c>
      <c r="J73" s="54">
        <v>2246</v>
      </c>
      <c r="K73" s="54">
        <v>6297</v>
      </c>
      <c r="L73" s="55">
        <v>4371.2</v>
      </c>
      <c r="M73" s="55">
        <v>424.81</v>
      </c>
      <c r="N73" s="57">
        <v>944.55</v>
      </c>
      <c r="O73" s="58">
        <v>518.92999999999995</v>
      </c>
      <c r="P73" s="59">
        <v>12.134584626057466</v>
      </c>
      <c r="Q73" s="60">
        <v>664.9799999999999</v>
      </c>
      <c r="R73" s="61">
        <v>9.4694577280519727</v>
      </c>
      <c r="S73" s="48"/>
      <c r="T73" s="50"/>
      <c r="U73" s="151">
        <v>0</v>
      </c>
      <c r="V73" s="54">
        <v>136</v>
      </c>
      <c r="W73" s="75">
        <v>27</v>
      </c>
      <c r="X73" s="80">
        <v>48</v>
      </c>
      <c r="Y73" s="70">
        <v>143</v>
      </c>
      <c r="Z73" s="70">
        <v>189</v>
      </c>
      <c r="AA73" s="64">
        <v>227.9</v>
      </c>
      <c r="AB73" s="64">
        <v>32.975999999999999</v>
      </c>
      <c r="AC73" s="66"/>
      <c r="AD73" s="67"/>
      <c r="AE73" s="68"/>
      <c r="AF73" s="80">
        <v>184</v>
      </c>
      <c r="AG73" s="70">
        <v>301</v>
      </c>
      <c r="AH73" s="70">
        <v>63</v>
      </c>
      <c r="AI73" s="70">
        <v>116</v>
      </c>
      <c r="AJ73" s="70">
        <v>120</v>
      </c>
      <c r="AK73" s="70">
        <v>301</v>
      </c>
      <c r="AL73" s="70">
        <v>188</v>
      </c>
      <c r="AM73" s="70">
        <v>157</v>
      </c>
      <c r="AN73" s="70">
        <v>184</v>
      </c>
      <c r="AO73" s="70">
        <v>44</v>
      </c>
      <c r="AP73" s="70">
        <v>149</v>
      </c>
      <c r="AQ73" s="70">
        <v>68</v>
      </c>
      <c r="AR73" s="63"/>
      <c r="AS73" s="63"/>
      <c r="AT73" s="63"/>
      <c r="AU73" s="63"/>
      <c r="AV73" s="63"/>
      <c r="AW73" s="50"/>
      <c r="AX73" s="80">
        <v>4101</v>
      </c>
      <c r="AY73" s="70">
        <v>22818</v>
      </c>
      <c r="AZ73" s="54">
        <v>1149</v>
      </c>
      <c r="BA73" s="54">
        <v>4224</v>
      </c>
      <c r="BB73" s="54">
        <v>260</v>
      </c>
      <c r="BC73" s="54">
        <v>696</v>
      </c>
      <c r="BD73" s="54">
        <v>1110</v>
      </c>
      <c r="BE73" s="70">
        <v>1448</v>
      </c>
      <c r="BF73" s="63"/>
      <c r="BG73" s="71">
        <v>1435</v>
      </c>
      <c r="BH73" s="67"/>
      <c r="BI73" s="68"/>
      <c r="BJ73" s="72">
        <v>1019</v>
      </c>
      <c r="BK73" s="62"/>
      <c r="BL73" s="70">
        <v>1549</v>
      </c>
      <c r="BM73" s="70">
        <v>132</v>
      </c>
      <c r="BN73" s="70">
        <v>190</v>
      </c>
      <c r="BO73" s="70">
        <v>672</v>
      </c>
      <c r="BP73" s="73">
        <v>25</v>
      </c>
      <c r="BQ73" s="152">
        <v>1134</v>
      </c>
      <c r="BR73" s="153">
        <v>352</v>
      </c>
      <c r="BS73" s="154">
        <v>67</v>
      </c>
      <c r="BT73" s="76">
        <v>83.933676386506576</v>
      </c>
      <c r="BU73" s="77">
        <v>16.066323613493424</v>
      </c>
      <c r="BV73" s="78">
        <v>1468</v>
      </c>
      <c r="BW73" s="79">
        <v>281</v>
      </c>
      <c r="BX73" s="69">
        <v>704</v>
      </c>
      <c r="BY73" s="70">
        <v>243</v>
      </c>
      <c r="BZ73" s="70">
        <v>89</v>
      </c>
      <c r="CA73" s="70">
        <v>521</v>
      </c>
      <c r="CB73" s="70">
        <v>17</v>
      </c>
      <c r="CC73" s="70">
        <v>163</v>
      </c>
      <c r="CD73" s="70">
        <v>12</v>
      </c>
      <c r="CE73" s="73">
        <v>0</v>
      </c>
    </row>
    <row r="74" spans="2:83" x14ac:dyDescent="0.3">
      <c r="B74" s="46">
        <v>13</v>
      </c>
      <c r="C74" s="150">
        <v>43185</v>
      </c>
      <c r="D74" s="74">
        <v>38</v>
      </c>
      <c r="E74" s="54">
        <v>2595</v>
      </c>
      <c r="F74" s="75">
        <v>155</v>
      </c>
      <c r="G74" s="51">
        <v>2.702067998597967</v>
      </c>
      <c r="H74" s="52">
        <v>3.3488271068635971</v>
      </c>
      <c r="I74" s="53">
        <v>2302</v>
      </c>
      <c r="J74" s="54">
        <v>2853</v>
      </c>
      <c r="K74" s="54">
        <v>7709</v>
      </c>
      <c r="L74" s="55">
        <v>5975.7</v>
      </c>
      <c r="M74" s="55">
        <v>446.78399999999999</v>
      </c>
      <c r="N74" s="57">
        <v>1156.3499999999999</v>
      </c>
      <c r="O74" s="58">
        <v>490.2</v>
      </c>
      <c r="P74" s="59">
        <v>15.72623419012648</v>
      </c>
      <c r="Q74" s="60">
        <v>614.96</v>
      </c>
      <c r="R74" s="61">
        <v>12.535774684532326</v>
      </c>
      <c r="S74" s="48"/>
      <c r="T74" s="50"/>
      <c r="U74" s="151">
        <v>0</v>
      </c>
      <c r="V74" s="54">
        <v>85</v>
      </c>
      <c r="W74" s="75">
        <v>22</v>
      </c>
      <c r="X74" s="80">
        <v>36</v>
      </c>
      <c r="Y74" s="70">
        <v>115</v>
      </c>
      <c r="Z74" s="70">
        <v>196</v>
      </c>
      <c r="AA74" s="64">
        <v>1349.4</v>
      </c>
      <c r="AB74" s="64">
        <v>23.86</v>
      </c>
      <c r="AC74" s="66"/>
      <c r="AD74" s="67"/>
      <c r="AE74" s="68"/>
      <c r="AF74" s="80">
        <v>246</v>
      </c>
      <c r="AG74" s="70">
        <v>439</v>
      </c>
      <c r="AH74" s="70">
        <v>147</v>
      </c>
      <c r="AI74" s="70">
        <v>185</v>
      </c>
      <c r="AJ74" s="70">
        <v>149</v>
      </c>
      <c r="AK74" s="70">
        <v>310</v>
      </c>
      <c r="AL74" s="70">
        <v>181</v>
      </c>
      <c r="AM74" s="70">
        <v>159</v>
      </c>
      <c r="AN74" s="70">
        <v>150</v>
      </c>
      <c r="AO74" s="70">
        <v>139</v>
      </c>
      <c r="AP74" s="70">
        <v>173</v>
      </c>
      <c r="AQ74" s="70">
        <v>88</v>
      </c>
      <c r="AR74" s="63"/>
      <c r="AS74" s="63"/>
      <c r="AT74" s="63"/>
      <c r="AU74" s="63"/>
      <c r="AV74" s="63"/>
      <c r="AW74" s="50"/>
      <c r="AX74" s="80">
        <v>2649</v>
      </c>
      <c r="AY74" s="70">
        <v>9695</v>
      </c>
      <c r="AZ74" s="54">
        <v>897</v>
      </c>
      <c r="BA74" s="54">
        <v>2930</v>
      </c>
      <c r="BB74" s="54">
        <v>221</v>
      </c>
      <c r="BC74" s="54">
        <v>431</v>
      </c>
      <c r="BD74" s="54">
        <v>983</v>
      </c>
      <c r="BE74" s="70">
        <v>1371</v>
      </c>
      <c r="BF74" s="63"/>
      <c r="BG74" s="71">
        <v>1493</v>
      </c>
      <c r="BH74" s="67"/>
      <c r="BI74" s="68"/>
      <c r="BJ74" s="72">
        <v>641</v>
      </c>
      <c r="BK74" s="62"/>
      <c r="BL74" s="70">
        <v>2240</v>
      </c>
      <c r="BM74" s="70">
        <v>225</v>
      </c>
      <c r="BN74" s="70">
        <v>39</v>
      </c>
      <c r="BO74" s="70">
        <v>367</v>
      </c>
      <c r="BP74" s="73">
        <v>10</v>
      </c>
      <c r="BQ74" s="152">
        <v>1579</v>
      </c>
      <c r="BR74" s="153">
        <v>327</v>
      </c>
      <c r="BS74" s="154">
        <v>69</v>
      </c>
      <c r="BT74" s="76">
        <v>78.66145154280747</v>
      </c>
      <c r="BU74" s="77">
        <v>21.338548457192523</v>
      </c>
      <c r="BV74" s="78">
        <v>1810</v>
      </c>
      <c r="BW74" s="79">
        <v>491</v>
      </c>
      <c r="BX74" s="69">
        <v>1035</v>
      </c>
      <c r="BY74" s="70">
        <v>165</v>
      </c>
      <c r="BZ74" s="70">
        <v>175</v>
      </c>
      <c r="CA74" s="70">
        <v>610</v>
      </c>
      <c r="CB74" s="70">
        <v>8</v>
      </c>
      <c r="CC74" s="70">
        <v>248</v>
      </c>
      <c r="CD74" s="70">
        <v>4</v>
      </c>
      <c r="CE74" s="73">
        <v>56</v>
      </c>
    </row>
    <row r="75" spans="2:83" x14ac:dyDescent="0.3">
      <c r="B75" s="46">
        <v>13</v>
      </c>
      <c r="C75" s="150">
        <v>43186</v>
      </c>
      <c r="D75" s="74">
        <v>4</v>
      </c>
      <c r="E75" s="54">
        <v>2090</v>
      </c>
      <c r="F75" s="75">
        <v>302</v>
      </c>
      <c r="G75" s="51">
        <v>2.8915154073448712</v>
      </c>
      <c r="H75" s="52">
        <v>3.8678712591756068</v>
      </c>
      <c r="I75" s="53">
        <v>1771</v>
      </c>
      <c r="J75" s="54">
        <v>2369</v>
      </c>
      <c r="K75" s="54">
        <v>6850</v>
      </c>
      <c r="L75" s="55">
        <v>5020.8</v>
      </c>
      <c r="M75" s="55">
        <v>464.56</v>
      </c>
      <c r="N75" s="57">
        <v>1027.5</v>
      </c>
      <c r="O75" s="58">
        <v>528.89</v>
      </c>
      <c r="P75" s="59">
        <v>12.951653462912894</v>
      </c>
      <c r="Q75" s="60">
        <v>667.43</v>
      </c>
      <c r="R75" s="61">
        <v>10.263248580375471</v>
      </c>
      <c r="S75" s="48"/>
      <c r="T75" s="50"/>
      <c r="U75" s="151">
        <v>0</v>
      </c>
      <c r="V75" s="54">
        <v>64</v>
      </c>
      <c r="W75" s="75">
        <v>92</v>
      </c>
      <c r="X75" s="80">
        <v>52</v>
      </c>
      <c r="Y75" s="70">
        <v>105</v>
      </c>
      <c r="Z75" s="70">
        <v>314</v>
      </c>
      <c r="AA75" s="64">
        <v>548.1</v>
      </c>
      <c r="AB75" s="64">
        <v>60.8</v>
      </c>
      <c r="AC75" s="66"/>
      <c r="AD75" s="67"/>
      <c r="AE75" s="68"/>
      <c r="AF75" s="80">
        <v>177</v>
      </c>
      <c r="AG75" s="70">
        <v>333</v>
      </c>
      <c r="AH75" s="70">
        <v>91</v>
      </c>
      <c r="AI75" s="70">
        <v>104</v>
      </c>
      <c r="AJ75" s="70">
        <v>90</v>
      </c>
      <c r="AK75" s="70">
        <v>218</v>
      </c>
      <c r="AL75" s="70">
        <v>153</v>
      </c>
      <c r="AM75" s="70">
        <v>134</v>
      </c>
      <c r="AN75" s="70">
        <v>175</v>
      </c>
      <c r="AO75" s="70">
        <v>194</v>
      </c>
      <c r="AP75" s="70">
        <v>180</v>
      </c>
      <c r="AQ75" s="70">
        <v>76</v>
      </c>
      <c r="AR75" s="63"/>
      <c r="AS75" s="63"/>
      <c r="AT75" s="63"/>
      <c r="AU75" s="63"/>
      <c r="AV75" s="63"/>
      <c r="AW75" s="50"/>
      <c r="AX75" s="80">
        <v>4101</v>
      </c>
      <c r="AY75" s="70">
        <v>18705</v>
      </c>
      <c r="AZ75" s="54">
        <v>1859</v>
      </c>
      <c r="BA75" s="54">
        <v>5695</v>
      </c>
      <c r="BB75" s="54">
        <v>249</v>
      </c>
      <c r="BC75" s="54">
        <v>432</v>
      </c>
      <c r="BD75" s="54">
        <v>1157</v>
      </c>
      <c r="BE75" s="70">
        <v>1690</v>
      </c>
      <c r="BF75" s="63"/>
      <c r="BG75" s="71">
        <v>1605</v>
      </c>
      <c r="BH75" s="67"/>
      <c r="BI75" s="68"/>
      <c r="BJ75" s="72">
        <v>1102</v>
      </c>
      <c r="BK75" s="62"/>
      <c r="BL75" s="70">
        <v>1742</v>
      </c>
      <c r="BM75" s="70">
        <v>172</v>
      </c>
      <c r="BN75" s="70">
        <v>201</v>
      </c>
      <c r="BO75" s="70">
        <v>724</v>
      </c>
      <c r="BP75" s="73">
        <v>5</v>
      </c>
      <c r="BQ75" s="152">
        <v>1024</v>
      </c>
      <c r="BR75" s="153">
        <v>388</v>
      </c>
      <c r="BS75" s="154">
        <v>121</v>
      </c>
      <c r="BT75" s="76">
        <v>77.463193657984149</v>
      </c>
      <c r="BU75" s="77">
        <v>22.536806342015854</v>
      </c>
      <c r="BV75" s="78">
        <v>1368</v>
      </c>
      <c r="BW75" s="79">
        <v>398</v>
      </c>
      <c r="BX75" s="69">
        <v>732</v>
      </c>
      <c r="BY75" s="70">
        <v>214</v>
      </c>
      <c r="BZ75" s="70">
        <v>170</v>
      </c>
      <c r="CA75" s="70">
        <v>422</v>
      </c>
      <c r="CB75" s="70">
        <v>14</v>
      </c>
      <c r="CC75" s="70">
        <v>195</v>
      </c>
      <c r="CD75" s="70">
        <v>16</v>
      </c>
      <c r="CE75" s="73">
        <v>3</v>
      </c>
    </row>
    <row r="76" spans="2:83" x14ac:dyDescent="0.3">
      <c r="B76" s="46">
        <v>13</v>
      </c>
      <c r="C76" s="150">
        <v>43187</v>
      </c>
      <c r="D76" s="74">
        <v>40</v>
      </c>
      <c r="E76" s="54">
        <v>1349</v>
      </c>
      <c r="F76" s="75">
        <v>289</v>
      </c>
      <c r="G76" s="51">
        <v>3.5622817229336436</v>
      </c>
      <c r="H76" s="52">
        <v>5.3171155516941786</v>
      </c>
      <c r="I76" s="53">
        <v>1151</v>
      </c>
      <c r="J76" s="54">
        <v>1718</v>
      </c>
      <c r="K76" s="54">
        <v>6120</v>
      </c>
      <c r="L76" s="55">
        <v>6985.4</v>
      </c>
      <c r="M76" s="55">
        <v>567.34100000000001</v>
      </c>
      <c r="N76" s="57">
        <v>918</v>
      </c>
      <c r="O76" s="58">
        <v>447.46000000000004</v>
      </c>
      <c r="P76" s="59">
        <v>13.677200196665623</v>
      </c>
      <c r="Q76" s="60">
        <v>579.73</v>
      </c>
      <c r="R76" s="61">
        <v>10.556638435133596</v>
      </c>
      <c r="S76" s="48"/>
      <c r="T76" s="50"/>
      <c r="U76" s="151">
        <v>0</v>
      </c>
      <c r="V76" s="54">
        <v>38</v>
      </c>
      <c r="W76" s="75">
        <v>102</v>
      </c>
      <c r="X76" s="80">
        <v>32</v>
      </c>
      <c r="Y76" s="70">
        <v>156</v>
      </c>
      <c r="Z76" s="70">
        <v>146</v>
      </c>
      <c r="AA76" s="64">
        <v>1775.8</v>
      </c>
      <c r="AB76" s="64">
        <v>157.346</v>
      </c>
      <c r="AC76" s="66"/>
      <c r="AD76" s="67"/>
      <c r="AE76" s="68"/>
      <c r="AF76" s="80">
        <v>122</v>
      </c>
      <c r="AG76" s="70">
        <v>185</v>
      </c>
      <c r="AH76" s="70">
        <v>37</v>
      </c>
      <c r="AI76" s="70">
        <v>74</v>
      </c>
      <c r="AJ76" s="70">
        <v>55</v>
      </c>
      <c r="AK76" s="70">
        <v>150</v>
      </c>
      <c r="AL76" s="70">
        <v>88</v>
      </c>
      <c r="AM76" s="70">
        <v>70</v>
      </c>
      <c r="AN76" s="70">
        <v>162</v>
      </c>
      <c r="AO76" s="70">
        <v>110</v>
      </c>
      <c r="AP76" s="70">
        <v>148</v>
      </c>
      <c r="AQ76" s="70">
        <v>58</v>
      </c>
      <c r="AR76" s="63"/>
      <c r="AS76" s="63"/>
      <c r="AT76" s="63"/>
      <c r="AU76" s="63"/>
      <c r="AV76" s="63"/>
      <c r="AW76" s="50"/>
      <c r="AX76" s="80">
        <v>4261</v>
      </c>
      <c r="AY76" s="70">
        <v>17599</v>
      </c>
      <c r="AZ76" s="54">
        <v>1144</v>
      </c>
      <c r="BA76" s="54">
        <v>5814</v>
      </c>
      <c r="BB76" s="54">
        <v>286</v>
      </c>
      <c r="BC76" s="54">
        <v>582</v>
      </c>
      <c r="BD76" s="54">
        <v>900</v>
      </c>
      <c r="BE76" s="70">
        <v>1613</v>
      </c>
      <c r="BF76" s="63"/>
      <c r="BG76" s="71">
        <v>1171</v>
      </c>
      <c r="BH76" s="67"/>
      <c r="BI76" s="68"/>
      <c r="BJ76" s="72">
        <v>887</v>
      </c>
      <c r="BK76" s="62"/>
      <c r="BL76" s="70">
        <v>1701</v>
      </c>
      <c r="BM76" s="70">
        <v>178</v>
      </c>
      <c r="BN76" s="70">
        <v>206</v>
      </c>
      <c r="BO76" s="70">
        <v>478</v>
      </c>
      <c r="BP76" s="73">
        <v>25</v>
      </c>
      <c r="BQ76" s="152">
        <v>684</v>
      </c>
      <c r="BR76" s="153">
        <v>223</v>
      </c>
      <c r="BS76" s="154">
        <v>80</v>
      </c>
      <c r="BT76" s="76">
        <v>73.053368328958882</v>
      </c>
      <c r="BU76" s="77">
        <v>26.946631671041121</v>
      </c>
      <c r="BV76" s="78">
        <v>835</v>
      </c>
      <c r="BW76" s="79">
        <v>308</v>
      </c>
      <c r="BX76" s="69">
        <v>464</v>
      </c>
      <c r="BY76" s="70">
        <v>99</v>
      </c>
      <c r="BZ76" s="70">
        <v>148</v>
      </c>
      <c r="CA76" s="70">
        <v>272</v>
      </c>
      <c r="CB76" s="70">
        <v>10</v>
      </c>
      <c r="CC76" s="70">
        <v>128</v>
      </c>
      <c r="CD76" s="70">
        <v>22</v>
      </c>
      <c r="CE76" s="73">
        <v>0</v>
      </c>
    </row>
    <row r="77" spans="2:83" x14ac:dyDescent="0.3">
      <c r="B77" s="46">
        <v>13</v>
      </c>
      <c r="C77" s="150">
        <v>43188</v>
      </c>
      <c r="D77" s="74">
        <v>8</v>
      </c>
      <c r="E77" s="54">
        <v>1543</v>
      </c>
      <c r="F77" s="75">
        <v>188</v>
      </c>
      <c r="G77" s="51">
        <v>4.035077630822312</v>
      </c>
      <c r="H77" s="52">
        <v>5.8523769808173478</v>
      </c>
      <c r="I77" s="53">
        <v>1199</v>
      </c>
      <c r="J77" s="54">
        <v>1739</v>
      </c>
      <c r="K77" s="54">
        <v>7017</v>
      </c>
      <c r="L77" s="55">
        <v>3527.3</v>
      </c>
      <c r="M77" s="55">
        <v>402.5</v>
      </c>
      <c r="N77" s="57">
        <v>1052.55</v>
      </c>
      <c r="O77" s="58">
        <v>414.28</v>
      </c>
      <c r="P77" s="59">
        <v>16.937819831997682</v>
      </c>
      <c r="Q77" s="60">
        <v>535.97</v>
      </c>
      <c r="R77" s="61">
        <v>13.092150680075378</v>
      </c>
      <c r="S77" s="48"/>
      <c r="T77" s="50"/>
      <c r="U77" s="151">
        <v>0</v>
      </c>
      <c r="V77" s="54">
        <v>17</v>
      </c>
      <c r="W77" s="75">
        <v>37</v>
      </c>
      <c r="X77" s="80">
        <v>16</v>
      </c>
      <c r="Y77" s="70">
        <v>74</v>
      </c>
      <c r="Z77" s="70">
        <v>95</v>
      </c>
      <c r="AA77" s="64">
        <v>432.4</v>
      </c>
      <c r="AB77" s="64">
        <v>68.950999999999993</v>
      </c>
      <c r="AC77" s="66"/>
      <c r="AD77" s="67"/>
      <c r="AE77" s="68"/>
      <c r="AF77" s="80">
        <v>125</v>
      </c>
      <c r="AG77" s="70">
        <v>188</v>
      </c>
      <c r="AH77" s="70">
        <v>40</v>
      </c>
      <c r="AI77" s="70">
        <v>96</v>
      </c>
      <c r="AJ77" s="70">
        <v>54</v>
      </c>
      <c r="AK77" s="70">
        <v>134</v>
      </c>
      <c r="AL77" s="70">
        <v>105</v>
      </c>
      <c r="AM77" s="70">
        <v>92</v>
      </c>
      <c r="AN77" s="70">
        <v>198</v>
      </c>
      <c r="AO77" s="70">
        <v>98</v>
      </c>
      <c r="AP77" s="70">
        <v>207</v>
      </c>
      <c r="AQ77" s="70">
        <v>116</v>
      </c>
      <c r="AR77" s="63"/>
      <c r="AS77" s="63"/>
      <c r="AT77" s="63"/>
      <c r="AU77" s="63"/>
      <c r="AV77" s="63"/>
      <c r="AW77" s="50"/>
      <c r="AX77" s="80">
        <v>3935</v>
      </c>
      <c r="AY77" s="70">
        <v>15288</v>
      </c>
      <c r="AZ77" s="54">
        <v>818</v>
      </c>
      <c r="BA77" s="54">
        <v>2628</v>
      </c>
      <c r="BB77" s="54">
        <v>423</v>
      </c>
      <c r="BC77" s="54">
        <v>888</v>
      </c>
      <c r="BD77" s="54">
        <v>995</v>
      </c>
      <c r="BE77" s="70">
        <v>1338</v>
      </c>
      <c r="BF77" s="63"/>
      <c r="BG77" s="71">
        <v>1290</v>
      </c>
      <c r="BH77" s="67"/>
      <c r="BI77" s="68"/>
      <c r="BJ77" s="72">
        <v>954</v>
      </c>
      <c r="BK77" s="62"/>
      <c r="BL77" s="70">
        <v>1669</v>
      </c>
      <c r="BM77" s="70">
        <v>142</v>
      </c>
      <c r="BN77" s="70">
        <v>84</v>
      </c>
      <c r="BO77" s="70">
        <v>718</v>
      </c>
      <c r="BP77" s="73">
        <v>10</v>
      </c>
      <c r="BQ77" s="152">
        <v>703</v>
      </c>
      <c r="BR77" s="153">
        <v>338</v>
      </c>
      <c r="BS77" s="154">
        <v>54</v>
      </c>
      <c r="BT77" s="76">
        <v>72.932330827067673</v>
      </c>
      <c r="BU77" s="77">
        <v>27.06766917293233</v>
      </c>
      <c r="BV77" s="78">
        <v>873</v>
      </c>
      <c r="BW77" s="79">
        <v>324</v>
      </c>
      <c r="BX77" s="69">
        <v>512</v>
      </c>
      <c r="BY77" s="70">
        <v>122</v>
      </c>
      <c r="BZ77" s="70">
        <v>234</v>
      </c>
      <c r="CA77" s="70">
        <v>239</v>
      </c>
      <c r="CB77" s="70">
        <v>5</v>
      </c>
      <c r="CC77" s="70">
        <v>81</v>
      </c>
      <c r="CD77" s="70">
        <v>4</v>
      </c>
      <c r="CE77" s="73">
        <v>0</v>
      </c>
    </row>
    <row r="78" spans="2:83" x14ac:dyDescent="0.3">
      <c r="B78" s="46">
        <v>14</v>
      </c>
      <c r="C78" s="150">
        <v>43193</v>
      </c>
      <c r="D78" s="74">
        <v>3</v>
      </c>
      <c r="E78" s="54">
        <v>3109</v>
      </c>
      <c r="F78" s="75">
        <v>256</v>
      </c>
      <c r="G78" s="51">
        <v>1.6519504082249774</v>
      </c>
      <c r="H78" s="52">
        <v>1.8657786885245902</v>
      </c>
      <c r="I78" s="53">
        <v>2928</v>
      </c>
      <c r="J78" s="54">
        <v>3307</v>
      </c>
      <c r="K78" s="54">
        <v>5463</v>
      </c>
      <c r="L78" s="55">
        <v>4535.7</v>
      </c>
      <c r="M78" s="55">
        <v>419.19600000000003</v>
      </c>
      <c r="N78" s="57">
        <v>819.45</v>
      </c>
      <c r="O78" s="58">
        <v>478.41</v>
      </c>
      <c r="P78" s="59">
        <v>11.41907568821722</v>
      </c>
      <c r="Q78" s="60">
        <v>620.81999999999994</v>
      </c>
      <c r="R78" s="61">
        <v>8.7996520730646566</v>
      </c>
      <c r="S78" s="48"/>
      <c r="T78" s="50"/>
      <c r="U78" s="151">
        <v>0</v>
      </c>
      <c r="V78" s="54">
        <v>55</v>
      </c>
      <c r="W78" s="75">
        <v>84</v>
      </c>
      <c r="X78" s="80">
        <v>47</v>
      </c>
      <c r="Y78" s="70">
        <v>117</v>
      </c>
      <c r="Z78" s="70">
        <v>468</v>
      </c>
      <c r="AA78" s="64">
        <v>1025.3</v>
      </c>
      <c r="AB78" s="64">
        <v>88.781999999999996</v>
      </c>
      <c r="AC78" s="66"/>
      <c r="AD78" s="67"/>
      <c r="AE78" s="68"/>
      <c r="AF78" s="80">
        <v>352</v>
      </c>
      <c r="AG78" s="70">
        <v>601</v>
      </c>
      <c r="AH78" s="70">
        <v>265</v>
      </c>
      <c r="AI78" s="70">
        <v>245</v>
      </c>
      <c r="AJ78" s="70">
        <v>116</v>
      </c>
      <c r="AK78" s="70">
        <v>462</v>
      </c>
      <c r="AL78" s="70">
        <v>228</v>
      </c>
      <c r="AM78" s="70">
        <v>169</v>
      </c>
      <c r="AN78" s="70">
        <v>175</v>
      </c>
      <c r="AO78" s="70">
        <v>112</v>
      </c>
      <c r="AP78" s="70">
        <v>111</v>
      </c>
      <c r="AQ78" s="70">
        <v>110</v>
      </c>
      <c r="AR78" s="63"/>
      <c r="AS78" s="63"/>
      <c r="AT78" s="63"/>
      <c r="AU78" s="63"/>
      <c r="AV78" s="63"/>
      <c r="AW78" s="50"/>
      <c r="AX78" s="80">
        <v>3494</v>
      </c>
      <c r="AY78" s="70">
        <v>14298</v>
      </c>
      <c r="AZ78" s="54">
        <v>343</v>
      </c>
      <c r="BA78" s="54">
        <v>1084</v>
      </c>
      <c r="BB78" s="54">
        <v>386</v>
      </c>
      <c r="BC78" s="54">
        <v>498</v>
      </c>
      <c r="BD78" s="54">
        <v>1608</v>
      </c>
      <c r="BE78" s="70">
        <v>946</v>
      </c>
      <c r="BF78" s="63"/>
      <c r="BG78" s="71">
        <v>2167</v>
      </c>
      <c r="BH78" s="67"/>
      <c r="BI78" s="68"/>
      <c r="BJ78" s="72">
        <v>700</v>
      </c>
      <c r="BK78" s="62"/>
      <c r="BL78" s="70">
        <v>1912</v>
      </c>
      <c r="BM78" s="70">
        <v>82</v>
      </c>
      <c r="BN78" s="70">
        <v>138</v>
      </c>
      <c r="BO78" s="70">
        <v>469</v>
      </c>
      <c r="BP78" s="73">
        <v>11</v>
      </c>
      <c r="BQ78" s="152">
        <v>2387</v>
      </c>
      <c r="BR78" s="153">
        <v>151</v>
      </c>
      <c r="BS78" s="154">
        <v>49</v>
      </c>
      <c r="BT78" s="76">
        <v>86.102511179910564</v>
      </c>
      <c r="BU78" s="77">
        <v>13.897488820089439</v>
      </c>
      <c r="BV78" s="78">
        <v>2503</v>
      </c>
      <c r="BW78" s="79">
        <v>404</v>
      </c>
      <c r="BX78" s="69">
        <v>1668</v>
      </c>
      <c r="BY78" s="70">
        <v>54</v>
      </c>
      <c r="BZ78" s="70">
        <v>90</v>
      </c>
      <c r="CA78" s="70">
        <v>781</v>
      </c>
      <c r="CB78" s="70">
        <v>9</v>
      </c>
      <c r="CC78" s="70">
        <v>267</v>
      </c>
      <c r="CD78" s="70">
        <v>14</v>
      </c>
      <c r="CE78" s="73">
        <v>24</v>
      </c>
    </row>
    <row r="79" spans="2:83" x14ac:dyDescent="0.3">
      <c r="B79" s="46">
        <v>14</v>
      </c>
      <c r="C79" s="150">
        <v>43194</v>
      </c>
      <c r="D79" s="74">
        <v>0</v>
      </c>
      <c r="E79" s="54">
        <v>1780</v>
      </c>
      <c r="F79" s="75">
        <v>284</v>
      </c>
      <c r="G79" s="51">
        <v>3.1372269705603038</v>
      </c>
      <c r="H79" s="52">
        <v>4.1190773067331667</v>
      </c>
      <c r="I79" s="53">
        <v>1604</v>
      </c>
      <c r="J79" s="54">
        <v>2106</v>
      </c>
      <c r="K79" s="54">
        <v>6607</v>
      </c>
      <c r="L79" s="55">
        <v>6153.7</v>
      </c>
      <c r="M79" s="55">
        <v>520.726</v>
      </c>
      <c r="N79" s="57">
        <v>991.05000000000007</v>
      </c>
      <c r="O79" s="58">
        <v>425.28</v>
      </c>
      <c r="P79" s="59">
        <v>15.535647103085028</v>
      </c>
      <c r="Q79" s="60">
        <v>588.72</v>
      </c>
      <c r="R79" s="61">
        <v>11.222652534311727</v>
      </c>
      <c r="S79" s="48"/>
      <c r="T79" s="50"/>
      <c r="U79" s="151">
        <v>0</v>
      </c>
      <c r="V79" s="54">
        <v>74</v>
      </c>
      <c r="W79" s="75">
        <v>51</v>
      </c>
      <c r="X79" s="80">
        <v>72</v>
      </c>
      <c r="Y79" s="70">
        <v>157</v>
      </c>
      <c r="Z79" s="70">
        <v>221</v>
      </c>
      <c r="AA79" s="64">
        <v>637.29999999999995</v>
      </c>
      <c r="AB79" s="64">
        <v>118.68600000000001</v>
      </c>
      <c r="AC79" s="66"/>
      <c r="AD79" s="67"/>
      <c r="AE79" s="68"/>
      <c r="AF79" s="80">
        <v>143</v>
      </c>
      <c r="AG79" s="70">
        <v>215</v>
      </c>
      <c r="AH79" s="70">
        <v>96</v>
      </c>
      <c r="AI79" s="70">
        <v>120</v>
      </c>
      <c r="AJ79" s="70">
        <v>135</v>
      </c>
      <c r="AK79" s="70">
        <v>203</v>
      </c>
      <c r="AL79" s="70">
        <v>179</v>
      </c>
      <c r="AM79" s="70">
        <v>94</v>
      </c>
      <c r="AN79" s="70">
        <v>169</v>
      </c>
      <c r="AO79" s="70">
        <v>130</v>
      </c>
      <c r="AP79" s="70">
        <v>117</v>
      </c>
      <c r="AQ79" s="70">
        <v>73</v>
      </c>
      <c r="AR79" s="63"/>
      <c r="AS79" s="63"/>
      <c r="AT79" s="63"/>
      <c r="AU79" s="63"/>
      <c r="AV79" s="63"/>
      <c r="AW79" s="50"/>
      <c r="AX79" s="80">
        <v>3027</v>
      </c>
      <c r="AY79" s="70">
        <v>17848</v>
      </c>
      <c r="AZ79" s="54">
        <v>349</v>
      </c>
      <c r="BA79" s="54">
        <v>1558</v>
      </c>
      <c r="BB79" s="54">
        <v>201</v>
      </c>
      <c r="BC79" s="54">
        <v>356</v>
      </c>
      <c r="BD79" s="54">
        <v>898</v>
      </c>
      <c r="BE79" s="70">
        <v>769</v>
      </c>
      <c r="BF79" s="63"/>
      <c r="BG79" s="71">
        <v>1174</v>
      </c>
      <c r="BH79" s="67"/>
      <c r="BI79" s="68"/>
      <c r="BJ79" s="72">
        <v>631</v>
      </c>
      <c r="BK79" s="62"/>
      <c r="BL79" s="70">
        <v>1628</v>
      </c>
      <c r="BM79" s="70">
        <v>110</v>
      </c>
      <c r="BN79" s="70">
        <v>145</v>
      </c>
      <c r="BO79" s="70">
        <v>354</v>
      </c>
      <c r="BP79" s="73">
        <v>22</v>
      </c>
      <c r="BQ79" s="152">
        <v>984</v>
      </c>
      <c r="BR79" s="153">
        <v>336</v>
      </c>
      <c r="BS79" s="154">
        <v>67</v>
      </c>
      <c r="BT79" s="76">
        <v>77.12130735386549</v>
      </c>
      <c r="BU79" s="77">
        <v>22.878692646134507</v>
      </c>
      <c r="BV79" s="78">
        <v>1227</v>
      </c>
      <c r="BW79" s="79">
        <v>364</v>
      </c>
      <c r="BX79" s="69">
        <v>734</v>
      </c>
      <c r="BY79" s="70">
        <v>173</v>
      </c>
      <c r="BZ79" s="70">
        <v>201</v>
      </c>
      <c r="CA79" s="70">
        <v>320</v>
      </c>
      <c r="CB79" s="70">
        <v>6</v>
      </c>
      <c r="CC79" s="70">
        <v>152</v>
      </c>
      <c r="CD79" s="70">
        <v>5</v>
      </c>
      <c r="CE79" s="73">
        <v>0</v>
      </c>
    </row>
    <row r="80" spans="2:83" x14ac:dyDescent="0.3">
      <c r="B80" s="46">
        <v>14</v>
      </c>
      <c r="C80" s="150">
        <v>43195</v>
      </c>
      <c r="D80" s="74">
        <v>8</v>
      </c>
      <c r="E80" s="54">
        <v>1420</v>
      </c>
      <c r="F80" s="75">
        <v>350</v>
      </c>
      <c r="G80" s="51">
        <v>4.3201133144475925</v>
      </c>
      <c r="H80" s="52">
        <v>5.7808946171341926</v>
      </c>
      <c r="I80" s="53">
        <v>1319</v>
      </c>
      <c r="J80" s="54">
        <v>1765</v>
      </c>
      <c r="K80" s="54">
        <v>7625</v>
      </c>
      <c r="L80" s="55">
        <v>6723.8</v>
      </c>
      <c r="M80" s="55">
        <v>545.67200000000003</v>
      </c>
      <c r="N80" s="57">
        <v>1143.75</v>
      </c>
      <c r="O80" s="58">
        <v>476.43</v>
      </c>
      <c r="P80" s="59">
        <v>16.00444976176983</v>
      </c>
      <c r="Q80" s="60">
        <v>636.62</v>
      </c>
      <c r="R80" s="61">
        <v>11.977317709151457</v>
      </c>
      <c r="S80" s="48"/>
      <c r="T80" s="50"/>
      <c r="U80" s="151">
        <v>0</v>
      </c>
      <c r="V80" s="54">
        <v>56</v>
      </c>
      <c r="W80" s="75">
        <v>21</v>
      </c>
      <c r="X80" s="80">
        <v>51</v>
      </c>
      <c r="Y80" s="70">
        <v>77</v>
      </c>
      <c r="Z80" s="70">
        <v>334</v>
      </c>
      <c r="AA80" s="64">
        <v>309.8</v>
      </c>
      <c r="AB80" s="64">
        <v>28.161000000000001</v>
      </c>
      <c r="AC80" s="66"/>
      <c r="AD80" s="67"/>
      <c r="AE80" s="68"/>
      <c r="AF80" s="80">
        <v>127</v>
      </c>
      <c r="AG80" s="70">
        <v>236</v>
      </c>
      <c r="AH80" s="70">
        <v>48</v>
      </c>
      <c r="AI80" s="70">
        <v>79</v>
      </c>
      <c r="AJ80" s="70">
        <v>60</v>
      </c>
      <c r="AK80" s="70">
        <v>174</v>
      </c>
      <c r="AL80" s="70">
        <v>107</v>
      </c>
      <c r="AM80" s="70">
        <v>95</v>
      </c>
      <c r="AN80" s="70">
        <v>172</v>
      </c>
      <c r="AO80" s="70">
        <v>109</v>
      </c>
      <c r="AP80" s="70">
        <v>111</v>
      </c>
      <c r="AQ80" s="70">
        <v>63</v>
      </c>
      <c r="AR80" s="63"/>
      <c r="AS80" s="63"/>
      <c r="AT80" s="63"/>
      <c r="AU80" s="63"/>
      <c r="AV80" s="63"/>
      <c r="AW80" s="50"/>
      <c r="AX80" s="80">
        <v>3689</v>
      </c>
      <c r="AY80" s="70">
        <v>21485</v>
      </c>
      <c r="AZ80" s="54">
        <v>1651</v>
      </c>
      <c r="BA80" s="54">
        <v>6345</v>
      </c>
      <c r="BB80" s="54">
        <v>321</v>
      </c>
      <c r="BC80" s="54">
        <v>675</v>
      </c>
      <c r="BD80" s="54">
        <v>921</v>
      </c>
      <c r="BE80" s="70">
        <v>1530</v>
      </c>
      <c r="BF80" s="63"/>
      <c r="BG80" s="71">
        <v>1296</v>
      </c>
      <c r="BH80" s="67"/>
      <c r="BI80" s="68"/>
      <c r="BJ80" s="72">
        <v>849</v>
      </c>
      <c r="BK80" s="62"/>
      <c r="BL80" s="70">
        <v>1793</v>
      </c>
      <c r="BM80" s="70">
        <v>191</v>
      </c>
      <c r="BN80" s="70">
        <v>196</v>
      </c>
      <c r="BO80" s="70">
        <v>451</v>
      </c>
      <c r="BP80" s="73">
        <v>11</v>
      </c>
      <c r="BQ80" s="152">
        <v>779</v>
      </c>
      <c r="BR80" s="153">
        <v>286</v>
      </c>
      <c r="BS80" s="154">
        <v>112</v>
      </c>
      <c r="BT80" s="76">
        <v>79.156908665105391</v>
      </c>
      <c r="BU80" s="77">
        <v>20.843091334894613</v>
      </c>
      <c r="BV80" s="78">
        <v>1014</v>
      </c>
      <c r="BW80" s="79">
        <v>267</v>
      </c>
      <c r="BX80" s="69">
        <v>612</v>
      </c>
      <c r="BY80" s="70">
        <v>133</v>
      </c>
      <c r="BZ80" s="70">
        <v>138</v>
      </c>
      <c r="CA80" s="70">
        <v>269</v>
      </c>
      <c r="CB80" s="70">
        <v>12</v>
      </c>
      <c r="CC80" s="70">
        <v>111</v>
      </c>
      <c r="CD80" s="70">
        <v>6</v>
      </c>
      <c r="CE80" s="73">
        <v>0</v>
      </c>
    </row>
    <row r="81" spans="2:83" x14ac:dyDescent="0.3">
      <c r="B81" s="46">
        <v>14</v>
      </c>
      <c r="C81" s="150">
        <v>43196</v>
      </c>
      <c r="D81" s="74">
        <v>20</v>
      </c>
      <c r="E81" s="54">
        <v>1476</v>
      </c>
      <c r="F81" s="75">
        <v>280</v>
      </c>
      <c r="G81" s="51">
        <v>3.5983146067415732</v>
      </c>
      <c r="H81" s="52">
        <v>4.7130242825607063</v>
      </c>
      <c r="I81" s="53">
        <v>1359</v>
      </c>
      <c r="J81" s="54">
        <v>1780</v>
      </c>
      <c r="K81" s="54">
        <v>6405</v>
      </c>
      <c r="L81" s="55">
        <v>6881.1</v>
      </c>
      <c r="M81" s="55">
        <v>444.90800000000002</v>
      </c>
      <c r="N81" s="57">
        <v>960.75</v>
      </c>
      <c r="O81" s="58">
        <v>441.22</v>
      </c>
      <c r="P81" s="59">
        <v>14.516567698653732</v>
      </c>
      <c r="Q81" s="60">
        <v>608.83000000000004</v>
      </c>
      <c r="R81" s="61">
        <v>10.520178046416897</v>
      </c>
      <c r="S81" s="48"/>
      <c r="T81" s="50"/>
      <c r="U81" s="151">
        <v>0</v>
      </c>
      <c r="V81" s="54">
        <v>53</v>
      </c>
      <c r="W81" s="75">
        <v>27</v>
      </c>
      <c r="X81" s="80">
        <v>40</v>
      </c>
      <c r="Y81" s="70">
        <v>85</v>
      </c>
      <c r="Z81" s="70">
        <v>265</v>
      </c>
      <c r="AA81" s="64">
        <v>896.7</v>
      </c>
      <c r="AB81" s="64">
        <v>41.853999999999999</v>
      </c>
      <c r="AC81" s="66"/>
      <c r="AD81" s="67"/>
      <c r="AE81" s="68"/>
      <c r="AF81" s="80">
        <v>191</v>
      </c>
      <c r="AG81" s="70">
        <v>238</v>
      </c>
      <c r="AH81" s="70">
        <v>55</v>
      </c>
      <c r="AI81" s="70">
        <v>99</v>
      </c>
      <c r="AJ81" s="70">
        <v>62</v>
      </c>
      <c r="AK81" s="70">
        <v>204</v>
      </c>
      <c r="AL81" s="70">
        <v>116</v>
      </c>
      <c r="AM81" s="70">
        <v>72</v>
      </c>
      <c r="AN81" s="70">
        <v>167</v>
      </c>
      <c r="AO81" s="70">
        <v>208</v>
      </c>
      <c r="AP81" s="70">
        <v>2</v>
      </c>
      <c r="AQ81" s="70">
        <v>33</v>
      </c>
      <c r="AR81" s="63"/>
      <c r="AS81" s="63"/>
      <c r="AT81" s="63"/>
      <c r="AU81" s="63"/>
      <c r="AV81" s="63"/>
      <c r="AW81" s="50"/>
      <c r="AX81" s="80">
        <v>3102</v>
      </c>
      <c r="AY81" s="70">
        <v>25086</v>
      </c>
      <c r="AZ81" s="54">
        <v>1484</v>
      </c>
      <c r="BA81" s="54">
        <v>3986</v>
      </c>
      <c r="BB81" s="54">
        <v>385</v>
      </c>
      <c r="BC81" s="54">
        <v>790</v>
      </c>
      <c r="BD81" s="54">
        <v>1071</v>
      </c>
      <c r="BE81" s="70">
        <v>1985</v>
      </c>
      <c r="BF81" s="63"/>
      <c r="BG81" s="71">
        <v>1429</v>
      </c>
      <c r="BH81" s="67"/>
      <c r="BI81" s="68"/>
      <c r="BJ81" s="72">
        <v>781</v>
      </c>
      <c r="BK81" s="62"/>
      <c r="BL81" s="70">
        <v>1510</v>
      </c>
      <c r="BM81" s="70">
        <v>95</v>
      </c>
      <c r="BN81" s="70">
        <v>180</v>
      </c>
      <c r="BO81" s="70">
        <v>488</v>
      </c>
      <c r="BP81" s="73">
        <v>18</v>
      </c>
      <c r="BQ81" s="152">
        <v>947</v>
      </c>
      <c r="BR81" s="153">
        <v>182</v>
      </c>
      <c r="BS81" s="154">
        <v>118</v>
      </c>
      <c r="BT81" s="76">
        <v>83.433283358320836</v>
      </c>
      <c r="BU81" s="77">
        <v>16.566716641679161</v>
      </c>
      <c r="BV81" s="78">
        <v>1113</v>
      </c>
      <c r="BW81" s="79">
        <v>221</v>
      </c>
      <c r="BX81" s="69">
        <v>713</v>
      </c>
      <c r="BY81" s="70">
        <v>59</v>
      </c>
      <c r="BZ81" s="70">
        <v>137</v>
      </c>
      <c r="CA81" s="70">
        <v>341</v>
      </c>
      <c r="CB81" s="70">
        <v>5</v>
      </c>
      <c r="CC81" s="70">
        <v>76</v>
      </c>
      <c r="CD81" s="70">
        <v>3</v>
      </c>
      <c r="CE81" s="73">
        <v>0</v>
      </c>
    </row>
    <row r="82" spans="2:83" x14ac:dyDescent="0.3">
      <c r="B82" s="46">
        <v>15</v>
      </c>
      <c r="C82" s="150">
        <v>43199</v>
      </c>
      <c r="D82" s="74">
        <v>6</v>
      </c>
      <c r="E82" s="54">
        <v>2568</v>
      </c>
      <c r="F82" s="75">
        <v>156</v>
      </c>
      <c r="G82" s="51">
        <v>2.9652014652014653</v>
      </c>
      <c r="H82" s="52">
        <v>3.669537624660018</v>
      </c>
      <c r="I82" s="53">
        <v>2206</v>
      </c>
      <c r="J82" s="54">
        <v>2730</v>
      </c>
      <c r="K82" s="54">
        <v>8095</v>
      </c>
      <c r="L82" s="55">
        <v>2643.3</v>
      </c>
      <c r="M82" s="55">
        <v>338.77300000000002</v>
      </c>
      <c r="N82" s="57">
        <v>1214.25</v>
      </c>
      <c r="O82" s="58">
        <v>524</v>
      </c>
      <c r="P82" s="59">
        <v>15.448473282442748</v>
      </c>
      <c r="Q82" s="60">
        <v>700.44</v>
      </c>
      <c r="R82" s="61">
        <v>11.557021300896578</v>
      </c>
      <c r="S82" s="48"/>
      <c r="T82" s="50"/>
      <c r="U82" s="151">
        <v>0</v>
      </c>
      <c r="V82" s="54">
        <v>53</v>
      </c>
      <c r="W82" s="75">
        <v>24</v>
      </c>
      <c r="X82" s="80">
        <v>32</v>
      </c>
      <c r="Y82" s="70">
        <v>62</v>
      </c>
      <c r="Z82" s="70">
        <v>240</v>
      </c>
      <c r="AA82" s="64">
        <v>355.4</v>
      </c>
      <c r="AB82" s="64">
        <v>17.349</v>
      </c>
      <c r="AC82" s="66"/>
      <c r="AD82" s="67"/>
      <c r="AE82" s="68"/>
      <c r="AF82" s="80">
        <v>247</v>
      </c>
      <c r="AG82" s="70">
        <v>413</v>
      </c>
      <c r="AH82" s="70">
        <v>105</v>
      </c>
      <c r="AI82" s="70">
        <v>157</v>
      </c>
      <c r="AJ82" s="70">
        <v>140</v>
      </c>
      <c r="AK82" s="70">
        <v>365</v>
      </c>
      <c r="AL82" s="70">
        <v>186</v>
      </c>
      <c r="AM82" s="70">
        <v>106</v>
      </c>
      <c r="AN82" s="70">
        <v>182</v>
      </c>
      <c r="AO82" s="70">
        <v>239</v>
      </c>
      <c r="AP82" s="70">
        <v>71</v>
      </c>
      <c r="AQ82" s="70">
        <v>125</v>
      </c>
      <c r="AR82" s="63"/>
      <c r="AS82" s="63"/>
      <c r="AT82" s="63"/>
      <c r="AU82" s="63"/>
      <c r="AV82" s="63"/>
      <c r="AW82" s="50"/>
      <c r="AX82" s="80">
        <v>4926</v>
      </c>
      <c r="AY82" s="70">
        <v>14510</v>
      </c>
      <c r="AZ82" s="54">
        <v>1219</v>
      </c>
      <c r="BA82" s="54">
        <v>3825</v>
      </c>
      <c r="BB82" s="54">
        <v>379</v>
      </c>
      <c r="BC82" s="54">
        <v>650</v>
      </c>
      <c r="BD82" s="54">
        <v>1183</v>
      </c>
      <c r="BE82" s="70">
        <v>1638</v>
      </c>
      <c r="BF82" s="63"/>
      <c r="BG82" s="71">
        <v>1625</v>
      </c>
      <c r="BH82" s="67"/>
      <c r="BI82" s="68"/>
      <c r="BJ82" s="72">
        <v>1015</v>
      </c>
      <c r="BK82" s="62"/>
      <c r="BL82" s="70">
        <v>2181</v>
      </c>
      <c r="BM82" s="70">
        <v>166</v>
      </c>
      <c r="BN82" s="70">
        <v>99</v>
      </c>
      <c r="BO82" s="70">
        <v>737</v>
      </c>
      <c r="BP82" s="73">
        <v>13</v>
      </c>
      <c r="BQ82" s="152">
        <v>1502</v>
      </c>
      <c r="BR82" s="153">
        <v>348</v>
      </c>
      <c r="BS82" s="154">
        <v>126</v>
      </c>
      <c r="BT82" s="76">
        <v>81.073703366697004</v>
      </c>
      <c r="BU82" s="77">
        <v>18.926296633303004</v>
      </c>
      <c r="BV82" s="78">
        <v>1782</v>
      </c>
      <c r="BW82" s="79">
        <v>416</v>
      </c>
      <c r="BX82" s="69">
        <v>950</v>
      </c>
      <c r="BY82" s="70">
        <v>133</v>
      </c>
      <c r="BZ82" s="70">
        <v>211</v>
      </c>
      <c r="CA82" s="70">
        <v>699</v>
      </c>
      <c r="CB82" s="70">
        <v>4</v>
      </c>
      <c r="CC82" s="70">
        <v>194</v>
      </c>
      <c r="CD82" s="70">
        <v>7</v>
      </c>
      <c r="CE82" s="73">
        <v>0</v>
      </c>
    </row>
    <row r="83" spans="2:83" x14ac:dyDescent="0.3">
      <c r="B83" s="46">
        <v>15</v>
      </c>
      <c r="C83" s="150">
        <v>43200</v>
      </c>
      <c r="D83" s="74">
        <v>20</v>
      </c>
      <c r="E83" s="54">
        <v>1579</v>
      </c>
      <c r="F83" s="75">
        <v>307</v>
      </c>
      <c r="G83" s="51">
        <v>4.6542497376705141</v>
      </c>
      <c r="H83" s="52">
        <v>6.9358874120406568</v>
      </c>
      <c r="I83" s="53">
        <v>1279</v>
      </c>
      <c r="J83" s="54">
        <v>1906</v>
      </c>
      <c r="K83" s="54">
        <v>8871</v>
      </c>
      <c r="L83" s="55">
        <v>7158.9</v>
      </c>
      <c r="M83" s="55">
        <v>571.07000000000005</v>
      </c>
      <c r="N83" s="57">
        <v>1330.65</v>
      </c>
      <c r="O83" s="58">
        <v>557.38</v>
      </c>
      <c r="P83" s="59">
        <v>15.91553338835265</v>
      </c>
      <c r="Q83" s="60">
        <v>736.12</v>
      </c>
      <c r="R83" s="61">
        <v>12.051024289518013</v>
      </c>
      <c r="S83" s="48"/>
      <c r="T83" s="50"/>
      <c r="U83" s="151">
        <v>0</v>
      </c>
      <c r="V83" s="54">
        <v>92</v>
      </c>
      <c r="W83" s="75">
        <v>121</v>
      </c>
      <c r="X83" s="80">
        <v>68</v>
      </c>
      <c r="Y83" s="70">
        <v>228</v>
      </c>
      <c r="Z83" s="70">
        <v>350</v>
      </c>
      <c r="AA83" s="64">
        <v>1454.4</v>
      </c>
      <c r="AB83" s="64">
        <v>189.51</v>
      </c>
      <c r="AC83" s="66"/>
      <c r="AD83" s="67"/>
      <c r="AE83" s="68"/>
      <c r="AF83" s="80">
        <v>111</v>
      </c>
      <c r="AG83" s="70">
        <v>172</v>
      </c>
      <c r="AH83" s="70">
        <v>33</v>
      </c>
      <c r="AI83" s="70">
        <v>55</v>
      </c>
      <c r="AJ83" s="70">
        <v>55</v>
      </c>
      <c r="AK83" s="70">
        <v>142</v>
      </c>
      <c r="AL83" s="70">
        <v>116</v>
      </c>
      <c r="AM83" s="70">
        <v>105</v>
      </c>
      <c r="AN83" s="70">
        <v>222</v>
      </c>
      <c r="AO83" s="70">
        <v>145</v>
      </c>
      <c r="AP83" s="70">
        <v>179</v>
      </c>
      <c r="AQ83" s="70">
        <v>100</v>
      </c>
      <c r="AR83" s="63"/>
      <c r="AS83" s="63"/>
      <c r="AT83" s="63"/>
      <c r="AU83" s="63"/>
      <c r="AV83" s="63"/>
      <c r="AW83" s="50"/>
      <c r="AX83" s="80">
        <v>4324</v>
      </c>
      <c r="AY83" s="70">
        <v>18875</v>
      </c>
      <c r="AZ83" s="54">
        <v>1131</v>
      </c>
      <c r="BA83" s="54">
        <v>5398</v>
      </c>
      <c r="BB83" s="54">
        <v>307</v>
      </c>
      <c r="BC83" s="54">
        <v>739</v>
      </c>
      <c r="BD83" s="54">
        <v>866</v>
      </c>
      <c r="BE83" s="70">
        <v>1553</v>
      </c>
      <c r="BF83" s="63"/>
      <c r="BG83" s="71">
        <v>1182</v>
      </c>
      <c r="BH83" s="67"/>
      <c r="BI83" s="68"/>
      <c r="BJ83" s="72">
        <v>709</v>
      </c>
      <c r="BK83" s="62"/>
      <c r="BL83" s="70">
        <v>1878</v>
      </c>
      <c r="BM83" s="70">
        <v>187</v>
      </c>
      <c r="BN83" s="70">
        <v>74</v>
      </c>
      <c r="BO83" s="70">
        <v>433</v>
      </c>
      <c r="BP83" s="73">
        <v>15</v>
      </c>
      <c r="BQ83" s="152">
        <v>578</v>
      </c>
      <c r="BR83" s="153">
        <v>398</v>
      </c>
      <c r="BS83" s="154">
        <v>76</v>
      </c>
      <c r="BT83" s="76">
        <v>64.462151394422307</v>
      </c>
      <c r="BU83" s="77">
        <v>35.537848605577686</v>
      </c>
      <c r="BV83" s="78">
        <v>809</v>
      </c>
      <c r="BW83" s="79">
        <v>446</v>
      </c>
      <c r="BX83" s="69">
        <v>392</v>
      </c>
      <c r="BY83" s="70">
        <v>179</v>
      </c>
      <c r="BZ83" s="70">
        <v>252</v>
      </c>
      <c r="CA83" s="70">
        <v>238</v>
      </c>
      <c r="CB83" s="70">
        <v>16</v>
      </c>
      <c r="CC83" s="70">
        <v>169</v>
      </c>
      <c r="CD83" s="70">
        <v>9</v>
      </c>
      <c r="CE83" s="73">
        <v>0</v>
      </c>
    </row>
    <row r="84" spans="2:83" x14ac:dyDescent="0.3">
      <c r="B84" s="46">
        <v>15</v>
      </c>
      <c r="C84" s="150">
        <v>43201</v>
      </c>
      <c r="D84" s="74">
        <v>9</v>
      </c>
      <c r="E84" s="54">
        <v>1909</v>
      </c>
      <c r="F84" s="75">
        <v>207</v>
      </c>
      <c r="G84" s="51">
        <v>3.9454117647058822</v>
      </c>
      <c r="H84" s="52">
        <v>5.8343771746694504</v>
      </c>
      <c r="I84" s="53">
        <v>1437</v>
      </c>
      <c r="J84" s="54">
        <v>2125</v>
      </c>
      <c r="K84" s="54">
        <v>8384</v>
      </c>
      <c r="L84" s="55">
        <v>4797.7</v>
      </c>
      <c r="M84" s="55">
        <v>345.87</v>
      </c>
      <c r="N84" s="57">
        <v>1257.6000000000001</v>
      </c>
      <c r="O84" s="58">
        <v>558.32999999999993</v>
      </c>
      <c r="P84" s="59">
        <v>15.016209051994343</v>
      </c>
      <c r="Q84" s="60">
        <v>725.41</v>
      </c>
      <c r="R84" s="61">
        <v>11.557601907886575</v>
      </c>
      <c r="S84" s="48"/>
      <c r="T84" s="50"/>
      <c r="U84" s="151">
        <v>0</v>
      </c>
      <c r="V84" s="54">
        <v>117</v>
      </c>
      <c r="W84" s="75">
        <v>24</v>
      </c>
      <c r="X84" s="80">
        <v>65</v>
      </c>
      <c r="Y84" s="70">
        <v>136</v>
      </c>
      <c r="Z84" s="70">
        <v>533</v>
      </c>
      <c r="AA84" s="64">
        <v>723.2</v>
      </c>
      <c r="AB84" s="64">
        <v>29.545999999999999</v>
      </c>
      <c r="AC84" s="66"/>
      <c r="AD84" s="67"/>
      <c r="AE84" s="68"/>
      <c r="AF84" s="80">
        <v>149</v>
      </c>
      <c r="AG84" s="70">
        <v>235</v>
      </c>
      <c r="AH84" s="70">
        <v>48</v>
      </c>
      <c r="AI84" s="70">
        <v>69</v>
      </c>
      <c r="AJ84" s="70">
        <v>67</v>
      </c>
      <c r="AK84" s="70">
        <v>155</v>
      </c>
      <c r="AL84" s="70">
        <v>151</v>
      </c>
      <c r="AM84" s="70">
        <v>101</v>
      </c>
      <c r="AN84" s="70">
        <v>315</v>
      </c>
      <c r="AO84" s="70">
        <v>214</v>
      </c>
      <c r="AP84" s="70">
        <v>178</v>
      </c>
      <c r="AQ84" s="70">
        <v>129</v>
      </c>
      <c r="AR84" s="63"/>
      <c r="AS84" s="63"/>
      <c r="AT84" s="63"/>
      <c r="AU84" s="63"/>
      <c r="AV84" s="63"/>
      <c r="AW84" s="50"/>
      <c r="AX84" s="80">
        <v>4771</v>
      </c>
      <c r="AY84" s="70">
        <v>20109</v>
      </c>
      <c r="AZ84" s="54">
        <v>1888</v>
      </c>
      <c r="BA84" s="54">
        <v>6244</v>
      </c>
      <c r="BB84" s="54">
        <v>416</v>
      </c>
      <c r="BC84" s="54">
        <v>871</v>
      </c>
      <c r="BD84" s="54">
        <v>1241</v>
      </c>
      <c r="BE84" s="70">
        <v>2359</v>
      </c>
      <c r="BF84" s="63"/>
      <c r="BG84" s="71">
        <v>1591</v>
      </c>
      <c r="BH84" s="67"/>
      <c r="BI84" s="68"/>
      <c r="BJ84" s="72">
        <v>989</v>
      </c>
      <c r="BK84" s="62"/>
      <c r="BL84" s="70">
        <v>1323</v>
      </c>
      <c r="BM84" s="70">
        <v>211</v>
      </c>
      <c r="BN84" s="70">
        <v>123</v>
      </c>
      <c r="BO84" s="70">
        <v>648</v>
      </c>
      <c r="BP84" s="73">
        <v>7</v>
      </c>
      <c r="BQ84" s="152">
        <v>756</v>
      </c>
      <c r="BR84" s="153">
        <v>453</v>
      </c>
      <c r="BS84" s="154">
        <v>74</v>
      </c>
      <c r="BT84" s="76">
        <v>73.093220338983045</v>
      </c>
      <c r="BU84" s="77">
        <v>26.906779661016948</v>
      </c>
      <c r="BV84" s="78">
        <v>1035</v>
      </c>
      <c r="BW84" s="79">
        <v>381</v>
      </c>
      <c r="BX84" s="69">
        <v>593</v>
      </c>
      <c r="BY84" s="70">
        <v>174</v>
      </c>
      <c r="BZ84" s="70">
        <v>278</v>
      </c>
      <c r="CA84" s="70">
        <v>268</v>
      </c>
      <c r="CB84" s="70">
        <v>2</v>
      </c>
      <c r="CC84" s="70">
        <v>98</v>
      </c>
      <c r="CD84" s="70">
        <v>3</v>
      </c>
      <c r="CE84" s="73">
        <v>0</v>
      </c>
    </row>
    <row r="85" spans="2:83" x14ac:dyDescent="0.3">
      <c r="B85" s="46">
        <v>15</v>
      </c>
      <c r="C85" s="150">
        <v>43202</v>
      </c>
      <c r="D85" s="74">
        <v>21</v>
      </c>
      <c r="E85" s="54">
        <v>1670</v>
      </c>
      <c r="F85" s="75">
        <v>197</v>
      </c>
      <c r="G85" s="51">
        <v>4.3315677966101696</v>
      </c>
      <c r="H85" s="52">
        <v>6.3346243222308285</v>
      </c>
      <c r="I85" s="53">
        <v>1291</v>
      </c>
      <c r="J85" s="54">
        <v>1888</v>
      </c>
      <c r="K85" s="54">
        <v>8178</v>
      </c>
      <c r="L85" s="55">
        <v>5386.9</v>
      </c>
      <c r="M85" s="55">
        <v>371.05</v>
      </c>
      <c r="N85" s="57">
        <v>1226.7</v>
      </c>
      <c r="O85" s="58">
        <v>554.12</v>
      </c>
      <c r="P85" s="59">
        <v>14.758536057171732</v>
      </c>
      <c r="Q85" s="60">
        <v>722.86</v>
      </c>
      <c r="R85" s="61">
        <v>11.313394018205461</v>
      </c>
      <c r="S85" s="48"/>
      <c r="T85" s="50"/>
      <c r="U85" s="151">
        <v>0</v>
      </c>
      <c r="V85" s="54">
        <v>118</v>
      </c>
      <c r="W85" s="75">
        <v>33</v>
      </c>
      <c r="X85" s="80">
        <v>88</v>
      </c>
      <c r="Y85" s="70">
        <v>133</v>
      </c>
      <c r="Z85" s="70">
        <v>471</v>
      </c>
      <c r="AA85" s="64">
        <v>192.4</v>
      </c>
      <c r="AB85" s="64">
        <v>29.448</v>
      </c>
      <c r="AC85" s="66"/>
      <c r="AD85" s="67"/>
      <c r="AE85" s="68"/>
      <c r="AF85" s="80">
        <v>114</v>
      </c>
      <c r="AG85" s="70">
        <v>172</v>
      </c>
      <c r="AH85" s="70">
        <v>42</v>
      </c>
      <c r="AI85" s="70">
        <v>65</v>
      </c>
      <c r="AJ85" s="70">
        <v>69</v>
      </c>
      <c r="AK85" s="70">
        <v>158</v>
      </c>
      <c r="AL85" s="70">
        <v>124</v>
      </c>
      <c r="AM85" s="70">
        <v>108</v>
      </c>
      <c r="AN85" s="70">
        <v>289</v>
      </c>
      <c r="AO85" s="70">
        <v>160</v>
      </c>
      <c r="AP85" s="70">
        <v>236</v>
      </c>
      <c r="AQ85" s="70">
        <v>65</v>
      </c>
      <c r="AR85" s="63"/>
      <c r="AS85" s="63"/>
      <c r="AT85" s="63"/>
      <c r="AU85" s="63"/>
      <c r="AV85" s="63"/>
      <c r="AW85" s="50"/>
      <c r="AX85" s="80">
        <v>4632</v>
      </c>
      <c r="AY85" s="70">
        <v>23058</v>
      </c>
      <c r="AZ85" s="54">
        <v>1797</v>
      </c>
      <c r="BA85" s="54">
        <v>5906</v>
      </c>
      <c r="BB85" s="54">
        <v>427</v>
      </c>
      <c r="BC85" s="54">
        <v>1014</v>
      </c>
      <c r="BD85" s="54">
        <v>1036</v>
      </c>
      <c r="BE85" s="70">
        <v>2348</v>
      </c>
      <c r="BF85" s="63"/>
      <c r="BG85" s="71">
        <v>1485</v>
      </c>
      <c r="BH85" s="67"/>
      <c r="BI85" s="68"/>
      <c r="BJ85" s="72">
        <v>841</v>
      </c>
      <c r="BK85" s="62"/>
      <c r="BL85" s="70">
        <v>1815</v>
      </c>
      <c r="BM85" s="70">
        <v>119</v>
      </c>
      <c r="BN85" s="70">
        <v>116</v>
      </c>
      <c r="BO85" s="70">
        <v>603</v>
      </c>
      <c r="BP85" s="73">
        <v>3</v>
      </c>
      <c r="BQ85" s="152">
        <v>760</v>
      </c>
      <c r="BR85" s="153">
        <v>355</v>
      </c>
      <c r="BS85" s="154">
        <v>72</v>
      </c>
      <c r="BT85" s="76">
        <v>72.576832151300238</v>
      </c>
      <c r="BU85" s="77">
        <v>27.423167848699762</v>
      </c>
      <c r="BV85" s="78">
        <v>921</v>
      </c>
      <c r="BW85" s="79">
        <v>348</v>
      </c>
      <c r="BX85" s="69">
        <v>547</v>
      </c>
      <c r="BY85" s="70">
        <v>83</v>
      </c>
      <c r="BZ85" s="70">
        <v>226</v>
      </c>
      <c r="CA85" s="70">
        <v>291</v>
      </c>
      <c r="CB85" s="70">
        <v>8</v>
      </c>
      <c r="CC85" s="70">
        <v>110</v>
      </c>
      <c r="CD85" s="70">
        <v>4</v>
      </c>
      <c r="CE85" s="73">
        <v>0</v>
      </c>
    </row>
    <row r="86" spans="2:83" x14ac:dyDescent="0.3">
      <c r="B86" s="46">
        <v>15</v>
      </c>
      <c r="C86" s="150">
        <v>43203</v>
      </c>
      <c r="D86" s="74">
        <v>11</v>
      </c>
      <c r="E86" s="54">
        <v>2057</v>
      </c>
      <c r="F86" s="75">
        <v>240</v>
      </c>
      <c r="G86" s="51">
        <v>3.4445407279029463</v>
      </c>
      <c r="H86" s="52">
        <v>4.9378881987577641</v>
      </c>
      <c r="I86" s="53">
        <v>1610</v>
      </c>
      <c r="J86" s="54">
        <v>2308</v>
      </c>
      <c r="K86" s="54">
        <v>7950</v>
      </c>
      <c r="L86" s="55">
        <v>5744.7</v>
      </c>
      <c r="M86" s="55">
        <v>479.447</v>
      </c>
      <c r="N86" s="57">
        <v>1192.5</v>
      </c>
      <c r="O86" s="58">
        <v>566.83000000000004</v>
      </c>
      <c r="P86" s="59">
        <v>14.02536915830143</v>
      </c>
      <c r="Q86" s="60">
        <v>738.86</v>
      </c>
      <c r="R86" s="61">
        <v>10.759819180900307</v>
      </c>
      <c r="S86" s="48"/>
      <c r="T86" s="50"/>
      <c r="U86" s="151">
        <v>0</v>
      </c>
      <c r="V86" s="54">
        <v>93</v>
      </c>
      <c r="W86" s="75">
        <v>36</v>
      </c>
      <c r="X86" s="80">
        <v>44</v>
      </c>
      <c r="Y86" s="70">
        <v>138</v>
      </c>
      <c r="Z86" s="70">
        <v>267</v>
      </c>
      <c r="AA86" s="64">
        <v>887.3</v>
      </c>
      <c r="AB86" s="64">
        <v>60.365000000000002</v>
      </c>
      <c r="AC86" s="66"/>
      <c r="AD86" s="67"/>
      <c r="AE86" s="68"/>
      <c r="AF86" s="80">
        <v>119</v>
      </c>
      <c r="AG86" s="70">
        <v>216</v>
      </c>
      <c r="AH86" s="70">
        <v>58</v>
      </c>
      <c r="AI86" s="70">
        <v>90</v>
      </c>
      <c r="AJ86" s="70">
        <v>73</v>
      </c>
      <c r="AK86" s="70">
        <v>191</v>
      </c>
      <c r="AL86" s="70">
        <v>137</v>
      </c>
      <c r="AM86" s="70">
        <v>149</v>
      </c>
      <c r="AN86" s="70">
        <v>342</v>
      </c>
      <c r="AO86" s="70">
        <v>245</v>
      </c>
      <c r="AP86" s="70">
        <v>244</v>
      </c>
      <c r="AQ86" s="70">
        <v>77</v>
      </c>
      <c r="AR86" s="63"/>
      <c r="AS86" s="63"/>
      <c r="AT86" s="63"/>
      <c r="AU86" s="63"/>
      <c r="AV86" s="63"/>
      <c r="AW86" s="50"/>
      <c r="AX86" s="80">
        <v>3861</v>
      </c>
      <c r="AY86" s="70">
        <v>17490</v>
      </c>
      <c r="AZ86" s="54">
        <v>1564</v>
      </c>
      <c r="BA86" s="54">
        <v>4788</v>
      </c>
      <c r="BB86" s="54">
        <v>402</v>
      </c>
      <c r="BC86" s="54">
        <v>1171</v>
      </c>
      <c r="BD86" s="54">
        <v>1014</v>
      </c>
      <c r="BE86" s="70">
        <v>1845</v>
      </c>
      <c r="BF86" s="63"/>
      <c r="BG86" s="71">
        <v>1342</v>
      </c>
      <c r="BH86" s="67"/>
      <c r="BI86" s="68"/>
      <c r="BJ86" s="72">
        <v>914</v>
      </c>
      <c r="BK86" s="62"/>
      <c r="BL86" s="70">
        <v>1780</v>
      </c>
      <c r="BM86" s="70">
        <v>194</v>
      </c>
      <c r="BN86" s="70">
        <v>128</v>
      </c>
      <c r="BO86" s="70">
        <v>565</v>
      </c>
      <c r="BP86" s="73">
        <v>27</v>
      </c>
      <c r="BQ86" s="152">
        <v>745</v>
      </c>
      <c r="BR86" s="153">
        <v>402</v>
      </c>
      <c r="BS86" s="154">
        <v>132</v>
      </c>
      <c r="BT86" s="76">
        <v>66.792215944758311</v>
      </c>
      <c r="BU86" s="77">
        <v>33.207784055241682</v>
      </c>
      <c r="BV86" s="78">
        <v>1064</v>
      </c>
      <c r="BW86" s="79">
        <v>529</v>
      </c>
      <c r="BX86" s="69">
        <v>581</v>
      </c>
      <c r="BY86" s="70">
        <v>142</v>
      </c>
      <c r="BZ86" s="70">
        <v>263</v>
      </c>
      <c r="CA86" s="70">
        <v>341</v>
      </c>
      <c r="CB86" s="70">
        <v>23</v>
      </c>
      <c r="CC86" s="70">
        <v>169</v>
      </c>
      <c r="CD86" s="70">
        <v>7</v>
      </c>
      <c r="CE86" s="73">
        <v>67</v>
      </c>
    </row>
    <row r="87" spans="2:83" x14ac:dyDescent="0.3">
      <c r="B87" s="46">
        <v>15</v>
      </c>
      <c r="C87" s="150">
        <v>43204</v>
      </c>
      <c r="D87" s="74">
        <v>24</v>
      </c>
      <c r="E87" s="54">
        <v>765</v>
      </c>
      <c r="F87" s="75">
        <v>178</v>
      </c>
      <c r="G87" s="51">
        <v>4.1664943123061011</v>
      </c>
      <c r="H87" s="52">
        <v>7.0314136125654452</v>
      </c>
      <c r="I87" s="53">
        <v>573</v>
      </c>
      <c r="J87" s="54">
        <v>967</v>
      </c>
      <c r="K87" s="54">
        <v>4029</v>
      </c>
      <c r="L87" s="55">
        <v>4284.8</v>
      </c>
      <c r="M87" s="55">
        <v>324.8</v>
      </c>
      <c r="N87" s="57">
        <v>604.35</v>
      </c>
      <c r="O87" s="58">
        <v>398.48</v>
      </c>
      <c r="P87" s="59">
        <v>10.110921501706484</v>
      </c>
      <c r="Q87" s="60">
        <v>474.37</v>
      </c>
      <c r="R87" s="61">
        <v>8.4933701540991215</v>
      </c>
      <c r="S87" s="48"/>
      <c r="T87" s="50"/>
      <c r="U87" s="151">
        <v>0</v>
      </c>
      <c r="V87" s="54">
        <v>15</v>
      </c>
      <c r="W87" s="75">
        <v>29</v>
      </c>
      <c r="X87" s="80">
        <v>13</v>
      </c>
      <c r="Y87" s="70">
        <v>47</v>
      </c>
      <c r="Z87" s="70">
        <v>93</v>
      </c>
      <c r="AA87" s="64">
        <v>297</v>
      </c>
      <c r="AB87" s="64">
        <v>33.805999999999997</v>
      </c>
      <c r="AC87" s="66"/>
      <c r="AD87" s="67"/>
      <c r="AE87" s="68"/>
      <c r="AF87" s="80">
        <v>28</v>
      </c>
      <c r="AG87" s="70">
        <v>55</v>
      </c>
      <c r="AH87" s="70">
        <v>11</v>
      </c>
      <c r="AI87" s="70">
        <v>9</v>
      </c>
      <c r="AJ87" s="70">
        <v>24</v>
      </c>
      <c r="AK87" s="70">
        <v>39</v>
      </c>
      <c r="AL87" s="70">
        <v>58</v>
      </c>
      <c r="AM87" s="70">
        <v>57</v>
      </c>
      <c r="AN87" s="70">
        <v>181</v>
      </c>
      <c r="AO87" s="70">
        <v>95</v>
      </c>
      <c r="AP87" s="70">
        <v>87</v>
      </c>
      <c r="AQ87" s="70">
        <v>79</v>
      </c>
      <c r="AR87" s="63"/>
      <c r="AS87" s="63"/>
      <c r="AT87" s="63"/>
      <c r="AU87" s="63"/>
      <c r="AV87" s="63"/>
      <c r="AW87" s="50"/>
      <c r="AX87" s="80">
        <v>2289</v>
      </c>
      <c r="AY87" s="70">
        <v>7710</v>
      </c>
      <c r="AZ87" s="54">
        <v>219</v>
      </c>
      <c r="BA87" s="54">
        <v>426</v>
      </c>
      <c r="BB87" s="54">
        <v>340</v>
      </c>
      <c r="BC87" s="54">
        <v>920</v>
      </c>
      <c r="BD87" s="54">
        <v>456</v>
      </c>
      <c r="BE87" s="70">
        <v>676</v>
      </c>
      <c r="BF87" s="63"/>
      <c r="BG87" s="71">
        <v>620</v>
      </c>
      <c r="BH87" s="67"/>
      <c r="BI87" s="68"/>
      <c r="BJ87" s="72">
        <v>419</v>
      </c>
      <c r="BK87" s="62"/>
      <c r="BL87" s="70">
        <v>815</v>
      </c>
      <c r="BM87" s="70">
        <v>70</v>
      </c>
      <c r="BN87" s="70">
        <v>60</v>
      </c>
      <c r="BO87" s="70">
        <v>271</v>
      </c>
      <c r="BP87" s="73">
        <v>18</v>
      </c>
      <c r="BQ87" s="152">
        <v>159</v>
      </c>
      <c r="BR87" s="153">
        <v>176</v>
      </c>
      <c r="BS87" s="154">
        <v>53</v>
      </c>
      <c r="BT87" s="76">
        <v>48.239436619718312</v>
      </c>
      <c r="BU87" s="77">
        <v>51.760563380281688</v>
      </c>
      <c r="BV87" s="78">
        <v>274</v>
      </c>
      <c r="BW87" s="79">
        <v>294</v>
      </c>
      <c r="BX87" s="69">
        <v>130</v>
      </c>
      <c r="BY87" s="70">
        <v>75</v>
      </c>
      <c r="BZ87" s="70">
        <v>134</v>
      </c>
      <c r="CA87" s="70">
        <v>69</v>
      </c>
      <c r="CB87" s="70">
        <v>18</v>
      </c>
      <c r="CC87" s="70">
        <v>122</v>
      </c>
      <c r="CD87" s="70">
        <v>9</v>
      </c>
      <c r="CE87" s="73">
        <v>11</v>
      </c>
    </row>
    <row r="88" spans="2:83" x14ac:dyDescent="0.3">
      <c r="B88" s="46">
        <v>16</v>
      </c>
      <c r="C88" s="150">
        <v>43206</v>
      </c>
      <c r="D88" s="74">
        <v>15</v>
      </c>
      <c r="E88" s="54">
        <v>2526</v>
      </c>
      <c r="F88" s="75">
        <v>276</v>
      </c>
      <c r="G88" s="51">
        <v>2.9280028943560059</v>
      </c>
      <c r="H88" s="52">
        <v>3.6291479820627801</v>
      </c>
      <c r="I88" s="53">
        <v>2230</v>
      </c>
      <c r="J88" s="54">
        <v>2764</v>
      </c>
      <c r="K88" s="54">
        <v>8093</v>
      </c>
      <c r="L88" s="55">
        <v>7763.9</v>
      </c>
      <c r="M88" s="55">
        <v>446.76600000000002</v>
      </c>
      <c r="N88" s="57">
        <v>1213.95</v>
      </c>
      <c r="O88" s="58">
        <v>587.55999999999995</v>
      </c>
      <c r="P88" s="59">
        <v>13.773912451494317</v>
      </c>
      <c r="Q88" s="60">
        <v>777.36999999999989</v>
      </c>
      <c r="R88" s="61">
        <v>10.410743918597323</v>
      </c>
      <c r="S88" s="48"/>
      <c r="T88" s="50"/>
      <c r="U88" s="151">
        <v>0</v>
      </c>
      <c r="V88" s="54">
        <v>46</v>
      </c>
      <c r="W88" s="75">
        <v>117</v>
      </c>
      <c r="X88" s="80">
        <v>31</v>
      </c>
      <c r="Y88" s="70">
        <v>85</v>
      </c>
      <c r="Z88" s="70">
        <v>163</v>
      </c>
      <c r="AA88" s="64">
        <v>2020.1</v>
      </c>
      <c r="AB88" s="64">
        <v>48.122999999999998</v>
      </c>
      <c r="AC88" s="66"/>
      <c r="AD88" s="67"/>
      <c r="AE88" s="68"/>
      <c r="AF88" s="80">
        <v>264</v>
      </c>
      <c r="AG88" s="70">
        <v>387</v>
      </c>
      <c r="AH88" s="70">
        <v>98</v>
      </c>
      <c r="AI88" s="70">
        <v>154</v>
      </c>
      <c r="AJ88" s="70">
        <v>100</v>
      </c>
      <c r="AK88" s="70">
        <v>410</v>
      </c>
      <c r="AL88" s="70">
        <v>184</v>
      </c>
      <c r="AM88" s="70">
        <v>97</v>
      </c>
      <c r="AN88" s="70">
        <v>343</v>
      </c>
      <c r="AO88" s="70">
        <v>172</v>
      </c>
      <c r="AP88" s="70">
        <v>134</v>
      </c>
      <c r="AQ88" s="70">
        <v>102</v>
      </c>
      <c r="AR88" s="63"/>
      <c r="AS88" s="63"/>
      <c r="AT88" s="63"/>
      <c r="AU88" s="63"/>
      <c r="AV88" s="63"/>
      <c r="AW88" s="50"/>
      <c r="AX88" s="80">
        <v>4070</v>
      </c>
      <c r="AY88" s="70">
        <v>20786</v>
      </c>
      <c r="AZ88" s="54">
        <v>1185</v>
      </c>
      <c r="BA88" s="54">
        <v>2698</v>
      </c>
      <c r="BB88" s="54">
        <v>533</v>
      </c>
      <c r="BC88" s="54">
        <v>1492</v>
      </c>
      <c r="BD88" s="54">
        <v>1440</v>
      </c>
      <c r="BE88" s="70">
        <v>1510</v>
      </c>
      <c r="BF88" s="63"/>
      <c r="BG88" s="71">
        <v>1975</v>
      </c>
      <c r="BH88" s="67"/>
      <c r="BI88" s="68"/>
      <c r="BJ88" s="72">
        <v>787</v>
      </c>
      <c r="BK88" s="62"/>
      <c r="BL88" s="70">
        <v>2760</v>
      </c>
      <c r="BM88" s="70">
        <v>99</v>
      </c>
      <c r="BN88" s="70">
        <v>126</v>
      </c>
      <c r="BO88" s="70">
        <v>546</v>
      </c>
      <c r="BP88" s="73">
        <v>16</v>
      </c>
      <c r="BQ88" s="152">
        <v>1576</v>
      </c>
      <c r="BR88" s="153">
        <v>403</v>
      </c>
      <c r="BS88" s="154">
        <v>117</v>
      </c>
      <c r="BT88" s="76">
        <v>83.032490974729242</v>
      </c>
      <c r="BU88" s="77">
        <v>16.967509025270758</v>
      </c>
      <c r="BV88" s="78">
        <v>1840</v>
      </c>
      <c r="BW88" s="79">
        <v>376</v>
      </c>
      <c r="BX88" s="69">
        <v>1103</v>
      </c>
      <c r="BY88" s="70">
        <v>200</v>
      </c>
      <c r="BZ88" s="70">
        <v>209</v>
      </c>
      <c r="CA88" s="70">
        <v>537</v>
      </c>
      <c r="CB88" s="70">
        <v>4</v>
      </c>
      <c r="CC88" s="70">
        <v>156</v>
      </c>
      <c r="CD88" s="70">
        <v>7</v>
      </c>
      <c r="CE88" s="73">
        <v>0</v>
      </c>
    </row>
    <row r="89" spans="2:83" x14ac:dyDescent="0.3">
      <c r="B89" s="46">
        <v>16</v>
      </c>
      <c r="C89" s="150">
        <v>43207</v>
      </c>
      <c r="D89" s="74">
        <v>29</v>
      </c>
      <c r="E89" s="54">
        <v>2001</v>
      </c>
      <c r="F89" s="75">
        <v>337</v>
      </c>
      <c r="G89" s="51">
        <v>2.9774624373956593</v>
      </c>
      <c r="H89" s="52">
        <v>4.6536203522504893</v>
      </c>
      <c r="I89" s="53">
        <v>1533</v>
      </c>
      <c r="J89" s="54">
        <v>2396</v>
      </c>
      <c r="K89" s="54">
        <v>7134</v>
      </c>
      <c r="L89" s="55">
        <v>5308.5</v>
      </c>
      <c r="M89" s="55">
        <v>555.76400000000001</v>
      </c>
      <c r="N89" s="57">
        <v>1070.1000000000001</v>
      </c>
      <c r="O89" s="58">
        <v>587.92000000000007</v>
      </c>
      <c r="P89" s="59">
        <v>12.134303986936997</v>
      </c>
      <c r="Q89" s="60">
        <v>777.60000000000014</v>
      </c>
      <c r="R89" s="61">
        <v>9.1743827160493812</v>
      </c>
      <c r="S89" s="48"/>
      <c r="T89" s="50"/>
      <c r="U89" s="151">
        <v>0</v>
      </c>
      <c r="V89" s="54">
        <v>105</v>
      </c>
      <c r="W89" s="75">
        <v>122</v>
      </c>
      <c r="X89" s="80">
        <v>66</v>
      </c>
      <c r="Y89" s="70">
        <v>284</v>
      </c>
      <c r="Z89" s="70">
        <v>216</v>
      </c>
      <c r="AA89" s="64">
        <v>417.8</v>
      </c>
      <c r="AB89" s="64">
        <v>154.41900000000001</v>
      </c>
      <c r="AC89" s="66"/>
      <c r="AD89" s="67"/>
      <c r="AE89" s="68"/>
      <c r="AF89" s="80">
        <v>131</v>
      </c>
      <c r="AG89" s="70">
        <v>165</v>
      </c>
      <c r="AH89" s="70">
        <v>61</v>
      </c>
      <c r="AI89" s="70">
        <v>91</v>
      </c>
      <c r="AJ89" s="70">
        <v>66</v>
      </c>
      <c r="AK89" s="70">
        <v>243</v>
      </c>
      <c r="AL89" s="70">
        <v>179</v>
      </c>
      <c r="AM89" s="70">
        <v>139</v>
      </c>
      <c r="AN89" s="70">
        <v>311</v>
      </c>
      <c r="AO89" s="70">
        <v>174</v>
      </c>
      <c r="AP89" s="70">
        <v>143</v>
      </c>
      <c r="AQ89" s="70">
        <v>229</v>
      </c>
      <c r="AR89" s="63"/>
      <c r="AS89" s="63"/>
      <c r="AT89" s="63"/>
      <c r="AU89" s="63"/>
      <c r="AV89" s="63"/>
      <c r="AW89" s="50"/>
      <c r="AX89" s="80">
        <v>4009</v>
      </c>
      <c r="AY89" s="70">
        <v>22517</v>
      </c>
      <c r="AZ89" s="54">
        <v>784</v>
      </c>
      <c r="BA89" s="54">
        <v>2388</v>
      </c>
      <c r="BB89" s="54">
        <v>400</v>
      </c>
      <c r="BC89" s="54">
        <v>1353</v>
      </c>
      <c r="BD89" s="54">
        <v>1061</v>
      </c>
      <c r="BE89" s="70">
        <v>1569</v>
      </c>
      <c r="BF89" s="63"/>
      <c r="BG89" s="71">
        <v>1393</v>
      </c>
      <c r="BH89" s="67"/>
      <c r="BI89" s="68"/>
      <c r="BJ89" s="72">
        <v>1029</v>
      </c>
      <c r="BK89" s="62"/>
      <c r="BL89" s="70">
        <v>2126</v>
      </c>
      <c r="BM89" s="70">
        <v>251</v>
      </c>
      <c r="BN89" s="70">
        <v>144</v>
      </c>
      <c r="BO89" s="70">
        <v>620</v>
      </c>
      <c r="BP89" s="73">
        <v>14</v>
      </c>
      <c r="BQ89" s="152">
        <v>841</v>
      </c>
      <c r="BR89" s="153">
        <v>356</v>
      </c>
      <c r="BS89" s="154">
        <v>117</v>
      </c>
      <c r="BT89" s="76">
        <v>73.390842733908428</v>
      </c>
      <c r="BU89" s="77">
        <v>26.609157266091572</v>
      </c>
      <c r="BV89" s="78">
        <v>1106</v>
      </c>
      <c r="BW89" s="79">
        <v>401</v>
      </c>
      <c r="BX89" s="69">
        <v>561</v>
      </c>
      <c r="BY89" s="70">
        <v>156</v>
      </c>
      <c r="BZ89" s="70">
        <v>236</v>
      </c>
      <c r="CA89" s="70">
        <v>389</v>
      </c>
      <c r="CB89" s="70">
        <v>14</v>
      </c>
      <c r="CC89" s="70">
        <v>140</v>
      </c>
      <c r="CD89" s="70">
        <v>11</v>
      </c>
      <c r="CE89" s="73">
        <v>0</v>
      </c>
    </row>
    <row r="90" spans="2:83" x14ac:dyDescent="0.3">
      <c r="B90" s="46">
        <v>16</v>
      </c>
      <c r="C90" s="150">
        <v>43208</v>
      </c>
      <c r="D90" s="74">
        <v>2</v>
      </c>
      <c r="E90" s="54">
        <v>1923</v>
      </c>
      <c r="F90" s="75">
        <v>368</v>
      </c>
      <c r="G90" s="51">
        <v>3.1194911403907315</v>
      </c>
      <c r="H90" s="52">
        <v>4.8903133903133904</v>
      </c>
      <c r="I90" s="53">
        <v>1404</v>
      </c>
      <c r="J90" s="54">
        <v>2201</v>
      </c>
      <c r="K90" s="54">
        <v>6866</v>
      </c>
      <c r="L90" s="55">
        <v>5031.2</v>
      </c>
      <c r="M90" s="55">
        <v>491.85599999999999</v>
      </c>
      <c r="N90" s="57">
        <v>1029.8999999999999</v>
      </c>
      <c r="O90" s="58">
        <v>556.62</v>
      </c>
      <c r="P90" s="59">
        <v>12.335165822284504</v>
      </c>
      <c r="Q90" s="60">
        <v>750.18000000000006</v>
      </c>
      <c r="R90" s="61">
        <v>9.1524700738489422</v>
      </c>
      <c r="S90" s="48"/>
      <c r="T90" s="50"/>
      <c r="U90" s="151">
        <v>0</v>
      </c>
      <c r="V90" s="54">
        <v>59</v>
      </c>
      <c r="W90" s="75">
        <v>203</v>
      </c>
      <c r="X90" s="80">
        <v>32</v>
      </c>
      <c r="Y90" s="70">
        <v>197</v>
      </c>
      <c r="Z90" s="70">
        <v>546</v>
      </c>
      <c r="AA90" s="64">
        <v>657.6</v>
      </c>
      <c r="AB90" s="64">
        <v>178.40899999999999</v>
      </c>
      <c r="AC90" s="66"/>
      <c r="AD90" s="67"/>
      <c r="AE90" s="68"/>
      <c r="AF90" s="80">
        <v>164</v>
      </c>
      <c r="AG90" s="70">
        <v>208</v>
      </c>
      <c r="AH90" s="70">
        <v>61</v>
      </c>
      <c r="AI90" s="70">
        <v>86</v>
      </c>
      <c r="AJ90" s="70">
        <v>60</v>
      </c>
      <c r="AK90" s="70">
        <v>222</v>
      </c>
      <c r="AL90" s="70">
        <v>125</v>
      </c>
      <c r="AM90" s="70">
        <v>114</v>
      </c>
      <c r="AN90" s="70">
        <v>324</v>
      </c>
      <c r="AO90" s="70">
        <v>146</v>
      </c>
      <c r="AP90" s="70">
        <v>216</v>
      </c>
      <c r="AQ90" s="70">
        <v>150</v>
      </c>
      <c r="AR90" s="63"/>
      <c r="AS90" s="63"/>
      <c r="AT90" s="63"/>
      <c r="AU90" s="63"/>
      <c r="AV90" s="63"/>
      <c r="AW90" s="50"/>
      <c r="AX90" s="80">
        <v>4614</v>
      </c>
      <c r="AY90" s="70">
        <v>19696</v>
      </c>
      <c r="AZ90" s="54">
        <v>772</v>
      </c>
      <c r="BA90" s="54">
        <v>1808</v>
      </c>
      <c r="BB90" s="54">
        <v>419</v>
      </c>
      <c r="BC90" s="54">
        <v>1166</v>
      </c>
      <c r="BD90" s="54">
        <v>1285</v>
      </c>
      <c r="BE90" s="70">
        <v>1293</v>
      </c>
      <c r="BF90" s="63"/>
      <c r="BG90" s="71">
        <v>1558</v>
      </c>
      <c r="BH90" s="67"/>
      <c r="BI90" s="68"/>
      <c r="BJ90" s="72">
        <v>1034</v>
      </c>
      <c r="BK90" s="62"/>
      <c r="BL90" s="70">
        <v>2221</v>
      </c>
      <c r="BM90" s="70">
        <v>137</v>
      </c>
      <c r="BN90" s="70">
        <v>178</v>
      </c>
      <c r="BO90" s="70">
        <v>711</v>
      </c>
      <c r="BP90" s="73">
        <v>8</v>
      </c>
      <c r="BQ90" s="152">
        <v>732</v>
      </c>
      <c r="BR90" s="153">
        <v>265</v>
      </c>
      <c r="BS90" s="154">
        <v>211</v>
      </c>
      <c r="BT90" s="76">
        <v>70.857142857142861</v>
      </c>
      <c r="BU90" s="77">
        <v>29.142857142857142</v>
      </c>
      <c r="BV90" s="78">
        <v>992</v>
      </c>
      <c r="BW90" s="79">
        <v>408</v>
      </c>
      <c r="BX90" s="69">
        <v>586</v>
      </c>
      <c r="BY90" s="70">
        <v>87</v>
      </c>
      <c r="BZ90" s="70">
        <v>192</v>
      </c>
      <c r="CA90" s="70">
        <v>319</v>
      </c>
      <c r="CB90" s="70">
        <v>12</v>
      </c>
      <c r="CC90" s="70">
        <v>200</v>
      </c>
      <c r="CD90" s="70">
        <v>4</v>
      </c>
      <c r="CE90" s="73">
        <v>0</v>
      </c>
    </row>
    <row r="91" spans="2:83" x14ac:dyDescent="0.3">
      <c r="B91" s="46">
        <v>16</v>
      </c>
      <c r="C91" s="150">
        <v>43209</v>
      </c>
      <c r="D91" s="74">
        <v>14</v>
      </c>
      <c r="E91" s="54">
        <v>1668</v>
      </c>
      <c r="F91" s="75">
        <v>404</v>
      </c>
      <c r="G91" s="51">
        <v>3.5493542435424352</v>
      </c>
      <c r="H91" s="52">
        <v>5.8031674208144794</v>
      </c>
      <c r="I91" s="53">
        <v>1326</v>
      </c>
      <c r="J91" s="54">
        <v>2168</v>
      </c>
      <c r="K91" s="54">
        <v>7695</v>
      </c>
      <c r="L91" s="55">
        <v>6724.8</v>
      </c>
      <c r="M91" s="55">
        <v>837.96600000000001</v>
      </c>
      <c r="N91" s="57">
        <v>1154.25</v>
      </c>
      <c r="O91" s="58">
        <v>532.11</v>
      </c>
      <c r="P91" s="59">
        <v>14.461295596775102</v>
      </c>
      <c r="Q91" s="60">
        <v>720.18000000000006</v>
      </c>
      <c r="R91" s="61">
        <v>10.684828792801799</v>
      </c>
      <c r="S91" s="48"/>
      <c r="T91" s="50"/>
      <c r="U91" s="151">
        <v>0</v>
      </c>
      <c r="V91" s="54">
        <v>46</v>
      </c>
      <c r="W91" s="75">
        <v>208</v>
      </c>
      <c r="X91" s="80">
        <v>46</v>
      </c>
      <c r="Y91" s="70">
        <v>350</v>
      </c>
      <c r="Z91" s="70">
        <v>242</v>
      </c>
      <c r="AA91" s="64">
        <v>1322.4</v>
      </c>
      <c r="AB91" s="64">
        <v>449.22699999999998</v>
      </c>
      <c r="AC91" s="66"/>
      <c r="AD91" s="67"/>
      <c r="AE91" s="68"/>
      <c r="AF91" s="80">
        <v>154</v>
      </c>
      <c r="AG91" s="70">
        <v>189</v>
      </c>
      <c r="AH91" s="70">
        <v>43</v>
      </c>
      <c r="AI91" s="70">
        <v>62</v>
      </c>
      <c r="AJ91" s="70">
        <v>54</v>
      </c>
      <c r="AK91" s="70">
        <v>158</v>
      </c>
      <c r="AL91" s="70">
        <v>127</v>
      </c>
      <c r="AM91" s="70">
        <v>96</v>
      </c>
      <c r="AN91" s="70">
        <v>260</v>
      </c>
      <c r="AO91" s="70">
        <v>169</v>
      </c>
      <c r="AP91" s="70">
        <v>231</v>
      </c>
      <c r="AQ91" s="70">
        <v>104</v>
      </c>
      <c r="AR91" s="63"/>
      <c r="AS91" s="63"/>
      <c r="AT91" s="63"/>
      <c r="AU91" s="63"/>
      <c r="AV91" s="63"/>
      <c r="AW91" s="50"/>
      <c r="AX91" s="80">
        <v>4021</v>
      </c>
      <c r="AY91" s="70">
        <v>19674</v>
      </c>
      <c r="AZ91" s="54">
        <v>732</v>
      </c>
      <c r="BA91" s="54">
        <v>3228</v>
      </c>
      <c r="BB91" s="54">
        <v>303</v>
      </c>
      <c r="BC91" s="54">
        <v>844</v>
      </c>
      <c r="BD91" s="54">
        <v>882</v>
      </c>
      <c r="BE91" s="70">
        <v>913</v>
      </c>
      <c r="BF91" s="63"/>
      <c r="BG91" s="71">
        <v>1097</v>
      </c>
      <c r="BH91" s="67"/>
      <c r="BI91" s="68"/>
      <c r="BJ91" s="72">
        <v>879</v>
      </c>
      <c r="BK91" s="62"/>
      <c r="BL91" s="70">
        <v>1878</v>
      </c>
      <c r="BM91" s="70">
        <v>159</v>
      </c>
      <c r="BN91" s="70">
        <v>130</v>
      </c>
      <c r="BO91" s="70">
        <v>570</v>
      </c>
      <c r="BP91" s="73">
        <v>20</v>
      </c>
      <c r="BQ91" s="152">
        <v>649</v>
      </c>
      <c r="BR91" s="153">
        <v>310</v>
      </c>
      <c r="BS91" s="154">
        <v>115</v>
      </c>
      <c r="BT91" s="76">
        <v>67.990832696715046</v>
      </c>
      <c r="BU91" s="77">
        <v>32.009167303284947</v>
      </c>
      <c r="BV91" s="78">
        <v>890</v>
      </c>
      <c r="BW91" s="79">
        <v>419</v>
      </c>
      <c r="BX91" s="69">
        <v>500</v>
      </c>
      <c r="BY91" s="70">
        <v>132</v>
      </c>
      <c r="BZ91" s="70">
        <v>231</v>
      </c>
      <c r="CA91" s="70">
        <v>258</v>
      </c>
      <c r="CB91" s="70">
        <v>9</v>
      </c>
      <c r="CC91" s="70">
        <v>166</v>
      </c>
      <c r="CD91" s="70">
        <v>13</v>
      </c>
      <c r="CE91" s="73">
        <v>0</v>
      </c>
    </row>
    <row r="92" spans="2:83" x14ac:dyDescent="0.3">
      <c r="B92" s="46">
        <v>16</v>
      </c>
      <c r="C92" s="150">
        <v>43210</v>
      </c>
      <c r="D92" s="74">
        <v>16</v>
      </c>
      <c r="E92" s="54">
        <v>1704</v>
      </c>
      <c r="F92" s="75">
        <v>280</v>
      </c>
      <c r="G92" s="51">
        <v>3.7172694854814061</v>
      </c>
      <c r="H92" s="52">
        <v>5.7683794466403162</v>
      </c>
      <c r="I92" s="53">
        <v>1265</v>
      </c>
      <c r="J92" s="54">
        <v>1963</v>
      </c>
      <c r="K92" s="54">
        <v>7297</v>
      </c>
      <c r="L92" s="55">
        <v>4760.6000000000004</v>
      </c>
      <c r="M92" s="55">
        <v>452.22899999999998</v>
      </c>
      <c r="N92" s="57">
        <v>1094.55</v>
      </c>
      <c r="O92" s="58">
        <v>482.57000000000005</v>
      </c>
      <c r="P92" s="59">
        <v>15.121122324222391</v>
      </c>
      <c r="Q92" s="60">
        <v>675.75</v>
      </c>
      <c r="R92" s="61">
        <v>10.798372179060303</v>
      </c>
      <c r="S92" s="48"/>
      <c r="T92" s="50"/>
      <c r="U92" s="151">
        <v>0</v>
      </c>
      <c r="V92" s="54">
        <v>74</v>
      </c>
      <c r="W92" s="75">
        <v>60</v>
      </c>
      <c r="X92" s="80">
        <v>38</v>
      </c>
      <c r="Y92" s="70">
        <v>114</v>
      </c>
      <c r="Z92" s="70">
        <v>241</v>
      </c>
      <c r="AA92" s="64">
        <v>411.3</v>
      </c>
      <c r="AB92" s="64">
        <v>55.478999999999999</v>
      </c>
      <c r="AC92" s="66"/>
      <c r="AD92" s="67"/>
      <c r="AE92" s="68"/>
      <c r="AF92" s="80">
        <v>162</v>
      </c>
      <c r="AG92" s="70">
        <v>182</v>
      </c>
      <c r="AH92" s="70">
        <v>36</v>
      </c>
      <c r="AI92" s="70">
        <v>71</v>
      </c>
      <c r="AJ92" s="70">
        <v>56</v>
      </c>
      <c r="AK92" s="70">
        <v>199</v>
      </c>
      <c r="AL92" s="70">
        <v>109</v>
      </c>
      <c r="AM92" s="70">
        <v>89</v>
      </c>
      <c r="AN92" s="70">
        <v>207</v>
      </c>
      <c r="AO92" s="70">
        <v>141</v>
      </c>
      <c r="AP92" s="70">
        <v>158</v>
      </c>
      <c r="AQ92" s="70">
        <v>263</v>
      </c>
      <c r="AR92" s="63"/>
      <c r="AS92" s="63"/>
      <c r="AT92" s="63"/>
      <c r="AU92" s="63"/>
      <c r="AV92" s="63"/>
      <c r="AW92" s="50"/>
      <c r="AX92" s="80">
        <v>3537</v>
      </c>
      <c r="AY92" s="70">
        <v>19281</v>
      </c>
      <c r="AZ92" s="54">
        <v>825</v>
      </c>
      <c r="BA92" s="54">
        <v>1449</v>
      </c>
      <c r="BB92" s="54">
        <v>372</v>
      </c>
      <c r="BC92" s="54">
        <v>698</v>
      </c>
      <c r="BD92" s="54">
        <v>1004</v>
      </c>
      <c r="BE92" s="70">
        <v>1240</v>
      </c>
      <c r="BF92" s="63"/>
      <c r="BG92" s="71">
        <v>1194</v>
      </c>
      <c r="BH92" s="67"/>
      <c r="BI92" s="68"/>
      <c r="BJ92" s="72">
        <v>612</v>
      </c>
      <c r="BK92" s="62"/>
      <c r="BL92" s="70">
        <v>1867</v>
      </c>
      <c r="BM92" s="70">
        <v>141</v>
      </c>
      <c r="BN92" s="70">
        <v>116</v>
      </c>
      <c r="BO92" s="70">
        <v>348</v>
      </c>
      <c r="BP92" s="73">
        <v>7</v>
      </c>
      <c r="BQ92" s="152">
        <v>676</v>
      </c>
      <c r="BR92" s="153">
        <v>344</v>
      </c>
      <c r="BS92" s="154">
        <v>69</v>
      </c>
      <c r="BT92" s="76">
        <v>70.168404170008017</v>
      </c>
      <c r="BU92" s="77">
        <v>29.831595829991979</v>
      </c>
      <c r="BV92" s="78">
        <v>875</v>
      </c>
      <c r="BW92" s="79">
        <v>372</v>
      </c>
      <c r="BX92" s="69">
        <v>454</v>
      </c>
      <c r="BY92" s="70">
        <v>158</v>
      </c>
      <c r="BZ92" s="70">
        <v>212</v>
      </c>
      <c r="CA92" s="70">
        <v>263</v>
      </c>
      <c r="CB92" s="70">
        <v>9</v>
      </c>
      <c r="CC92" s="70">
        <v>149</v>
      </c>
      <c r="CD92" s="70">
        <v>2</v>
      </c>
      <c r="CE92" s="73">
        <v>0</v>
      </c>
    </row>
    <row r="93" spans="2:83" x14ac:dyDescent="0.3">
      <c r="B93" s="46">
        <v>17</v>
      </c>
      <c r="C93" s="150">
        <v>43213</v>
      </c>
      <c r="D93" s="74">
        <v>32</v>
      </c>
      <c r="E93" s="54">
        <v>2673</v>
      </c>
      <c r="F93" s="75">
        <v>268</v>
      </c>
      <c r="G93" s="51">
        <v>2.5099226370669356</v>
      </c>
      <c r="H93" s="52">
        <v>3.1957173447537475</v>
      </c>
      <c r="I93" s="53">
        <v>2335</v>
      </c>
      <c r="J93" s="54">
        <v>2973</v>
      </c>
      <c r="K93" s="54">
        <v>7462</v>
      </c>
      <c r="L93" s="55">
        <v>5339.8</v>
      </c>
      <c r="M93" s="55">
        <v>445.67599999999999</v>
      </c>
      <c r="N93" s="57">
        <v>1119.3</v>
      </c>
      <c r="O93" s="58">
        <v>586.65</v>
      </c>
      <c r="P93" s="59">
        <v>12.719679536350466</v>
      </c>
      <c r="Q93" s="60">
        <v>745.92</v>
      </c>
      <c r="R93" s="61">
        <v>10.003753753753754</v>
      </c>
      <c r="S93" s="48"/>
      <c r="T93" s="50"/>
      <c r="U93" s="151">
        <v>0</v>
      </c>
      <c r="V93" s="54">
        <v>46</v>
      </c>
      <c r="W93" s="75">
        <v>138</v>
      </c>
      <c r="X93" s="80">
        <v>39</v>
      </c>
      <c r="Y93" s="70">
        <v>107</v>
      </c>
      <c r="Z93" s="70">
        <v>113</v>
      </c>
      <c r="AA93" s="64">
        <v>1316.9</v>
      </c>
      <c r="AB93" s="64">
        <v>81.44</v>
      </c>
      <c r="AC93" s="66"/>
      <c r="AD93" s="67"/>
      <c r="AE93" s="68"/>
      <c r="AF93" s="80">
        <v>350</v>
      </c>
      <c r="AG93" s="70">
        <v>458</v>
      </c>
      <c r="AH93" s="70">
        <v>75</v>
      </c>
      <c r="AI93" s="70">
        <v>164</v>
      </c>
      <c r="AJ93" s="70">
        <v>100</v>
      </c>
      <c r="AK93" s="70">
        <v>397</v>
      </c>
      <c r="AL93" s="70">
        <v>181</v>
      </c>
      <c r="AM93" s="70">
        <v>138</v>
      </c>
      <c r="AN93" s="70">
        <v>238</v>
      </c>
      <c r="AO93" s="70">
        <v>115</v>
      </c>
      <c r="AP93" s="70">
        <v>148</v>
      </c>
      <c r="AQ93" s="70">
        <v>236</v>
      </c>
      <c r="AR93" s="63"/>
      <c r="AS93" s="63"/>
      <c r="AT93" s="63"/>
      <c r="AU93" s="63"/>
      <c r="AV93" s="63"/>
      <c r="AW93" s="50"/>
      <c r="AX93" s="80">
        <v>4763</v>
      </c>
      <c r="AY93" s="70">
        <v>20381</v>
      </c>
      <c r="AZ93" s="54">
        <v>992</v>
      </c>
      <c r="BA93" s="54">
        <v>2308</v>
      </c>
      <c r="BB93" s="54">
        <v>628</v>
      </c>
      <c r="BC93" s="54">
        <v>1156</v>
      </c>
      <c r="BD93" s="54">
        <v>1360</v>
      </c>
      <c r="BE93" s="70">
        <v>1575</v>
      </c>
      <c r="BF93" s="63"/>
      <c r="BG93" s="71">
        <v>1871</v>
      </c>
      <c r="BH93" s="67"/>
      <c r="BI93" s="68"/>
      <c r="BJ93" s="72">
        <v>893</v>
      </c>
      <c r="BK93" s="62"/>
      <c r="BL93" s="70">
        <v>1904</v>
      </c>
      <c r="BM93" s="70">
        <v>281</v>
      </c>
      <c r="BN93" s="70">
        <v>137</v>
      </c>
      <c r="BO93" s="70">
        <v>459</v>
      </c>
      <c r="BP93" s="73">
        <v>16</v>
      </c>
      <c r="BQ93" s="152">
        <v>1689</v>
      </c>
      <c r="BR93" s="153">
        <v>265</v>
      </c>
      <c r="BS93" s="154">
        <v>114</v>
      </c>
      <c r="BT93" s="76">
        <v>80.704770090244949</v>
      </c>
      <c r="BU93" s="77">
        <v>19.295229909755051</v>
      </c>
      <c r="BV93" s="78">
        <v>1878</v>
      </c>
      <c r="BW93" s="79">
        <v>449</v>
      </c>
      <c r="BX93" s="69">
        <v>1240</v>
      </c>
      <c r="BY93" s="70">
        <v>108</v>
      </c>
      <c r="BZ93" s="70">
        <v>200</v>
      </c>
      <c r="CA93" s="70">
        <v>530</v>
      </c>
      <c r="CB93" s="70">
        <v>9</v>
      </c>
      <c r="CC93" s="70">
        <v>193</v>
      </c>
      <c r="CD93" s="70">
        <v>5</v>
      </c>
      <c r="CE93" s="73">
        <v>42</v>
      </c>
    </row>
    <row r="94" spans="2:83" x14ac:dyDescent="0.3">
      <c r="B94" s="46">
        <v>17</v>
      </c>
      <c r="C94" s="150">
        <v>43214</v>
      </c>
      <c r="D94" s="74">
        <v>32</v>
      </c>
      <c r="E94" s="54">
        <v>1642</v>
      </c>
      <c r="F94" s="75">
        <v>288</v>
      </c>
      <c r="G94" s="51">
        <v>3.6065239551478085</v>
      </c>
      <c r="H94" s="52">
        <v>5.7622149837133554</v>
      </c>
      <c r="I94" s="53">
        <v>1228</v>
      </c>
      <c r="J94" s="54">
        <v>1962</v>
      </c>
      <c r="K94" s="54">
        <v>7076</v>
      </c>
      <c r="L94" s="55">
        <v>5202</v>
      </c>
      <c r="M94" s="55">
        <v>581.20000000000005</v>
      </c>
      <c r="N94" s="57">
        <v>1061.3999999999999</v>
      </c>
      <c r="O94" s="58">
        <v>551.27</v>
      </c>
      <c r="P94" s="59">
        <v>12.835815480617484</v>
      </c>
      <c r="Q94" s="60">
        <v>729.43000000000006</v>
      </c>
      <c r="R94" s="61">
        <v>9.7007252238048878</v>
      </c>
      <c r="S94" s="48"/>
      <c r="T94" s="50"/>
      <c r="U94" s="151">
        <v>0</v>
      </c>
      <c r="V94" s="54">
        <v>70</v>
      </c>
      <c r="W94" s="75">
        <v>91</v>
      </c>
      <c r="X94" s="80">
        <v>52</v>
      </c>
      <c r="Y94" s="70">
        <v>181</v>
      </c>
      <c r="Z94" s="70">
        <v>345</v>
      </c>
      <c r="AA94" s="64">
        <v>1181.9000000000001</v>
      </c>
      <c r="AB94" s="64">
        <v>156.80799999999999</v>
      </c>
      <c r="AC94" s="66"/>
      <c r="AD94" s="67"/>
      <c r="AE94" s="68"/>
      <c r="AF94" s="80">
        <v>158</v>
      </c>
      <c r="AG94" s="70">
        <v>186</v>
      </c>
      <c r="AH94" s="70">
        <v>41</v>
      </c>
      <c r="AI94" s="70">
        <v>85</v>
      </c>
      <c r="AJ94" s="70">
        <v>59</v>
      </c>
      <c r="AK94" s="70">
        <v>159</v>
      </c>
      <c r="AL94" s="70">
        <v>100</v>
      </c>
      <c r="AM94" s="70">
        <v>78</v>
      </c>
      <c r="AN94" s="70">
        <v>223</v>
      </c>
      <c r="AO94" s="70">
        <v>98</v>
      </c>
      <c r="AP94" s="70">
        <v>228</v>
      </c>
      <c r="AQ94" s="70">
        <v>177</v>
      </c>
      <c r="AR94" s="63"/>
      <c r="AS94" s="63"/>
      <c r="AT94" s="63"/>
      <c r="AU94" s="63"/>
      <c r="AV94" s="63"/>
      <c r="AW94" s="50"/>
      <c r="AX94" s="80">
        <v>3443</v>
      </c>
      <c r="AY94" s="70">
        <v>16157</v>
      </c>
      <c r="AZ94" s="54">
        <v>1405</v>
      </c>
      <c r="BA94" s="54">
        <v>4552</v>
      </c>
      <c r="BB94" s="54">
        <v>325</v>
      </c>
      <c r="BC94" s="54">
        <v>834</v>
      </c>
      <c r="BD94" s="54">
        <v>975</v>
      </c>
      <c r="BE94" s="70">
        <v>1742</v>
      </c>
      <c r="BF94" s="63"/>
      <c r="BG94" s="71">
        <v>1344</v>
      </c>
      <c r="BH94" s="67"/>
      <c r="BI94" s="68"/>
      <c r="BJ94" s="72">
        <v>1023</v>
      </c>
      <c r="BK94" s="62"/>
      <c r="BL94" s="70">
        <v>1935</v>
      </c>
      <c r="BM94" s="70">
        <v>186</v>
      </c>
      <c r="BN94" s="70">
        <v>177</v>
      </c>
      <c r="BO94" s="70">
        <v>650</v>
      </c>
      <c r="BP94" s="73">
        <v>10</v>
      </c>
      <c r="BQ94" s="152">
        <v>708</v>
      </c>
      <c r="BR94" s="153">
        <v>283</v>
      </c>
      <c r="BS94" s="154">
        <v>129</v>
      </c>
      <c r="BT94" s="76">
        <v>72.121710526315795</v>
      </c>
      <c r="BU94" s="77">
        <v>27.878289473684209</v>
      </c>
      <c r="BV94" s="78">
        <v>877</v>
      </c>
      <c r="BW94" s="79">
        <v>339</v>
      </c>
      <c r="BX94" s="69">
        <v>496</v>
      </c>
      <c r="BY94" s="70">
        <v>97</v>
      </c>
      <c r="BZ94" s="70">
        <v>228</v>
      </c>
      <c r="CA94" s="70">
        <v>284</v>
      </c>
      <c r="CB94" s="70">
        <v>8</v>
      </c>
      <c r="CC94" s="70">
        <v>97</v>
      </c>
      <c r="CD94" s="70">
        <v>6</v>
      </c>
      <c r="CE94" s="73">
        <v>0</v>
      </c>
    </row>
    <row r="95" spans="2:83" x14ac:dyDescent="0.3">
      <c r="B95" s="46">
        <v>17</v>
      </c>
      <c r="C95" s="150">
        <v>43215</v>
      </c>
      <c r="D95" s="74">
        <v>61</v>
      </c>
      <c r="E95" s="54">
        <v>1962</v>
      </c>
      <c r="F95" s="75">
        <v>298</v>
      </c>
      <c r="G95" s="51">
        <v>3.6609220163722531</v>
      </c>
      <c r="H95" s="52">
        <v>5.9586255259467045</v>
      </c>
      <c r="I95" s="53">
        <v>1426</v>
      </c>
      <c r="J95" s="54">
        <v>2321</v>
      </c>
      <c r="K95" s="54">
        <v>8497</v>
      </c>
      <c r="L95" s="55">
        <v>5987.9</v>
      </c>
      <c r="M95" s="55">
        <v>555.6</v>
      </c>
      <c r="N95" s="57">
        <v>1274.55</v>
      </c>
      <c r="O95" s="58">
        <v>574.55999999999995</v>
      </c>
      <c r="P95" s="59">
        <v>14.788707880813146</v>
      </c>
      <c r="Q95" s="60">
        <v>751.28</v>
      </c>
      <c r="R95" s="61">
        <v>11.310030880630391</v>
      </c>
      <c r="S95" s="48"/>
      <c r="T95" s="50"/>
      <c r="U95" s="151">
        <v>0</v>
      </c>
      <c r="V95" s="54">
        <v>126</v>
      </c>
      <c r="W95" s="75">
        <v>130</v>
      </c>
      <c r="X95" s="80">
        <v>76</v>
      </c>
      <c r="Y95" s="70">
        <v>215</v>
      </c>
      <c r="Z95" s="70">
        <v>453</v>
      </c>
      <c r="AA95" s="64">
        <v>1207.5999999999999</v>
      </c>
      <c r="AB95" s="64">
        <v>162.17699999999999</v>
      </c>
      <c r="AC95" s="66"/>
      <c r="AD95" s="67"/>
      <c r="AE95" s="68"/>
      <c r="AF95" s="80">
        <v>142</v>
      </c>
      <c r="AG95" s="70">
        <v>190</v>
      </c>
      <c r="AH95" s="70">
        <v>54</v>
      </c>
      <c r="AI95" s="70">
        <v>108</v>
      </c>
      <c r="AJ95" s="70">
        <v>68</v>
      </c>
      <c r="AK95" s="70">
        <v>180</v>
      </c>
      <c r="AL95" s="70">
        <v>127</v>
      </c>
      <c r="AM95" s="70">
        <v>110</v>
      </c>
      <c r="AN95" s="70">
        <v>423</v>
      </c>
      <c r="AO95" s="70">
        <v>172</v>
      </c>
      <c r="AP95" s="70">
        <v>197</v>
      </c>
      <c r="AQ95" s="70">
        <v>106</v>
      </c>
      <c r="AR95" s="63"/>
      <c r="AS95" s="63"/>
      <c r="AT95" s="63"/>
      <c r="AU95" s="63"/>
      <c r="AV95" s="63"/>
      <c r="AW95" s="50"/>
      <c r="AX95" s="80">
        <v>4664</v>
      </c>
      <c r="AY95" s="70">
        <v>21995</v>
      </c>
      <c r="AZ95" s="54">
        <v>1407</v>
      </c>
      <c r="BA95" s="54">
        <v>3159</v>
      </c>
      <c r="BB95" s="54">
        <v>707</v>
      </c>
      <c r="BC95" s="54">
        <v>1514</v>
      </c>
      <c r="BD95" s="54">
        <v>1325</v>
      </c>
      <c r="BE95" s="70">
        <v>1951</v>
      </c>
      <c r="BF95" s="63"/>
      <c r="BG95" s="71">
        <v>1810</v>
      </c>
      <c r="BH95" s="67"/>
      <c r="BI95" s="68"/>
      <c r="BJ95" s="72">
        <v>1004</v>
      </c>
      <c r="BK95" s="62"/>
      <c r="BL95" s="70">
        <v>1811</v>
      </c>
      <c r="BM95" s="70">
        <v>254</v>
      </c>
      <c r="BN95" s="70">
        <v>132</v>
      </c>
      <c r="BO95" s="70">
        <v>607</v>
      </c>
      <c r="BP95" s="73">
        <v>11</v>
      </c>
      <c r="BQ95" s="152">
        <v>713</v>
      </c>
      <c r="BR95" s="153">
        <v>396</v>
      </c>
      <c r="BS95" s="154">
        <v>139</v>
      </c>
      <c r="BT95" s="76">
        <v>75.248226950354606</v>
      </c>
      <c r="BU95" s="77">
        <v>24.75177304964539</v>
      </c>
      <c r="BV95" s="78">
        <v>1061</v>
      </c>
      <c r="BW95" s="79">
        <v>349</v>
      </c>
      <c r="BX95" s="69">
        <v>682</v>
      </c>
      <c r="BY95" s="70">
        <v>151</v>
      </c>
      <c r="BZ95" s="70">
        <v>204</v>
      </c>
      <c r="CA95" s="70">
        <v>228</v>
      </c>
      <c r="CB95" s="70">
        <v>6</v>
      </c>
      <c r="CC95" s="70">
        <v>131</v>
      </c>
      <c r="CD95" s="70">
        <v>8</v>
      </c>
      <c r="CE95" s="73">
        <v>0</v>
      </c>
    </row>
    <row r="96" spans="2:83" x14ac:dyDescent="0.3">
      <c r="B96" s="46">
        <v>17</v>
      </c>
      <c r="C96" s="150">
        <v>43216</v>
      </c>
      <c r="D96" s="74">
        <v>0</v>
      </c>
      <c r="E96" s="54">
        <v>1299</v>
      </c>
      <c r="F96" s="75">
        <v>323</v>
      </c>
      <c r="G96" s="51">
        <v>3.1300863131935883</v>
      </c>
      <c r="H96" s="52">
        <v>4.8958534233365478</v>
      </c>
      <c r="I96" s="53">
        <v>1037</v>
      </c>
      <c r="J96" s="54">
        <v>1622</v>
      </c>
      <c r="K96" s="54">
        <v>5077</v>
      </c>
      <c r="L96" s="55">
        <v>5114.2</v>
      </c>
      <c r="M96" s="55">
        <v>573.89599999999996</v>
      </c>
      <c r="N96" s="57">
        <v>761.55</v>
      </c>
      <c r="O96" s="58">
        <v>508.32</v>
      </c>
      <c r="P96" s="59">
        <v>9.9878029587661317</v>
      </c>
      <c r="Q96" s="60">
        <v>685.68999999999994</v>
      </c>
      <c r="R96" s="61">
        <v>7.4042205661450513</v>
      </c>
      <c r="S96" s="48"/>
      <c r="T96" s="50"/>
      <c r="U96" s="151">
        <v>0</v>
      </c>
      <c r="V96" s="54">
        <v>81</v>
      </c>
      <c r="W96" s="75">
        <v>126</v>
      </c>
      <c r="X96" s="80">
        <v>42</v>
      </c>
      <c r="Y96" s="70">
        <v>310</v>
      </c>
      <c r="Z96" s="70">
        <v>252</v>
      </c>
      <c r="AA96" s="64">
        <v>970.9</v>
      </c>
      <c r="AB96" s="64">
        <v>249.38499999999999</v>
      </c>
      <c r="AC96" s="66"/>
      <c r="AD96" s="67"/>
      <c r="AE96" s="68"/>
      <c r="AF96" s="80">
        <v>96</v>
      </c>
      <c r="AG96" s="70">
        <v>224</v>
      </c>
      <c r="AH96" s="70">
        <v>47</v>
      </c>
      <c r="AI96" s="70">
        <v>61</v>
      </c>
      <c r="AJ96" s="70">
        <v>41</v>
      </c>
      <c r="AK96" s="70">
        <v>138</v>
      </c>
      <c r="AL96" s="70">
        <v>99</v>
      </c>
      <c r="AM96" s="70">
        <v>86</v>
      </c>
      <c r="AN96" s="70">
        <v>177</v>
      </c>
      <c r="AO96" s="70">
        <v>140</v>
      </c>
      <c r="AP96" s="70">
        <v>73</v>
      </c>
      <c r="AQ96" s="70">
        <v>89</v>
      </c>
      <c r="AR96" s="63"/>
      <c r="AS96" s="63"/>
      <c r="AT96" s="63"/>
      <c r="AU96" s="63"/>
      <c r="AV96" s="63"/>
      <c r="AW96" s="50"/>
      <c r="AX96" s="80">
        <v>2469</v>
      </c>
      <c r="AY96" s="70">
        <v>17000</v>
      </c>
      <c r="AZ96" s="54">
        <v>1375</v>
      </c>
      <c r="BA96" s="54">
        <v>5793</v>
      </c>
      <c r="BB96" s="54">
        <v>103</v>
      </c>
      <c r="BC96" s="54">
        <v>524</v>
      </c>
      <c r="BD96" s="54">
        <v>789</v>
      </c>
      <c r="BE96" s="70">
        <v>1519</v>
      </c>
      <c r="BF96" s="63"/>
      <c r="BG96" s="71">
        <v>1015</v>
      </c>
      <c r="BH96" s="67"/>
      <c r="BI96" s="68"/>
      <c r="BJ96" s="72">
        <v>948</v>
      </c>
      <c r="BK96" s="62"/>
      <c r="BL96" s="70">
        <v>1617</v>
      </c>
      <c r="BM96" s="70">
        <v>291</v>
      </c>
      <c r="BN96" s="70">
        <v>207</v>
      </c>
      <c r="BO96" s="70">
        <v>421</v>
      </c>
      <c r="BP96" s="73">
        <v>29</v>
      </c>
      <c r="BQ96" s="152">
        <v>616</v>
      </c>
      <c r="BR96" s="153">
        <v>220</v>
      </c>
      <c r="BS96" s="154">
        <v>114</v>
      </c>
      <c r="BT96" s="76">
        <v>75.169738118331722</v>
      </c>
      <c r="BU96" s="77">
        <v>24.830261881668282</v>
      </c>
      <c r="BV96" s="78">
        <v>775</v>
      </c>
      <c r="BW96" s="79">
        <v>256</v>
      </c>
      <c r="BX96" s="69">
        <v>466</v>
      </c>
      <c r="BY96" s="70">
        <v>96</v>
      </c>
      <c r="BZ96" s="70">
        <v>153</v>
      </c>
      <c r="CA96" s="70">
        <v>213</v>
      </c>
      <c r="CB96" s="70">
        <v>2</v>
      </c>
      <c r="CC96" s="70">
        <v>93</v>
      </c>
      <c r="CD96" s="70">
        <v>8</v>
      </c>
      <c r="CE96" s="73">
        <v>0</v>
      </c>
    </row>
    <row r="97" spans="2:83" x14ac:dyDescent="0.3">
      <c r="B97" s="46">
        <v>17</v>
      </c>
      <c r="C97" s="150">
        <v>43217</v>
      </c>
      <c r="D97" s="74">
        <v>9</v>
      </c>
      <c r="E97" s="54">
        <v>1901</v>
      </c>
      <c r="F97" s="75">
        <v>302</v>
      </c>
      <c r="G97" s="51">
        <v>3.3218806509945749</v>
      </c>
      <c r="H97" s="52">
        <v>5.1819464033850497</v>
      </c>
      <c r="I97" s="53">
        <v>1418</v>
      </c>
      <c r="J97" s="54">
        <v>2212</v>
      </c>
      <c r="K97" s="54">
        <v>7348</v>
      </c>
      <c r="L97" s="55">
        <v>5767.7</v>
      </c>
      <c r="M97" s="55">
        <v>564.29999999999995</v>
      </c>
      <c r="N97" s="57">
        <v>1102.2</v>
      </c>
      <c r="O97" s="58">
        <v>521.79999999999995</v>
      </c>
      <c r="P97" s="59">
        <v>14.082023763894213</v>
      </c>
      <c r="Q97" s="60">
        <v>701.98</v>
      </c>
      <c r="R97" s="61">
        <v>10.467534687597936</v>
      </c>
      <c r="S97" s="48"/>
      <c r="T97" s="50"/>
      <c r="U97" s="151">
        <v>0</v>
      </c>
      <c r="V97" s="54">
        <v>82</v>
      </c>
      <c r="W97" s="75">
        <v>136</v>
      </c>
      <c r="X97" s="80">
        <v>70</v>
      </c>
      <c r="Y97" s="70">
        <v>222</v>
      </c>
      <c r="Z97" s="70">
        <v>558</v>
      </c>
      <c r="AA97" s="64">
        <v>1082.9000000000001</v>
      </c>
      <c r="AB97" s="64">
        <v>145.56</v>
      </c>
      <c r="AC97" s="66"/>
      <c r="AD97" s="67"/>
      <c r="AE97" s="68"/>
      <c r="AF97" s="80">
        <v>101</v>
      </c>
      <c r="AG97" s="70">
        <v>274</v>
      </c>
      <c r="AH97" s="70">
        <v>34</v>
      </c>
      <c r="AI97" s="70">
        <v>55</v>
      </c>
      <c r="AJ97" s="70">
        <v>41</v>
      </c>
      <c r="AK97" s="70">
        <v>155</v>
      </c>
      <c r="AL97" s="70">
        <v>128</v>
      </c>
      <c r="AM97" s="70">
        <v>121</v>
      </c>
      <c r="AN97" s="70">
        <v>347</v>
      </c>
      <c r="AO97" s="70">
        <v>159</v>
      </c>
      <c r="AP97" s="70">
        <v>218</v>
      </c>
      <c r="AQ97" s="70">
        <v>229</v>
      </c>
      <c r="AR97" s="63"/>
      <c r="AS97" s="63"/>
      <c r="AT97" s="63"/>
      <c r="AU97" s="63"/>
      <c r="AV97" s="63"/>
      <c r="AW97" s="50"/>
      <c r="AX97" s="80">
        <v>2614</v>
      </c>
      <c r="AY97" s="70">
        <v>11044</v>
      </c>
      <c r="AZ97" s="54">
        <v>987</v>
      </c>
      <c r="BA97" s="54">
        <v>4578</v>
      </c>
      <c r="BB97" s="54">
        <v>478</v>
      </c>
      <c r="BC97" s="54">
        <v>3186</v>
      </c>
      <c r="BD97" s="54">
        <v>832</v>
      </c>
      <c r="BE97" s="70">
        <v>1773</v>
      </c>
      <c r="BF97" s="63"/>
      <c r="BG97" s="71">
        <v>2129</v>
      </c>
      <c r="BH97" s="67"/>
      <c r="BI97" s="68"/>
      <c r="BJ97" s="72">
        <v>753</v>
      </c>
      <c r="BK97" s="62"/>
      <c r="BL97" s="70">
        <v>1457</v>
      </c>
      <c r="BM97" s="70">
        <v>142</v>
      </c>
      <c r="BN97" s="70">
        <v>131</v>
      </c>
      <c r="BO97" s="70">
        <v>470</v>
      </c>
      <c r="BP97" s="73">
        <v>10</v>
      </c>
      <c r="BQ97" s="152">
        <v>641</v>
      </c>
      <c r="BR97" s="153">
        <v>456</v>
      </c>
      <c r="BS97" s="154">
        <v>149</v>
      </c>
      <c r="BT97" s="76">
        <v>63.87096774193548</v>
      </c>
      <c r="BU97" s="77">
        <v>36.12903225806452</v>
      </c>
      <c r="BV97" s="78">
        <v>891</v>
      </c>
      <c r="BW97" s="79">
        <v>504</v>
      </c>
      <c r="BX97" s="69">
        <v>562</v>
      </c>
      <c r="BY97" s="70">
        <v>125</v>
      </c>
      <c r="BZ97" s="70">
        <v>370</v>
      </c>
      <c r="CA97" s="70">
        <v>204</v>
      </c>
      <c r="CB97" s="70">
        <v>8</v>
      </c>
      <c r="CC97" s="70">
        <v>119</v>
      </c>
      <c r="CD97" s="70">
        <v>7</v>
      </c>
      <c r="CE97" s="73">
        <v>0</v>
      </c>
    </row>
    <row r="98" spans="2:83" x14ac:dyDescent="0.3">
      <c r="B98" s="46">
        <v>18</v>
      </c>
      <c r="C98" s="150">
        <v>43220</v>
      </c>
      <c r="D98" s="74">
        <v>10</v>
      </c>
      <c r="E98" s="54">
        <v>2283</v>
      </c>
      <c r="F98" s="75">
        <v>336</v>
      </c>
      <c r="G98" s="51">
        <v>2.2063804647499015</v>
      </c>
      <c r="H98" s="52">
        <v>2.6984585741811173</v>
      </c>
      <c r="I98" s="53">
        <v>2076</v>
      </c>
      <c r="J98" s="54">
        <v>2539</v>
      </c>
      <c r="K98" s="54">
        <v>5602</v>
      </c>
      <c r="L98" s="55">
        <v>5808.6</v>
      </c>
      <c r="M98" s="55">
        <v>461.5</v>
      </c>
      <c r="N98" s="57">
        <v>840.30000000000007</v>
      </c>
      <c r="O98" s="58">
        <v>436.02</v>
      </c>
      <c r="P98" s="59">
        <v>12.848034493830559</v>
      </c>
      <c r="Q98" s="60">
        <v>574.47</v>
      </c>
      <c r="R98" s="61">
        <v>9.7515971243058814</v>
      </c>
      <c r="S98" s="48"/>
      <c r="T98" s="50"/>
      <c r="U98" s="151">
        <v>0</v>
      </c>
      <c r="V98" s="54">
        <v>12</v>
      </c>
      <c r="W98" s="75">
        <v>13</v>
      </c>
      <c r="X98" s="80">
        <v>13</v>
      </c>
      <c r="Y98" s="70">
        <v>36</v>
      </c>
      <c r="Z98" s="70">
        <v>58</v>
      </c>
      <c r="AA98" s="64">
        <v>1500.5</v>
      </c>
      <c r="AB98" s="64">
        <v>26.567</v>
      </c>
      <c r="AC98" s="66"/>
      <c r="AD98" s="67"/>
      <c r="AE98" s="68"/>
      <c r="AF98" s="80">
        <v>244</v>
      </c>
      <c r="AG98" s="70">
        <v>465</v>
      </c>
      <c r="AH98" s="70">
        <v>76</v>
      </c>
      <c r="AI98" s="70">
        <v>176</v>
      </c>
      <c r="AJ98" s="70">
        <v>98</v>
      </c>
      <c r="AK98" s="70">
        <v>359</v>
      </c>
      <c r="AL98" s="70">
        <v>170</v>
      </c>
      <c r="AM98" s="70">
        <v>132</v>
      </c>
      <c r="AN98" s="70">
        <v>218</v>
      </c>
      <c r="AO98" s="70">
        <v>75</v>
      </c>
      <c r="AP98" s="70">
        <v>129</v>
      </c>
      <c r="AQ98" s="70">
        <v>90</v>
      </c>
      <c r="AR98" s="63"/>
      <c r="AS98" s="63"/>
      <c r="AT98" s="63"/>
      <c r="AU98" s="63"/>
      <c r="AV98" s="63"/>
      <c r="AW98" s="50"/>
      <c r="AX98" s="80">
        <v>3720</v>
      </c>
      <c r="AY98" s="70">
        <v>18101</v>
      </c>
      <c r="AZ98" s="54">
        <v>1186</v>
      </c>
      <c r="BA98" s="54">
        <v>4323</v>
      </c>
      <c r="BB98" s="54">
        <v>277</v>
      </c>
      <c r="BC98" s="54">
        <v>614</v>
      </c>
      <c r="BD98" s="54">
        <v>1224</v>
      </c>
      <c r="BE98" s="70">
        <v>1425</v>
      </c>
      <c r="BF98" s="63"/>
      <c r="BG98" s="71">
        <v>1926</v>
      </c>
      <c r="BH98" s="67"/>
      <c r="BI98" s="68"/>
      <c r="BJ98" s="72">
        <v>649</v>
      </c>
      <c r="BK98" s="62"/>
      <c r="BL98" s="70">
        <v>1747</v>
      </c>
      <c r="BM98" s="70">
        <v>66</v>
      </c>
      <c r="BN98" s="70">
        <v>224</v>
      </c>
      <c r="BO98" s="70">
        <v>348</v>
      </c>
      <c r="BP98" s="73">
        <v>11</v>
      </c>
      <c r="BQ98" s="152">
        <v>1528</v>
      </c>
      <c r="BR98" s="153">
        <v>268</v>
      </c>
      <c r="BS98" s="154">
        <v>53</v>
      </c>
      <c r="BT98" s="76">
        <v>84.574209245742097</v>
      </c>
      <c r="BU98" s="77">
        <v>15.425790754257907</v>
      </c>
      <c r="BV98" s="78">
        <v>1738</v>
      </c>
      <c r="BW98" s="79">
        <v>317</v>
      </c>
      <c r="BX98" s="69">
        <v>1032</v>
      </c>
      <c r="BY98" s="70">
        <v>128</v>
      </c>
      <c r="BZ98" s="70">
        <v>119</v>
      </c>
      <c r="CA98" s="70">
        <v>578</v>
      </c>
      <c r="CB98" s="70">
        <v>4</v>
      </c>
      <c r="CC98" s="70">
        <v>174</v>
      </c>
      <c r="CD98" s="70">
        <v>9</v>
      </c>
      <c r="CE98" s="73">
        <v>11</v>
      </c>
    </row>
    <row r="99" spans="2:83" x14ac:dyDescent="0.3">
      <c r="B99" s="46">
        <v>18</v>
      </c>
      <c r="C99" s="150">
        <v>43222</v>
      </c>
      <c r="D99" s="74">
        <v>12</v>
      </c>
      <c r="E99" s="54">
        <v>2388</v>
      </c>
      <c r="F99" s="75">
        <v>257</v>
      </c>
      <c r="G99" s="51">
        <v>3.565988909426987</v>
      </c>
      <c r="H99" s="52">
        <v>4.7214880078316206</v>
      </c>
      <c r="I99" s="53">
        <v>2043</v>
      </c>
      <c r="J99" s="54">
        <v>2705</v>
      </c>
      <c r="K99" s="54">
        <v>9646</v>
      </c>
      <c r="L99" s="55">
        <v>9012.9</v>
      </c>
      <c r="M99" s="55">
        <v>561.93899999999996</v>
      </c>
      <c r="N99" s="57">
        <v>1446.9</v>
      </c>
      <c r="O99" s="58">
        <v>550.05999999999995</v>
      </c>
      <c r="P99" s="59">
        <v>17.536268770679563</v>
      </c>
      <c r="Q99" s="60">
        <v>711.20999999999992</v>
      </c>
      <c r="R99" s="61">
        <v>13.562801422927127</v>
      </c>
      <c r="S99" s="48"/>
      <c r="T99" s="50"/>
      <c r="U99" s="151">
        <v>0</v>
      </c>
      <c r="V99" s="54">
        <v>79</v>
      </c>
      <c r="W99" s="75">
        <v>52</v>
      </c>
      <c r="X99" s="80">
        <v>58</v>
      </c>
      <c r="Y99" s="70">
        <v>131</v>
      </c>
      <c r="Z99" s="70">
        <v>226</v>
      </c>
      <c r="AA99" s="64">
        <v>1594.3</v>
      </c>
      <c r="AB99" s="64">
        <v>77.120999999999995</v>
      </c>
      <c r="AC99" s="66"/>
      <c r="AD99" s="67"/>
      <c r="AE99" s="68"/>
      <c r="AF99" s="80">
        <v>195</v>
      </c>
      <c r="AG99" s="70">
        <v>466</v>
      </c>
      <c r="AH99" s="70">
        <v>66</v>
      </c>
      <c r="AI99" s="70">
        <v>126</v>
      </c>
      <c r="AJ99" s="70">
        <v>84</v>
      </c>
      <c r="AK99" s="70">
        <v>329</v>
      </c>
      <c r="AL99" s="70">
        <v>162</v>
      </c>
      <c r="AM99" s="70">
        <v>117</v>
      </c>
      <c r="AN99" s="70">
        <v>334</v>
      </c>
      <c r="AO99" s="70">
        <v>148</v>
      </c>
      <c r="AP99" s="70">
        <v>164</v>
      </c>
      <c r="AQ99" s="70">
        <v>107</v>
      </c>
      <c r="AR99" s="63"/>
      <c r="AS99" s="63"/>
      <c r="AT99" s="63"/>
      <c r="AU99" s="63"/>
      <c r="AV99" s="63"/>
      <c r="AW99" s="50"/>
      <c r="AX99" s="80">
        <v>6319</v>
      </c>
      <c r="AY99" s="70">
        <v>26417</v>
      </c>
      <c r="AZ99" s="54">
        <v>1459</v>
      </c>
      <c r="BA99" s="54">
        <v>2939</v>
      </c>
      <c r="BB99" s="54">
        <v>660</v>
      </c>
      <c r="BC99" s="54">
        <v>1295</v>
      </c>
      <c r="BD99" s="54">
        <v>1446</v>
      </c>
      <c r="BE99" s="70">
        <v>2164</v>
      </c>
      <c r="BF99" s="63"/>
      <c r="BG99" s="71">
        <v>2776</v>
      </c>
      <c r="BH99" s="67"/>
      <c r="BI99" s="68"/>
      <c r="BJ99" s="72">
        <v>779</v>
      </c>
      <c r="BK99" s="62"/>
      <c r="BL99" s="70">
        <v>1990</v>
      </c>
      <c r="BM99" s="70">
        <v>67</v>
      </c>
      <c r="BN99" s="70">
        <v>109</v>
      </c>
      <c r="BO99" s="70">
        <v>586</v>
      </c>
      <c r="BP99" s="73">
        <v>17</v>
      </c>
      <c r="BQ99" s="152">
        <v>1266</v>
      </c>
      <c r="BR99" s="153">
        <v>385</v>
      </c>
      <c r="BS99" s="154">
        <v>164</v>
      </c>
      <c r="BT99" s="76">
        <v>79.970178926441349</v>
      </c>
      <c r="BU99" s="77">
        <v>20.029821073558647</v>
      </c>
      <c r="BV99" s="78">
        <v>1609</v>
      </c>
      <c r="BW99" s="79">
        <v>403</v>
      </c>
      <c r="BX99" s="69">
        <v>1050</v>
      </c>
      <c r="BY99" s="70">
        <v>165</v>
      </c>
      <c r="BZ99" s="70">
        <v>232</v>
      </c>
      <c r="CA99" s="70">
        <v>394</v>
      </c>
      <c r="CB99" s="70">
        <v>8</v>
      </c>
      <c r="CC99" s="70">
        <v>157</v>
      </c>
      <c r="CD99" s="70">
        <v>6</v>
      </c>
      <c r="CE99" s="73">
        <v>0</v>
      </c>
    </row>
    <row r="100" spans="2:83" x14ac:dyDescent="0.3">
      <c r="B100" s="46">
        <v>18</v>
      </c>
      <c r="C100" s="150">
        <v>43223</v>
      </c>
      <c r="D100" s="74">
        <v>54</v>
      </c>
      <c r="E100" s="54">
        <v>1666</v>
      </c>
      <c r="F100" s="75">
        <v>238</v>
      </c>
      <c r="G100" s="51">
        <v>4.4350949204720367</v>
      </c>
      <c r="H100" s="52">
        <v>6.854877081681205</v>
      </c>
      <c r="I100" s="53">
        <v>1261</v>
      </c>
      <c r="J100" s="54">
        <v>1949</v>
      </c>
      <c r="K100" s="54">
        <v>8644</v>
      </c>
      <c r="L100" s="55">
        <v>5628.4</v>
      </c>
      <c r="M100" s="55">
        <v>459.96800000000002</v>
      </c>
      <c r="N100" s="57">
        <v>1296.5999999999999</v>
      </c>
      <c r="O100" s="58">
        <v>526.85</v>
      </c>
      <c r="P100" s="59">
        <v>16.406946948846919</v>
      </c>
      <c r="Q100" s="60">
        <v>698.6</v>
      </c>
      <c r="R100" s="61">
        <v>12.373318064700829</v>
      </c>
      <c r="S100" s="48"/>
      <c r="T100" s="50"/>
      <c r="U100" s="151">
        <v>0</v>
      </c>
      <c r="V100" s="54">
        <v>108</v>
      </c>
      <c r="W100" s="75">
        <v>76</v>
      </c>
      <c r="X100" s="80">
        <v>60</v>
      </c>
      <c r="Y100" s="70">
        <v>163</v>
      </c>
      <c r="Z100" s="70">
        <v>219</v>
      </c>
      <c r="AA100" s="64">
        <v>615.20000000000005</v>
      </c>
      <c r="AB100" s="64">
        <v>71.248000000000005</v>
      </c>
      <c r="AC100" s="66"/>
      <c r="AD100" s="67"/>
      <c r="AE100" s="68"/>
      <c r="AF100" s="80">
        <v>113</v>
      </c>
      <c r="AG100" s="70">
        <v>185</v>
      </c>
      <c r="AH100" s="70">
        <v>54</v>
      </c>
      <c r="AI100" s="70">
        <v>71</v>
      </c>
      <c r="AJ100" s="70">
        <v>58</v>
      </c>
      <c r="AK100" s="70">
        <v>199</v>
      </c>
      <c r="AL100" s="70">
        <v>122</v>
      </c>
      <c r="AM100" s="70">
        <v>123</v>
      </c>
      <c r="AN100" s="70">
        <v>281</v>
      </c>
      <c r="AO100" s="70">
        <v>117</v>
      </c>
      <c r="AP100" s="70">
        <v>172</v>
      </c>
      <c r="AQ100" s="70">
        <v>117</v>
      </c>
      <c r="AR100" s="63"/>
      <c r="AS100" s="63"/>
      <c r="AT100" s="63"/>
      <c r="AU100" s="63"/>
      <c r="AV100" s="63"/>
      <c r="AW100" s="50"/>
      <c r="AX100" s="80">
        <v>3107</v>
      </c>
      <c r="AY100" s="70">
        <v>14898</v>
      </c>
      <c r="AZ100" s="54">
        <v>1133</v>
      </c>
      <c r="BA100" s="54">
        <v>2779</v>
      </c>
      <c r="BB100" s="54">
        <v>469</v>
      </c>
      <c r="BC100" s="54">
        <v>1386</v>
      </c>
      <c r="BD100" s="54">
        <v>915</v>
      </c>
      <c r="BE100" s="70">
        <v>1843</v>
      </c>
      <c r="BF100" s="63"/>
      <c r="BG100" s="71">
        <v>1271</v>
      </c>
      <c r="BH100" s="67"/>
      <c r="BI100" s="68"/>
      <c r="BJ100" s="72">
        <v>788</v>
      </c>
      <c r="BK100" s="62"/>
      <c r="BL100" s="70">
        <v>1864</v>
      </c>
      <c r="BM100" s="70">
        <v>28</v>
      </c>
      <c r="BN100" s="70">
        <v>91</v>
      </c>
      <c r="BO100" s="70">
        <v>652</v>
      </c>
      <c r="BP100" s="73">
        <v>17</v>
      </c>
      <c r="BQ100" s="152">
        <v>710</v>
      </c>
      <c r="BR100" s="153">
        <v>367</v>
      </c>
      <c r="BS100" s="154">
        <v>99</v>
      </c>
      <c r="BT100" s="76">
        <v>75.2</v>
      </c>
      <c r="BU100" s="77">
        <v>24.8</v>
      </c>
      <c r="BV100" s="78">
        <v>940</v>
      </c>
      <c r="BW100" s="79">
        <v>310</v>
      </c>
      <c r="BX100" s="69">
        <v>527</v>
      </c>
      <c r="BY100" s="70">
        <v>138</v>
      </c>
      <c r="BZ100" s="70">
        <v>230</v>
      </c>
      <c r="CA100" s="70">
        <v>275</v>
      </c>
      <c r="CB100" s="70">
        <v>5</v>
      </c>
      <c r="CC100" s="70">
        <v>61</v>
      </c>
      <c r="CD100" s="70">
        <v>14</v>
      </c>
      <c r="CE100" s="73">
        <v>0</v>
      </c>
    </row>
    <row r="101" spans="2:83" x14ac:dyDescent="0.3">
      <c r="B101" s="46">
        <v>18</v>
      </c>
      <c r="C101" s="150">
        <v>43224</v>
      </c>
      <c r="D101" s="74">
        <v>24</v>
      </c>
      <c r="E101" s="54">
        <v>1618</v>
      </c>
      <c r="F101" s="75">
        <v>271</v>
      </c>
      <c r="G101" s="51">
        <v>4.2867420349434742</v>
      </c>
      <c r="H101" s="52">
        <v>6.7004016064257028</v>
      </c>
      <c r="I101" s="53">
        <v>1245</v>
      </c>
      <c r="J101" s="54">
        <v>1946</v>
      </c>
      <c r="K101" s="54">
        <v>8342</v>
      </c>
      <c r="L101" s="55">
        <v>8100.1</v>
      </c>
      <c r="M101" s="55">
        <v>520.53800000000001</v>
      </c>
      <c r="N101" s="57">
        <v>1251.3000000000002</v>
      </c>
      <c r="O101" s="58">
        <v>520.39</v>
      </c>
      <c r="P101" s="59">
        <v>16.030284978573761</v>
      </c>
      <c r="Q101" s="60">
        <v>694.03</v>
      </c>
      <c r="R101" s="61">
        <v>12.019653329106811</v>
      </c>
      <c r="S101" s="48"/>
      <c r="T101" s="50"/>
      <c r="U101" s="151">
        <v>0</v>
      </c>
      <c r="V101" s="54">
        <v>22</v>
      </c>
      <c r="W101" s="75">
        <v>81</v>
      </c>
      <c r="X101" s="80">
        <v>24</v>
      </c>
      <c r="Y101" s="70">
        <v>107</v>
      </c>
      <c r="Z101" s="70">
        <v>389</v>
      </c>
      <c r="AA101" s="64">
        <v>1937.7</v>
      </c>
      <c r="AB101" s="64">
        <v>92.052999999999997</v>
      </c>
      <c r="AC101" s="66"/>
      <c r="AD101" s="67"/>
      <c r="AE101" s="68"/>
      <c r="AF101" s="80">
        <v>95</v>
      </c>
      <c r="AG101" s="70">
        <v>169</v>
      </c>
      <c r="AH101" s="70">
        <v>44</v>
      </c>
      <c r="AI101" s="70">
        <v>53</v>
      </c>
      <c r="AJ101" s="70">
        <v>56</v>
      </c>
      <c r="AK101" s="70">
        <v>154</v>
      </c>
      <c r="AL101" s="70">
        <v>129</v>
      </c>
      <c r="AM101" s="70">
        <v>109</v>
      </c>
      <c r="AN101" s="70">
        <v>367</v>
      </c>
      <c r="AO101" s="70">
        <v>162</v>
      </c>
      <c r="AP101" s="70">
        <v>157</v>
      </c>
      <c r="AQ101" s="70">
        <v>82</v>
      </c>
      <c r="AR101" s="63"/>
      <c r="AS101" s="63"/>
      <c r="AT101" s="63"/>
      <c r="AU101" s="63"/>
      <c r="AV101" s="63"/>
      <c r="AW101" s="50"/>
      <c r="AX101" s="80">
        <v>3762</v>
      </c>
      <c r="AY101" s="70">
        <v>14974</v>
      </c>
      <c r="AZ101" s="54">
        <v>1397</v>
      </c>
      <c r="BA101" s="54">
        <v>3411</v>
      </c>
      <c r="BB101" s="54">
        <v>573</v>
      </c>
      <c r="BC101" s="54">
        <v>1183</v>
      </c>
      <c r="BD101" s="54">
        <v>956</v>
      </c>
      <c r="BE101" s="70">
        <v>2713</v>
      </c>
      <c r="BF101" s="63"/>
      <c r="BG101" s="71">
        <v>1257</v>
      </c>
      <c r="BH101" s="67"/>
      <c r="BI101" s="68"/>
      <c r="BJ101" s="72">
        <v>785</v>
      </c>
      <c r="BK101" s="62"/>
      <c r="BL101" s="70">
        <v>1622</v>
      </c>
      <c r="BM101" s="70">
        <v>104</v>
      </c>
      <c r="BN101" s="70">
        <v>116</v>
      </c>
      <c r="BO101" s="70">
        <v>555</v>
      </c>
      <c r="BP101" s="73">
        <v>10</v>
      </c>
      <c r="BQ101" s="152">
        <v>550</v>
      </c>
      <c r="BR101" s="153">
        <v>425</v>
      </c>
      <c r="BS101" s="154">
        <v>94</v>
      </c>
      <c r="BT101" s="76">
        <v>69.261962692619633</v>
      </c>
      <c r="BU101" s="77">
        <v>30.738037307380374</v>
      </c>
      <c r="BV101" s="78">
        <v>854</v>
      </c>
      <c r="BW101" s="79">
        <v>379</v>
      </c>
      <c r="BX101" s="69">
        <v>480</v>
      </c>
      <c r="BY101" s="70">
        <v>184</v>
      </c>
      <c r="BZ101" s="70">
        <v>243</v>
      </c>
      <c r="CA101" s="70">
        <v>190</v>
      </c>
      <c r="CB101" s="70">
        <v>6</v>
      </c>
      <c r="CC101" s="70">
        <v>124</v>
      </c>
      <c r="CD101" s="70">
        <v>6</v>
      </c>
      <c r="CE101" s="73">
        <v>0</v>
      </c>
    </row>
    <row r="102" spans="2:83" x14ac:dyDescent="0.3">
      <c r="B102" s="46">
        <v>19</v>
      </c>
      <c r="C102" s="150">
        <v>43227</v>
      </c>
      <c r="D102" s="74">
        <v>32</v>
      </c>
      <c r="E102" s="54">
        <v>2210</v>
      </c>
      <c r="F102" s="75">
        <v>198</v>
      </c>
      <c r="G102" s="51">
        <v>1.9086776859504133</v>
      </c>
      <c r="H102" s="52">
        <v>2.2809876543209877</v>
      </c>
      <c r="I102" s="53">
        <v>2025</v>
      </c>
      <c r="J102" s="54">
        <v>2420</v>
      </c>
      <c r="K102" s="54">
        <v>4619</v>
      </c>
      <c r="L102" s="55">
        <v>3948.3</v>
      </c>
      <c r="M102" s="55">
        <v>352.52199999999999</v>
      </c>
      <c r="N102" s="57">
        <v>692.84999999999991</v>
      </c>
      <c r="O102" s="58">
        <v>466.92</v>
      </c>
      <c r="P102" s="59">
        <v>9.8924869356634968</v>
      </c>
      <c r="Q102" s="60">
        <v>624.35</v>
      </c>
      <c r="R102" s="61">
        <v>7.3980940177784893</v>
      </c>
      <c r="S102" s="48"/>
      <c r="T102" s="50"/>
      <c r="U102" s="151">
        <v>0</v>
      </c>
      <c r="V102" s="54">
        <v>39</v>
      </c>
      <c r="W102" s="75">
        <v>75</v>
      </c>
      <c r="X102" s="80">
        <v>27</v>
      </c>
      <c r="Y102" s="70">
        <v>108</v>
      </c>
      <c r="Z102" s="70">
        <v>91</v>
      </c>
      <c r="AA102" s="64">
        <v>3312</v>
      </c>
      <c r="AB102" s="64">
        <v>58.588000000000001</v>
      </c>
      <c r="AC102" s="66"/>
      <c r="AD102" s="67"/>
      <c r="AE102" s="68"/>
      <c r="AF102" s="80">
        <v>256</v>
      </c>
      <c r="AG102" s="70">
        <v>408</v>
      </c>
      <c r="AH102" s="70">
        <v>97</v>
      </c>
      <c r="AI102" s="70">
        <v>131</v>
      </c>
      <c r="AJ102" s="70">
        <v>123</v>
      </c>
      <c r="AK102" s="70">
        <v>323</v>
      </c>
      <c r="AL102" s="70">
        <v>187</v>
      </c>
      <c r="AM102" s="70">
        <v>144</v>
      </c>
      <c r="AN102" s="70">
        <v>203</v>
      </c>
      <c r="AO102" s="70">
        <v>96</v>
      </c>
      <c r="AP102" s="70">
        <v>118</v>
      </c>
      <c r="AQ102" s="70">
        <v>49</v>
      </c>
      <c r="AR102" s="63"/>
      <c r="AS102" s="63"/>
      <c r="AT102" s="63"/>
      <c r="AU102" s="63"/>
      <c r="AV102" s="63"/>
      <c r="AW102" s="50"/>
      <c r="AX102" s="80">
        <v>3255</v>
      </c>
      <c r="AY102" s="70">
        <v>16126</v>
      </c>
      <c r="AZ102" s="54">
        <v>831</v>
      </c>
      <c r="BA102" s="54">
        <v>2173</v>
      </c>
      <c r="BB102" s="54">
        <v>307</v>
      </c>
      <c r="BC102" s="54">
        <v>386</v>
      </c>
      <c r="BD102" s="54">
        <v>1142</v>
      </c>
      <c r="BE102" s="70">
        <v>1149</v>
      </c>
      <c r="BF102" s="63"/>
      <c r="BG102" s="71">
        <v>1727</v>
      </c>
      <c r="BH102" s="67"/>
      <c r="BI102" s="68"/>
      <c r="BJ102" s="72">
        <v>685</v>
      </c>
      <c r="BK102" s="62"/>
      <c r="BL102" s="70">
        <v>1631</v>
      </c>
      <c r="BM102" s="70">
        <v>150</v>
      </c>
      <c r="BN102" s="70">
        <v>63</v>
      </c>
      <c r="BO102" s="70">
        <v>468</v>
      </c>
      <c r="BP102" s="73">
        <v>4</v>
      </c>
      <c r="BQ102" s="152">
        <v>1486</v>
      </c>
      <c r="BR102" s="153">
        <v>271</v>
      </c>
      <c r="BS102" s="154">
        <v>74</v>
      </c>
      <c r="BT102" s="76">
        <v>85.700049825610364</v>
      </c>
      <c r="BU102" s="77">
        <v>14.299950174389636</v>
      </c>
      <c r="BV102" s="78">
        <v>1720</v>
      </c>
      <c r="BW102" s="79">
        <v>287</v>
      </c>
      <c r="BX102" s="69">
        <v>1142</v>
      </c>
      <c r="BY102" s="70">
        <v>176</v>
      </c>
      <c r="BZ102" s="70">
        <v>97</v>
      </c>
      <c r="CA102" s="70">
        <v>402</v>
      </c>
      <c r="CB102" s="70">
        <v>5</v>
      </c>
      <c r="CC102" s="70">
        <v>151</v>
      </c>
      <c r="CD102" s="70">
        <v>8</v>
      </c>
      <c r="CE102" s="73">
        <v>26</v>
      </c>
    </row>
    <row r="103" spans="2:83" x14ac:dyDescent="0.3">
      <c r="B103" s="46">
        <v>19</v>
      </c>
      <c r="C103" s="150">
        <v>43228</v>
      </c>
      <c r="D103" s="74">
        <v>30</v>
      </c>
      <c r="E103" s="54">
        <v>1622</v>
      </c>
      <c r="F103" s="75">
        <v>318</v>
      </c>
      <c r="G103" s="51">
        <v>3.8928950159066806</v>
      </c>
      <c r="H103" s="52">
        <v>5.7674783974862533</v>
      </c>
      <c r="I103" s="53">
        <v>1273</v>
      </c>
      <c r="J103" s="54">
        <v>1886</v>
      </c>
      <c r="K103" s="54">
        <v>7342</v>
      </c>
      <c r="L103" s="55">
        <v>6108.8</v>
      </c>
      <c r="M103" s="55">
        <v>442.97300000000001</v>
      </c>
      <c r="N103" s="57">
        <v>1101.3</v>
      </c>
      <c r="O103" s="58">
        <v>516.95999999999992</v>
      </c>
      <c r="P103" s="59">
        <v>14.202259362426496</v>
      </c>
      <c r="Q103" s="60">
        <v>677.69999999999993</v>
      </c>
      <c r="R103" s="61">
        <v>10.83370222812454</v>
      </c>
      <c r="S103" s="48"/>
      <c r="T103" s="50"/>
      <c r="U103" s="151">
        <v>0</v>
      </c>
      <c r="V103" s="54">
        <v>63</v>
      </c>
      <c r="W103" s="75">
        <v>49</v>
      </c>
      <c r="X103" s="80">
        <v>30</v>
      </c>
      <c r="Y103" s="70">
        <v>94</v>
      </c>
      <c r="Z103" s="70">
        <v>174</v>
      </c>
      <c r="AA103" s="64">
        <v>364.3</v>
      </c>
      <c r="AB103" s="64">
        <v>31.151</v>
      </c>
      <c r="AC103" s="66"/>
      <c r="AD103" s="67"/>
      <c r="AE103" s="68"/>
      <c r="AF103" s="80">
        <v>120</v>
      </c>
      <c r="AG103" s="70">
        <v>181</v>
      </c>
      <c r="AH103" s="70">
        <v>42</v>
      </c>
      <c r="AI103" s="70">
        <v>88</v>
      </c>
      <c r="AJ103" s="70">
        <v>61</v>
      </c>
      <c r="AK103" s="70">
        <v>149</v>
      </c>
      <c r="AL103" s="70">
        <v>99</v>
      </c>
      <c r="AM103" s="70">
        <v>139</v>
      </c>
      <c r="AN103" s="70">
        <v>329</v>
      </c>
      <c r="AO103" s="70">
        <v>154</v>
      </c>
      <c r="AP103" s="70">
        <v>162</v>
      </c>
      <c r="AQ103" s="70">
        <v>73</v>
      </c>
      <c r="AR103" s="63"/>
      <c r="AS103" s="63"/>
      <c r="AT103" s="63"/>
      <c r="AU103" s="63"/>
      <c r="AV103" s="63"/>
      <c r="AW103" s="50"/>
      <c r="AX103" s="80">
        <v>3061</v>
      </c>
      <c r="AY103" s="70">
        <v>14576</v>
      </c>
      <c r="AZ103" s="54">
        <v>1284</v>
      </c>
      <c r="BA103" s="54">
        <v>4824</v>
      </c>
      <c r="BB103" s="54">
        <v>134</v>
      </c>
      <c r="BC103" s="54">
        <v>257</v>
      </c>
      <c r="BD103" s="54">
        <v>860</v>
      </c>
      <c r="BE103" s="70">
        <v>1450</v>
      </c>
      <c r="BF103" s="63"/>
      <c r="BG103" s="71">
        <v>1063</v>
      </c>
      <c r="BH103" s="67"/>
      <c r="BI103" s="68"/>
      <c r="BJ103" s="72">
        <v>890</v>
      </c>
      <c r="BK103" s="62"/>
      <c r="BL103" s="70">
        <v>1675</v>
      </c>
      <c r="BM103" s="70">
        <v>216</v>
      </c>
      <c r="BN103" s="70">
        <v>184</v>
      </c>
      <c r="BO103" s="70">
        <v>482</v>
      </c>
      <c r="BP103" s="73">
        <v>8</v>
      </c>
      <c r="BQ103" s="152">
        <v>650</v>
      </c>
      <c r="BR103" s="153">
        <v>318</v>
      </c>
      <c r="BS103" s="154">
        <v>84</v>
      </c>
      <c r="BT103" s="76">
        <v>72.53012048192771</v>
      </c>
      <c r="BU103" s="77">
        <v>27.46987951807229</v>
      </c>
      <c r="BV103" s="78">
        <v>903</v>
      </c>
      <c r="BW103" s="79">
        <v>342</v>
      </c>
      <c r="BX103" s="69">
        <v>511</v>
      </c>
      <c r="BY103" s="70">
        <v>140</v>
      </c>
      <c r="BZ103" s="70">
        <v>180</v>
      </c>
      <c r="CA103" s="70">
        <v>252</v>
      </c>
      <c r="CB103" s="70">
        <v>5</v>
      </c>
      <c r="CC103" s="70">
        <v>151</v>
      </c>
      <c r="CD103" s="70">
        <v>6</v>
      </c>
      <c r="CE103" s="73">
        <v>0</v>
      </c>
    </row>
    <row r="104" spans="2:83" x14ac:dyDescent="0.3">
      <c r="B104" s="46">
        <v>19</v>
      </c>
      <c r="C104" s="150">
        <v>43229</v>
      </c>
      <c r="D104" s="74">
        <v>7</v>
      </c>
      <c r="E104" s="54">
        <v>1621</v>
      </c>
      <c r="F104" s="75">
        <v>182</v>
      </c>
      <c r="G104" s="51">
        <v>4.3045851528384276</v>
      </c>
      <c r="H104" s="52">
        <v>5.802796173657101</v>
      </c>
      <c r="I104" s="53">
        <v>1359</v>
      </c>
      <c r="J104" s="54">
        <v>1832</v>
      </c>
      <c r="K104" s="54">
        <v>7886</v>
      </c>
      <c r="L104" s="55">
        <v>5407.5</v>
      </c>
      <c r="M104" s="55">
        <v>368.524</v>
      </c>
      <c r="N104" s="57">
        <v>1182.9000000000001</v>
      </c>
      <c r="O104" s="58">
        <v>558.45000000000005</v>
      </c>
      <c r="P104" s="59">
        <v>14.121228400035813</v>
      </c>
      <c r="Q104" s="60">
        <v>725.22</v>
      </c>
      <c r="R104" s="61">
        <v>10.873941700449519</v>
      </c>
      <c r="S104" s="48"/>
      <c r="T104" s="50"/>
      <c r="U104" s="151">
        <v>0</v>
      </c>
      <c r="V104" s="54">
        <v>76</v>
      </c>
      <c r="W104" s="75">
        <v>41</v>
      </c>
      <c r="X104" s="80">
        <v>55</v>
      </c>
      <c r="Y104" s="70">
        <v>154</v>
      </c>
      <c r="Z104" s="70">
        <v>264</v>
      </c>
      <c r="AA104" s="64">
        <v>859.9</v>
      </c>
      <c r="AB104" s="64">
        <v>93.265000000000001</v>
      </c>
      <c r="AC104" s="66"/>
      <c r="AD104" s="67"/>
      <c r="AE104" s="68"/>
      <c r="AF104" s="80">
        <v>111</v>
      </c>
      <c r="AG104" s="70">
        <v>198</v>
      </c>
      <c r="AH104" s="70">
        <v>51</v>
      </c>
      <c r="AI104" s="70">
        <v>70</v>
      </c>
      <c r="AJ104" s="70">
        <v>99</v>
      </c>
      <c r="AK104" s="70">
        <v>176</v>
      </c>
      <c r="AL104" s="70">
        <v>160</v>
      </c>
      <c r="AM104" s="70">
        <v>96</v>
      </c>
      <c r="AN104" s="70">
        <v>287</v>
      </c>
      <c r="AO104" s="70">
        <v>162</v>
      </c>
      <c r="AP104" s="70">
        <v>143</v>
      </c>
      <c r="AQ104" s="70">
        <v>43</v>
      </c>
      <c r="AR104" s="63"/>
      <c r="AS104" s="63"/>
      <c r="AT104" s="63"/>
      <c r="AU104" s="63"/>
      <c r="AV104" s="63"/>
      <c r="AW104" s="50"/>
      <c r="AX104" s="80">
        <v>5316</v>
      </c>
      <c r="AY104" s="70">
        <v>24635</v>
      </c>
      <c r="AZ104" s="54">
        <v>2214</v>
      </c>
      <c r="BA104" s="54">
        <v>7248</v>
      </c>
      <c r="BB104" s="54">
        <v>505</v>
      </c>
      <c r="BC104" s="54">
        <v>1088</v>
      </c>
      <c r="BD104" s="54">
        <v>1269</v>
      </c>
      <c r="BE104" s="70">
        <v>2422</v>
      </c>
      <c r="BF104" s="63"/>
      <c r="BG104" s="71">
        <v>1764</v>
      </c>
      <c r="BH104" s="67"/>
      <c r="BI104" s="68"/>
      <c r="BJ104" s="72">
        <v>861</v>
      </c>
      <c r="BK104" s="62"/>
      <c r="BL104" s="70">
        <v>1943</v>
      </c>
      <c r="BM104" s="70">
        <v>172</v>
      </c>
      <c r="BN104" s="70">
        <v>66</v>
      </c>
      <c r="BO104" s="70">
        <v>617</v>
      </c>
      <c r="BP104" s="73">
        <v>6</v>
      </c>
      <c r="BQ104" s="152">
        <v>765</v>
      </c>
      <c r="BR104" s="153">
        <v>390</v>
      </c>
      <c r="BS104" s="154">
        <v>76</v>
      </c>
      <c r="BT104" s="76">
        <v>76.768428890543561</v>
      </c>
      <c r="BU104" s="77">
        <v>23.231571109456439</v>
      </c>
      <c r="BV104" s="78">
        <v>1031</v>
      </c>
      <c r="BW104" s="79">
        <v>312</v>
      </c>
      <c r="BX104" s="69">
        <v>632</v>
      </c>
      <c r="BY104" s="70">
        <v>177</v>
      </c>
      <c r="BZ104" s="70">
        <v>175</v>
      </c>
      <c r="CA104" s="70">
        <v>222</v>
      </c>
      <c r="CB104" s="70">
        <v>4</v>
      </c>
      <c r="CC104" s="70">
        <v>128</v>
      </c>
      <c r="CD104" s="70">
        <v>5</v>
      </c>
      <c r="CE104" s="73">
        <v>0</v>
      </c>
    </row>
    <row r="105" spans="2:83" x14ac:dyDescent="0.3">
      <c r="B105" s="46">
        <v>19</v>
      </c>
      <c r="C105" s="150">
        <v>43231</v>
      </c>
      <c r="D105" s="74">
        <v>8</v>
      </c>
      <c r="E105" s="54">
        <v>1961</v>
      </c>
      <c r="F105" s="75">
        <v>196</v>
      </c>
      <c r="G105" s="51">
        <v>3.9094688221709006</v>
      </c>
      <c r="H105" s="52">
        <v>5.4500965872504832</v>
      </c>
      <c r="I105" s="53">
        <v>1553</v>
      </c>
      <c r="J105" s="54">
        <v>2165</v>
      </c>
      <c r="K105" s="54">
        <v>8464</v>
      </c>
      <c r="L105" s="55">
        <v>4478.2</v>
      </c>
      <c r="M105" s="55">
        <v>471.64100000000002</v>
      </c>
      <c r="N105" s="57">
        <v>1269.6000000000001</v>
      </c>
      <c r="O105" s="58">
        <v>415.3</v>
      </c>
      <c r="P105" s="59">
        <v>20.380447869010354</v>
      </c>
      <c r="Q105" s="60">
        <v>524.73</v>
      </c>
      <c r="R105" s="61">
        <v>16.130200293484268</v>
      </c>
      <c r="S105" s="48"/>
      <c r="T105" s="50"/>
      <c r="U105" s="151">
        <v>0</v>
      </c>
      <c r="V105" s="54">
        <v>51</v>
      </c>
      <c r="W105" s="75">
        <v>77</v>
      </c>
      <c r="X105" s="80">
        <v>20</v>
      </c>
      <c r="Y105" s="70">
        <v>109</v>
      </c>
      <c r="Z105" s="70">
        <v>56</v>
      </c>
      <c r="AA105" s="64">
        <v>2442</v>
      </c>
      <c r="AB105" s="64">
        <v>88.902000000000001</v>
      </c>
      <c r="AC105" s="66"/>
      <c r="AD105" s="67"/>
      <c r="AE105" s="68"/>
      <c r="AF105" s="80">
        <v>185</v>
      </c>
      <c r="AG105" s="70">
        <v>270</v>
      </c>
      <c r="AH105" s="70">
        <v>37</v>
      </c>
      <c r="AI105" s="70">
        <v>107</v>
      </c>
      <c r="AJ105" s="70">
        <v>76</v>
      </c>
      <c r="AK105" s="70">
        <v>171</v>
      </c>
      <c r="AL105" s="70">
        <v>145</v>
      </c>
      <c r="AM105" s="70">
        <v>114</v>
      </c>
      <c r="AN105" s="70">
        <v>349</v>
      </c>
      <c r="AO105" s="70">
        <v>167</v>
      </c>
      <c r="AP105" s="70">
        <v>188</v>
      </c>
      <c r="AQ105" s="70">
        <v>69</v>
      </c>
      <c r="AR105" s="63"/>
      <c r="AS105" s="63"/>
      <c r="AT105" s="63"/>
      <c r="AU105" s="63"/>
      <c r="AV105" s="63"/>
      <c r="AW105" s="50"/>
      <c r="AX105" s="80">
        <v>2977</v>
      </c>
      <c r="AY105" s="70">
        <v>18111</v>
      </c>
      <c r="AZ105" s="54">
        <v>2213</v>
      </c>
      <c r="BA105" s="54">
        <v>6682</v>
      </c>
      <c r="BB105" s="54">
        <v>290</v>
      </c>
      <c r="BC105" s="54">
        <v>880</v>
      </c>
      <c r="BD105" s="54">
        <v>1091</v>
      </c>
      <c r="BE105" s="70">
        <v>2601</v>
      </c>
      <c r="BF105" s="63"/>
      <c r="BG105" s="71">
        <v>1506</v>
      </c>
      <c r="BH105" s="67"/>
      <c r="BI105" s="68"/>
      <c r="BJ105" s="72">
        <v>651</v>
      </c>
      <c r="BK105" s="62"/>
      <c r="BL105" s="70">
        <v>1810</v>
      </c>
      <c r="BM105" s="70">
        <v>167</v>
      </c>
      <c r="BN105" s="70">
        <v>166</v>
      </c>
      <c r="BO105" s="70">
        <v>312</v>
      </c>
      <c r="BP105" s="73">
        <v>6</v>
      </c>
      <c r="BQ105" s="152">
        <v>893</v>
      </c>
      <c r="BR105" s="153">
        <v>463</v>
      </c>
      <c r="BS105" s="154">
        <v>57</v>
      </c>
      <c r="BT105" s="76">
        <v>75.630252100840337</v>
      </c>
      <c r="BU105" s="77">
        <v>24.369747899159663</v>
      </c>
      <c r="BV105" s="78">
        <v>1170</v>
      </c>
      <c r="BW105" s="79">
        <v>377</v>
      </c>
      <c r="BX105" s="69">
        <v>680</v>
      </c>
      <c r="BY105" s="70">
        <v>202</v>
      </c>
      <c r="BZ105" s="70">
        <v>251</v>
      </c>
      <c r="CA105" s="70">
        <v>288</v>
      </c>
      <c r="CB105" s="70">
        <v>9</v>
      </c>
      <c r="CC105" s="70">
        <v>115</v>
      </c>
      <c r="CD105" s="70">
        <v>2</v>
      </c>
      <c r="CE105" s="73">
        <v>0</v>
      </c>
    </row>
    <row r="106" spans="2:83" x14ac:dyDescent="0.3">
      <c r="B106" s="46">
        <v>20</v>
      </c>
      <c r="C106" s="150">
        <v>43234</v>
      </c>
      <c r="D106" s="74">
        <v>8</v>
      </c>
      <c r="E106" s="54">
        <v>1585</v>
      </c>
      <c r="F106" s="75">
        <v>253</v>
      </c>
      <c r="G106" s="51">
        <v>3.0471289274106175</v>
      </c>
      <c r="H106" s="52">
        <v>3.8291354663036077</v>
      </c>
      <c r="I106" s="53">
        <v>1469</v>
      </c>
      <c r="J106" s="54">
        <v>1846</v>
      </c>
      <c r="K106" s="54">
        <v>5625</v>
      </c>
      <c r="L106" s="55">
        <v>4656.2</v>
      </c>
      <c r="M106" s="55">
        <v>317.64499999999998</v>
      </c>
      <c r="N106" s="57">
        <v>843.75</v>
      </c>
      <c r="O106" s="58">
        <v>490</v>
      </c>
      <c r="P106" s="59">
        <v>11.479591836734693</v>
      </c>
      <c r="Q106" s="60">
        <v>623.66999999999996</v>
      </c>
      <c r="R106" s="61">
        <v>9.019192842368561</v>
      </c>
      <c r="S106" s="48"/>
      <c r="T106" s="50"/>
      <c r="U106" s="151">
        <v>0</v>
      </c>
      <c r="V106" s="54">
        <v>32</v>
      </c>
      <c r="W106" s="75">
        <v>133</v>
      </c>
      <c r="X106" s="80">
        <v>37</v>
      </c>
      <c r="Y106" s="70">
        <v>93</v>
      </c>
      <c r="Z106" s="70">
        <v>350</v>
      </c>
      <c r="AA106" s="64">
        <v>5487</v>
      </c>
      <c r="AB106" s="64">
        <v>80.17</v>
      </c>
      <c r="AC106" s="66"/>
      <c r="AD106" s="67"/>
      <c r="AE106" s="68"/>
      <c r="AF106" s="80">
        <v>199</v>
      </c>
      <c r="AG106" s="70">
        <v>269</v>
      </c>
      <c r="AH106" s="70">
        <v>62</v>
      </c>
      <c r="AI106" s="70">
        <v>101</v>
      </c>
      <c r="AJ106" s="70">
        <v>84</v>
      </c>
      <c r="AK106" s="70">
        <v>273</v>
      </c>
      <c r="AL106" s="70">
        <v>116</v>
      </c>
      <c r="AM106" s="70">
        <v>75</v>
      </c>
      <c r="AN106" s="70">
        <v>159</v>
      </c>
      <c r="AO106" s="70">
        <v>73</v>
      </c>
      <c r="AP106" s="70">
        <v>70</v>
      </c>
      <c r="AQ106" s="70">
        <v>47</v>
      </c>
      <c r="AR106" s="63"/>
      <c r="AS106" s="63"/>
      <c r="AT106" s="63"/>
      <c r="AU106" s="63"/>
      <c r="AV106" s="63"/>
      <c r="AW106" s="50"/>
      <c r="AX106" s="80">
        <v>2381</v>
      </c>
      <c r="AY106" s="70">
        <v>17860</v>
      </c>
      <c r="AZ106" s="54">
        <v>1204</v>
      </c>
      <c r="BA106" s="54">
        <v>3356</v>
      </c>
      <c r="BB106" s="54">
        <v>141</v>
      </c>
      <c r="BC106" s="54">
        <v>283</v>
      </c>
      <c r="BD106" s="54">
        <v>792</v>
      </c>
      <c r="BE106" s="70">
        <v>1643</v>
      </c>
      <c r="BF106" s="63"/>
      <c r="BG106" s="71">
        <v>1178</v>
      </c>
      <c r="BH106" s="67"/>
      <c r="BI106" s="68"/>
      <c r="BJ106" s="72">
        <v>980</v>
      </c>
      <c r="BK106" s="62"/>
      <c r="BL106" s="70">
        <v>1318</v>
      </c>
      <c r="BM106" s="70">
        <v>234</v>
      </c>
      <c r="BN106" s="70">
        <v>133</v>
      </c>
      <c r="BO106" s="70">
        <v>605</v>
      </c>
      <c r="BP106" s="73">
        <v>8</v>
      </c>
      <c r="BQ106" s="152">
        <v>1054</v>
      </c>
      <c r="BR106" s="153">
        <v>231</v>
      </c>
      <c r="BS106" s="154">
        <v>43</v>
      </c>
      <c r="BT106" s="76">
        <v>84.896551724137936</v>
      </c>
      <c r="BU106" s="77">
        <v>15.103448275862069</v>
      </c>
      <c r="BV106" s="78">
        <v>1231</v>
      </c>
      <c r="BW106" s="79">
        <v>219</v>
      </c>
      <c r="BX106" s="69">
        <v>703</v>
      </c>
      <c r="BY106" s="70">
        <v>140</v>
      </c>
      <c r="BZ106" s="70">
        <v>113</v>
      </c>
      <c r="CA106" s="70">
        <v>388</v>
      </c>
      <c r="CB106" s="70">
        <v>6</v>
      </c>
      <c r="CC106" s="70">
        <v>98</v>
      </c>
      <c r="CD106" s="70">
        <v>2</v>
      </c>
      <c r="CE106" s="73">
        <v>0</v>
      </c>
    </row>
    <row r="107" spans="2:83" x14ac:dyDescent="0.3">
      <c r="B107" s="46">
        <v>20</v>
      </c>
      <c r="C107" s="150">
        <v>43235</v>
      </c>
      <c r="D107" s="74">
        <v>28</v>
      </c>
      <c r="E107" s="54">
        <v>1176</v>
      </c>
      <c r="F107" s="75">
        <v>307</v>
      </c>
      <c r="G107" s="51">
        <v>4.5486432825943082</v>
      </c>
      <c r="H107" s="52">
        <v>7.6112956810631225</v>
      </c>
      <c r="I107" s="53">
        <v>903</v>
      </c>
      <c r="J107" s="54">
        <v>1511</v>
      </c>
      <c r="K107" s="54">
        <v>6873</v>
      </c>
      <c r="L107" s="55">
        <v>5629.1</v>
      </c>
      <c r="M107" s="55">
        <v>589.47699999999998</v>
      </c>
      <c r="N107" s="57">
        <v>1030.95</v>
      </c>
      <c r="O107" s="58">
        <v>508.92</v>
      </c>
      <c r="P107" s="59">
        <v>13.505069559066257</v>
      </c>
      <c r="Q107" s="60">
        <v>670.53999999999985</v>
      </c>
      <c r="R107" s="61">
        <v>10.249947803263044</v>
      </c>
      <c r="S107" s="48"/>
      <c r="T107" s="50"/>
      <c r="U107" s="151">
        <v>0</v>
      </c>
      <c r="V107" s="54">
        <v>115</v>
      </c>
      <c r="W107" s="75">
        <v>123</v>
      </c>
      <c r="X107" s="80">
        <v>52</v>
      </c>
      <c r="Y107" s="70">
        <v>262</v>
      </c>
      <c r="Z107" s="70">
        <v>152</v>
      </c>
      <c r="AA107" s="64">
        <v>7803</v>
      </c>
      <c r="AB107" s="64">
        <v>234.26400000000001</v>
      </c>
      <c r="AC107" s="66"/>
      <c r="AD107" s="67"/>
      <c r="AE107" s="68"/>
      <c r="AF107" s="80">
        <v>97</v>
      </c>
      <c r="AG107" s="70">
        <v>142</v>
      </c>
      <c r="AH107" s="70">
        <v>31</v>
      </c>
      <c r="AI107" s="70">
        <v>63</v>
      </c>
      <c r="AJ107" s="70">
        <v>49</v>
      </c>
      <c r="AK107" s="70">
        <v>110</v>
      </c>
      <c r="AL107" s="70">
        <v>85</v>
      </c>
      <c r="AM107" s="70">
        <v>66</v>
      </c>
      <c r="AN107" s="70">
        <v>191</v>
      </c>
      <c r="AO107" s="70">
        <v>88</v>
      </c>
      <c r="AP107" s="70">
        <v>147</v>
      </c>
      <c r="AQ107" s="70">
        <v>64</v>
      </c>
      <c r="AR107" s="63"/>
      <c r="AS107" s="63"/>
      <c r="AT107" s="63"/>
      <c r="AU107" s="63"/>
      <c r="AV107" s="63"/>
      <c r="AW107" s="50"/>
      <c r="AX107" s="80">
        <v>3764</v>
      </c>
      <c r="AY107" s="70">
        <v>23072</v>
      </c>
      <c r="AZ107" s="54">
        <v>1820</v>
      </c>
      <c r="BA107" s="54">
        <v>5831</v>
      </c>
      <c r="BB107" s="54">
        <v>154</v>
      </c>
      <c r="BC107" s="54">
        <v>310</v>
      </c>
      <c r="BD107" s="54">
        <v>864</v>
      </c>
      <c r="BE107" s="70">
        <v>1929</v>
      </c>
      <c r="BF107" s="63"/>
      <c r="BG107" s="71">
        <v>1104</v>
      </c>
      <c r="BH107" s="67"/>
      <c r="BI107" s="68"/>
      <c r="BJ107" s="72">
        <v>1076</v>
      </c>
      <c r="BK107" s="62"/>
      <c r="BL107" s="70">
        <v>1391</v>
      </c>
      <c r="BM107" s="70">
        <v>192</v>
      </c>
      <c r="BN107" s="70">
        <v>236</v>
      </c>
      <c r="BO107" s="70">
        <v>618</v>
      </c>
      <c r="BP107" s="73">
        <v>30</v>
      </c>
      <c r="BQ107" s="152">
        <v>489</v>
      </c>
      <c r="BR107" s="153">
        <v>244</v>
      </c>
      <c r="BS107" s="154">
        <v>67</v>
      </c>
      <c r="BT107" s="76">
        <v>69.510807736063711</v>
      </c>
      <c r="BU107" s="77">
        <v>30.489192263936292</v>
      </c>
      <c r="BV107" s="78">
        <v>611</v>
      </c>
      <c r="BW107" s="79">
        <v>268</v>
      </c>
      <c r="BX107" s="69">
        <v>331</v>
      </c>
      <c r="BY107" s="70">
        <v>64</v>
      </c>
      <c r="BZ107" s="70">
        <v>192</v>
      </c>
      <c r="CA107" s="70">
        <v>216</v>
      </c>
      <c r="CB107" s="70">
        <v>8</v>
      </c>
      <c r="CC107" s="70">
        <v>59</v>
      </c>
      <c r="CD107" s="70">
        <v>3</v>
      </c>
      <c r="CE107" s="73">
        <v>6</v>
      </c>
    </row>
    <row r="108" spans="2:83" x14ac:dyDescent="0.3">
      <c r="B108" s="46">
        <v>20</v>
      </c>
      <c r="C108" s="150">
        <v>43236</v>
      </c>
      <c r="D108" s="74">
        <v>40</v>
      </c>
      <c r="E108" s="54">
        <v>1148</v>
      </c>
      <c r="F108" s="75">
        <v>271</v>
      </c>
      <c r="G108" s="51">
        <v>4.8272789581905418</v>
      </c>
      <c r="H108" s="52">
        <v>7.05005005005005</v>
      </c>
      <c r="I108" s="53">
        <v>999</v>
      </c>
      <c r="J108" s="54">
        <v>1459</v>
      </c>
      <c r="K108" s="54">
        <v>7043</v>
      </c>
      <c r="L108" s="55">
        <v>6404.7</v>
      </c>
      <c r="M108" s="55">
        <v>533.5</v>
      </c>
      <c r="N108" s="57">
        <v>1056.45</v>
      </c>
      <c r="O108" s="58">
        <v>507.45</v>
      </c>
      <c r="P108" s="59">
        <v>13.8791999211745</v>
      </c>
      <c r="Q108" s="60">
        <v>675.93000000000006</v>
      </c>
      <c r="R108" s="61">
        <v>10.419718018137972</v>
      </c>
      <c r="S108" s="48"/>
      <c r="T108" s="50"/>
      <c r="U108" s="151">
        <v>0</v>
      </c>
      <c r="V108" s="54">
        <v>41</v>
      </c>
      <c r="W108" s="75">
        <v>122</v>
      </c>
      <c r="X108" s="80">
        <v>21</v>
      </c>
      <c r="Y108" s="70">
        <v>173</v>
      </c>
      <c r="Z108" s="70">
        <v>258</v>
      </c>
      <c r="AA108" s="64">
        <v>1294</v>
      </c>
      <c r="AB108" s="64">
        <v>177.7</v>
      </c>
      <c r="AC108" s="66"/>
      <c r="AD108" s="67"/>
      <c r="AE108" s="68"/>
      <c r="AF108" s="80">
        <v>34</v>
      </c>
      <c r="AG108" s="70">
        <v>70</v>
      </c>
      <c r="AH108" s="70">
        <v>175</v>
      </c>
      <c r="AI108" s="70">
        <v>11</v>
      </c>
      <c r="AJ108" s="70">
        <v>77</v>
      </c>
      <c r="AK108" s="70">
        <v>117</v>
      </c>
      <c r="AL108" s="70">
        <v>72</v>
      </c>
      <c r="AM108" s="70">
        <v>72</v>
      </c>
      <c r="AN108" s="70">
        <v>209</v>
      </c>
      <c r="AO108" s="70">
        <v>144</v>
      </c>
      <c r="AP108" s="70">
        <v>108</v>
      </c>
      <c r="AQ108" s="70">
        <v>42</v>
      </c>
      <c r="AR108" s="63"/>
      <c r="AS108" s="63"/>
      <c r="AT108" s="63"/>
      <c r="AU108" s="63"/>
      <c r="AV108" s="63"/>
      <c r="AW108" s="50"/>
      <c r="AX108" s="80">
        <v>4798</v>
      </c>
      <c r="AY108" s="70">
        <v>22337</v>
      </c>
      <c r="AZ108" s="54">
        <v>1671</v>
      </c>
      <c r="BA108" s="54">
        <v>4081</v>
      </c>
      <c r="BB108" s="54">
        <v>490</v>
      </c>
      <c r="BC108" s="54">
        <v>1152</v>
      </c>
      <c r="BD108" s="54">
        <v>1077</v>
      </c>
      <c r="BE108" s="70">
        <v>1948</v>
      </c>
      <c r="BF108" s="63"/>
      <c r="BG108" s="71">
        <v>1375</v>
      </c>
      <c r="BH108" s="67"/>
      <c r="BI108" s="68"/>
      <c r="BJ108" s="72">
        <v>904</v>
      </c>
      <c r="BK108" s="62"/>
      <c r="BL108" s="70">
        <v>1751</v>
      </c>
      <c r="BM108" s="70">
        <v>354</v>
      </c>
      <c r="BN108" s="70">
        <v>143</v>
      </c>
      <c r="BO108" s="70">
        <v>395</v>
      </c>
      <c r="BP108" s="73">
        <v>12</v>
      </c>
      <c r="BQ108" s="152">
        <v>513</v>
      </c>
      <c r="BR108" s="153">
        <v>329</v>
      </c>
      <c r="BS108" s="154">
        <v>85</v>
      </c>
      <c r="BT108" s="76">
        <v>72.392638036809814</v>
      </c>
      <c r="BU108" s="77">
        <v>27.607361963190183</v>
      </c>
      <c r="BV108" s="78">
        <v>708</v>
      </c>
      <c r="BW108" s="79">
        <v>270</v>
      </c>
      <c r="BX108" s="69">
        <v>390</v>
      </c>
      <c r="BY108" s="70">
        <v>134</v>
      </c>
      <c r="BZ108" s="70">
        <v>195</v>
      </c>
      <c r="CA108" s="70">
        <v>184</v>
      </c>
      <c r="CB108" s="70">
        <v>4</v>
      </c>
      <c r="CC108" s="70">
        <v>68</v>
      </c>
      <c r="CD108" s="70">
        <v>3</v>
      </c>
      <c r="CE108" s="73">
        <v>0</v>
      </c>
    </row>
    <row r="109" spans="2:83" x14ac:dyDescent="0.3">
      <c r="B109" s="46">
        <v>20</v>
      </c>
      <c r="C109" s="150">
        <v>43237</v>
      </c>
      <c r="D109" s="74">
        <v>4</v>
      </c>
      <c r="E109" s="54">
        <v>1059</v>
      </c>
      <c r="F109" s="75">
        <v>202</v>
      </c>
      <c r="G109" s="51">
        <v>5.3035573122529645</v>
      </c>
      <c r="H109" s="52">
        <v>7.9869047619047615</v>
      </c>
      <c r="I109" s="53">
        <v>840</v>
      </c>
      <c r="J109" s="54">
        <v>1265</v>
      </c>
      <c r="K109" s="54">
        <v>6709</v>
      </c>
      <c r="L109" s="55">
        <v>4617.8</v>
      </c>
      <c r="M109" s="55">
        <v>393</v>
      </c>
      <c r="N109" s="57">
        <v>1006.3499999999999</v>
      </c>
      <c r="O109" s="58">
        <v>467.43</v>
      </c>
      <c r="P109" s="59">
        <v>14.352951244036539</v>
      </c>
      <c r="Q109" s="60">
        <v>631.2700000000001</v>
      </c>
      <c r="R109" s="61">
        <v>10.627782090072392</v>
      </c>
      <c r="S109" s="48"/>
      <c r="T109" s="50"/>
      <c r="U109" s="151">
        <v>0</v>
      </c>
      <c r="V109" s="54">
        <v>46</v>
      </c>
      <c r="W109" s="75">
        <v>38</v>
      </c>
      <c r="X109" s="80">
        <v>26</v>
      </c>
      <c r="Y109" s="70">
        <v>115</v>
      </c>
      <c r="Z109" s="70">
        <v>114</v>
      </c>
      <c r="AA109" s="64">
        <v>568.4</v>
      </c>
      <c r="AB109" s="64">
        <v>104.41200000000001</v>
      </c>
      <c r="AC109" s="66"/>
      <c r="AD109" s="67"/>
      <c r="AE109" s="68"/>
      <c r="AF109" s="80">
        <v>110</v>
      </c>
      <c r="AG109" s="70">
        <v>133</v>
      </c>
      <c r="AH109" s="70">
        <v>37</v>
      </c>
      <c r="AI109" s="70">
        <v>58</v>
      </c>
      <c r="AJ109" s="70">
        <v>45</v>
      </c>
      <c r="AK109" s="70">
        <v>98</v>
      </c>
      <c r="AL109" s="70">
        <v>43</v>
      </c>
      <c r="AM109" s="70">
        <v>47</v>
      </c>
      <c r="AN109" s="70">
        <v>154</v>
      </c>
      <c r="AO109" s="70">
        <v>103</v>
      </c>
      <c r="AP109" s="70">
        <v>140</v>
      </c>
      <c r="AQ109" s="70">
        <v>82</v>
      </c>
      <c r="AR109" s="63"/>
      <c r="AS109" s="63"/>
      <c r="AT109" s="63"/>
      <c r="AU109" s="63"/>
      <c r="AV109" s="63"/>
      <c r="AW109" s="50"/>
      <c r="AX109" s="80">
        <v>3323</v>
      </c>
      <c r="AY109" s="70">
        <v>19323</v>
      </c>
      <c r="AZ109" s="54">
        <v>1411</v>
      </c>
      <c r="BA109" s="54">
        <v>4534</v>
      </c>
      <c r="BB109" s="54">
        <v>148</v>
      </c>
      <c r="BC109" s="54">
        <v>539</v>
      </c>
      <c r="BD109" s="54">
        <v>825</v>
      </c>
      <c r="BE109" s="70">
        <v>1646</v>
      </c>
      <c r="BF109" s="63"/>
      <c r="BG109" s="71">
        <v>985</v>
      </c>
      <c r="BH109" s="67"/>
      <c r="BI109" s="68"/>
      <c r="BJ109" s="72">
        <v>768</v>
      </c>
      <c r="BK109" s="62"/>
      <c r="BL109" s="70">
        <v>1796</v>
      </c>
      <c r="BM109" s="70">
        <v>252</v>
      </c>
      <c r="BN109" s="70">
        <v>40</v>
      </c>
      <c r="BO109" s="70">
        <v>451</v>
      </c>
      <c r="BP109" s="73">
        <v>25</v>
      </c>
      <c r="BQ109" s="152">
        <v>478</v>
      </c>
      <c r="BR109" s="153">
        <v>204</v>
      </c>
      <c r="BS109" s="154">
        <v>103</v>
      </c>
      <c r="BT109" s="76">
        <v>69.47115384615384</v>
      </c>
      <c r="BU109" s="77">
        <v>30.528846153846153</v>
      </c>
      <c r="BV109" s="78">
        <v>578</v>
      </c>
      <c r="BW109" s="79">
        <v>254</v>
      </c>
      <c r="BX109" s="69">
        <v>356</v>
      </c>
      <c r="BY109" s="70">
        <v>61</v>
      </c>
      <c r="BZ109" s="70">
        <v>172</v>
      </c>
      <c r="CA109" s="70">
        <v>161</v>
      </c>
      <c r="CB109" s="70">
        <v>5</v>
      </c>
      <c r="CC109" s="70">
        <v>69</v>
      </c>
      <c r="CD109" s="70">
        <v>4</v>
      </c>
      <c r="CE109" s="73">
        <v>4</v>
      </c>
    </row>
    <row r="110" spans="2:83" x14ac:dyDescent="0.3">
      <c r="B110" s="46">
        <v>20</v>
      </c>
      <c r="C110" s="150">
        <v>43238</v>
      </c>
      <c r="D110" s="74">
        <v>6</v>
      </c>
      <c r="E110" s="54">
        <v>1358</v>
      </c>
      <c r="F110" s="75">
        <v>153</v>
      </c>
      <c r="G110" s="51">
        <v>4.5303030303030303</v>
      </c>
      <c r="H110" s="52">
        <v>6.2010820559062214</v>
      </c>
      <c r="I110" s="53">
        <v>1109</v>
      </c>
      <c r="J110" s="54">
        <v>1518</v>
      </c>
      <c r="K110" s="54">
        <v>6877</v>
      </c>
      <c r="L110" s="55">
        <v>4308.5</v>
      </c>
      <c r="M110" s="55">
        <v>323.39999999999998</v>
      </c>
      <c r="N110" s="57">
        <v>1031.55</v>
      </c>
      <c r="O110" s="58">
        <v>450.16</v>
      </c>
      <c r="P110" s="59">
        <v>15.276790474497956</v>
      </c>
      <c r="Q110" s="60">
        <v>608.78000000000009</v>
      </c>
      <c r="R110" s="61">
        <v>11.296363218239756</v>
      </c>
      <c r="S110" s="48"/>
      <c r="T110" s="50"/>
      <c r="U110" s="151">
        <v>0</v>
      </c>
      <c r="V110" s="54">
        <v>31</v>
      </c>
      <c r="W110" s="75">
        <v>40</v>
      </c>
      <c r="X110" s="80">
        <v>27</v>
      </c>
      <c r="Y110" s="70">
        <v>71</v>
      </c>
      <c r="Z110" s="70">
        <v>420</v>
      </c>
      <c r="AA110" s="64">
        <v>461.9</v>
      </c>
      <c r="AB110" s="64">
        <v>54.612000000000002</v>
      </c>
      <c r="AC110" s="66"/>
      <c r="AD110" s="67"/>
      <c r="AE110" s="68"/>
      <c r="AF110" s="80">
        <v>114</v>
      </c>
      <c r="AG110" s="70">
        <v>137</v>
      </c>
      <c r="AH110" s="70">
        <v>46</v>
      </c>
      <c r="AI110" s="70">
        <v>71</v>
      </c>
      <c r="AJ110" s="70">
        <v>50</v>
      </c>
      <c r="AK110" s="70">
        <v>150</v>
      </c>
      <c r="AL110" s="70">
        <v>107</v>
      </c>
      <c r="AM110" s="70">
        <v>86</v>
      </c>
      <c r="AN110" s="70">
        <v>202</v>
      </c>
      <c r="AO110" s="70">
        <v>112</v>
      </c>
      <c r="AP110" s="70">
        <v>159</v>
      </c>
      <c r="AQ110" s="70">
        <v>108</v>
      </c>
      <c r="AR110" s="63"/>
      <c r="AS110" s="63"/>
      <c r="AT110" s="63"/>
      <c r="AU110" s="63"/>
      <c r="AV110" s="63"/>
      <c r="AW110" s="50"/>
      <c r="AX110" s="80">
        <v>3160</v>
      </c>
      <c r="AY110" s="70">
        <v>16734</v>
      </c>
      <c r="AZ110" s="54">
        <v>1108</v>
      </c>
      <c r="BA110" s="54">
        <v>2762</v>
      </c>
      <c r="BB110" s="54">
        <v>332</v>
      </c>
      <c r="BC110" s="54">
        <v>692</v>
      </c>
      <c r="BD110" s="54">
        <v>871</v>
      </c>
      <c r="BE110" s="70">
        <v>1538</v>
      </c>
      <c r="BF110" s="63"/>
      <c r="BG110" s="71">
        <v>1147</v>
      </c>
      <c r="BH110" s="67"/>
      <c r="BI110" s="68"/>
      <c r="BJ110" s="72">
        <v>754</v>
      </c>
      <c r="BK110" s="62"/>
      <c r="BL110" s="70">
        <v>1680</v>
      </c>
      <c r="BM110" s="70">
        <v>225</v>
      </c>
      <c r="BN110" s="70">
        <v>76</v>
      </c>
      <c r="BO110" s="70">
        <v>448</v>
      </c>
      <c r="BP110" s="73">
        <v>5</v>
      </c>
      <c r="BQ110" s="152">
        <v>615</v>
      </c>
      <c r="BR110" s="153">
        <v>326</v>
      </c>
      <c r="BS110" s="154">
        <v>73</v>
      </c>
      <c r="BT110" s="76">
        <v>77.372262773722625</v>
      </c>
      <c r="BU110" s="77">
        <v>22.627737226277372</v>
      </c>
      <c r="BV110" s="78">
        <v>848</v>
      </c>
      <c r="BW110" s="79">
        <v>248</v>
      </c>
      <c r="BX110" s="69">
        <v>418</v>
      </c>
      <c r="BY110" s="70">
        <v>175</v>
      </c>
      <c r="BZ110" s="70">
        <v>168</v>
      </c>
      <c r="CA110" s="70">
        <v>255</v>
      </c>
      <c r="CB110" s="70">
        <v>4</v>
      </c>
      <c r="CC110" s="70">
        <v>73</v>
      </c>
      <c r="CD110" s="70">
        <v>3</v>
      </c>
      <c r="CE110" s="73">
        <v>0</v>
      </c>
    </row>
    <row r="111" spans="2:83" x14ac:dyDescent="0.3">
      <c r="B111" s="46">
        <v>21</v>
      </c>
      <c r="C111" s="150">
        <v>43242</v>
      </c>
      <c r="D111" s="74">
        <v>0</v>
      </c>
      <c r="E111" s="54">
        <v>2602</v>
      </c>
      <c r="F111" s="75">
        <v>110</v>
      </c>
      <c r="G111" s="51">
        <v>2.4158415841584158</v>
      </c>
      <c r="H111" s="52">
        <v>3.1476349737219302</v>
      </c>
      <c r="I111" s="53">
        <v>2093</v>
      </c>
      <c r="J111" s="54">
        <v>2727</v>
      </c>
      <c r="K111" s="54">
        <v>6588</v>
      </c>
      <c r="L111" s="55">
        <v>4264.8999999999996</v>
      </c>
      <c r="M111" s="55">
        <v>299.44499999999999</v>
      </c>
      <c r="N111" s="57">
        <v>988.2</v>
      </c>
      <c r="O111" s="58">
        <v>488.72</v>
      </c>
      <c r="P111" s="59">
        <v>13.480111311180226</v>
      </c>
      <c r="Q111" s="60">
        <v>631.31000000000006</v>
      </c>
      <c r="R111" s="61">
        <v>10.435443759801048</v>
      </c>
      <c r="S111" s="48"/>
      <c r="T111" s="50"/>
      <c r="U111" s="151">
        <v>0</v>
      </c>
      <c r="V111" s="54">
        <v>53</v>
      </c>
      <c r="W111" s="75">
        <v>29</v>
      </c>
      <c r="X111" s="80">
        <v>45</v>
      </c>
      <c r="Y111" s="70">
        <v>105</v>
      </c>
      <c r="Z111" s="70">
        <v>249</v>
      </c>
      <c r="AA111" s="64">
        <v>590.20000000000005</v>
      </c>
      <c r="AB111" s="64">
        <v>56.026000000000003</v>
      </c>
      <c r="AC111" s="66"/>
      <c r="AD111" s="67"/>
      <c r="AE111" s="68"/>
      <c r="AF111" s="80">
        <v>249</v>
      </c>
      <c r="AG111" s="70">
        <v>355</v>
      </c>
      <c r="AH111" s="70">
        <v>83</v>
      </c>
      <c r="AI111" s="70">
        <v>127</v>
      </c>
      <c r="AJ111" s="70">
        <v>129</v>
      </c>
      <c r="AK111" s="70">
        <v>358</v>
      </c>
      <c r="AL111" s="70">
        <v>172</v>
      </c>
      <c r="AM111" s="70">
        <v>113</v>
      </c>
      <c r="AN111" s="70">
        <v>300</v>
      </c>
      <c r="AO111" s="70">
        <v>142</v>
      </c>
      <c r="AP111" s="70">
        <v>193</v>
      </c>
      <c r="AQ111" s="70">
        <v>335</v>
      </c>
      <c r="AR111" s="63"/>
      <c r="AS111" s="63"/>
      <c r="AT111" s="63"/>
      <c r="AU111" s="63"/>
      <c r="AV111" s="63"/>
      <c r="AW111" s="50"/>
      <c r="AX111" s="80">
        <v>3443</v>
      </c>
      <c r="AY111" s="70">
        <v>19926</v>
      </c>
      <c r="AZ111" s="54">
        <v>1204</v>
      </c>
      <c r="BA111" s="54">
        <v>2698</v>
      </c>
      <c r="BB111" s="54">
        <v>402</v>
      </c>
      <c r="BC111" s="54">
        <v>706</v>
      </c>
      <c r="BD111" s="54">
        <v>1322</v>
      </c>
      <c r="BE111" s="70">
        <v>1529</v>
      </c>
      <c r="BF111" s="63"/>
      <c r="BG111" s="71">
        <v>1856</v>
      </c>
      <c r="BH111" s="67"/>
      <c r="BI111" s="68"/>
      <c r="BJ111" s="72">
        <v>754</v>
      </c>
      <c r="BK111" s="62"/>
      <c r="BL111" s="70">
        <v>1820</v>
      </c>
      <c r="BM111" s="70">
        <v>191</v>
      </c>
      <c r="BN111" s="70">
        <v>73</v>
      </c>
      <c r="BO111" s="70">
        <v>480</v>
      </c>
      <c r="BP111" s="73">
        <v>10</v>
      </c>
      <c r="BQ111" s="152">
        <v>1382</v>
      </c>
      <c r="BR111" s="153">
        <v>475</v>
      </c>
      <c r="BS111" s="154">
        <v>43</v>
      </c>
      <c r="BT111" s="76">
        <v>79.242569511025891</v>
      </c>
      <c r="BU111" s="77">
        <v>20.757430488974112</v>
      </c>
      <c r="BV111" s="78">
        <v>1653</v>
      </c>
      <c r="BW111" s="79">
        <v>433</v>
      </c>
      <c r="BX111" s="69">
        <v>1034</v>
      </c>
      <c r="BY111" s="70">
        <v>190</v>
      </c>
      <c r="BZ111" s="70">
        <v>243</v>
      </c>
      <c r="CA111" s="70">
        <v>429</v>
      </c>
      <c r="CB111" s="70">
        <v>9</v>
      </c>
      <c r="CC111" s="70">
        <v>151</v>
      </c>
      <c r="CD111" s="70">
        <v>5</v>
      </c>
      <c r="CE111" s="73">
        <v>25</v>
      </c>
    </row>
    <row r="112" spans="2:83" x14ac:dyDescent="0.3">
      <c r="B112" s="46">
        <v>21</v>
      </c>
      <c r="C112" s="150">
        <v>43243</v>
      </c>
      <c r="D112" s="74">
        <v>33</v>
      </c>
      <c r="E112" s="54">
        <v>1672</v>
      </c>
      <c r="F112" s="75">
        <v>273</v>
      </c>
      <c r="G112" s="51">
        <v>3.5105121293800541</v>
      </c>
      <c r="H112" s="52">
        <v>5.1034482758620694</v>
      </c>
      <c r="I112" s="53">
        <v>1276</v>
      </c>
      <c r="J112" s="54">
        <v>1855</v>
      </c>
      <c r="K112" s="54">
        <v>6512</v>
      </c>
      <c r="L112" s="55">
        <v>5700.1</v>
      </c>
      <c r="M112" s="55">
        <v>319.23500000000001</v>
      </c>
      <c r="N112" s="57">
        <v>976.8</v>
      </c>
      <c r="O112" s="58">
        <v>496.4</v>
      </c>
      <c r="P112" s="59">
        <v>13.118452860596294</v>
      </c>
      <c r="Q112" s="60">
        <v>636.69000000000005</v>
      </c>
      <c r="R112" s="61">
        <v>10.227897406901317</v>
      </c>
      <c r="S112" s="48"/>
      <c r="T112" s="50"/>
      <c r="U112" s="151">
        <v>0</v>
      </c>
      <c r="V112" s="54">
        <v>55</v>
      </c>
      <c r="W112" s="75">
        <v>113</v>
      </c>
      <c r="X112" s="80">
        <v>43</v>
      </c>
      <c r="Y112" s="70">
        <v>72</v>
      </c>
      <c r="Z112" s="70">
        <v>313</v>
      </c>
      <c r="AA112" s="64">
        <v>492.8</v>
      </c>
      <c r="AB112" s="64">
        <v>25.004999999999999</v>
      </c>
      <c r="AC112" s="66"/>
      <c r="AD112" s="67"/>
      <c r="AE112" s="68"/>
      <c r="AF112" s="80">
        <v>85</v>
      </c>
      <c r="AG112" s="70">
        <v>179</v>
      </c>
      <c r="AH112" s="70">
        <v>36</v>
      </c>
      <c r="AI112" s="70">
        <v>75</v>
      </c>
      <c r="AJ112" s="70">
        <v>64</v>
      </c>
      <c r="AK112" s="70">
        <v>153</v>
      </c>
      <c r="AL112" s="70">
        <v>106</v>
      </c>
      <c r="AM112" s="70">
        <v>89</v>
      </c>
      <c r="AN112" s="70">
        <v>168</v>
      </c>
      <c r="AO112" s="70">
        <v>107</v>
      </c>
      <c r="AP112" s="70">
        <v>137</v>
      </c>
      <c r="AQ112" s="70">
        <v>431</v>
      </c>
      <c r="AR112" s="63"/>
      <c r="AS112" s="63"/>
      <c r="AT112" s="63"/>
      <c r="AU112" s="63"/>
      <c r="AV112" s="63"/>
      <c r="AW112" s="50"/>
      <c r="AX112" s="80">
        <v>3900</v>
      </c>
      <c r="AY112" s="70">
        <v>18944</v>
      </c>
      <c r="AZ112" s="54">
        <v>969</v>
      </c>
      <c r="BA112" s="54">
        <v>2070</v>
      </c>
      <c r="BB112" s="54">
        <v>486</v>
      </c>
      <c r="BC112" s="54">
        <v>1158</v>
      </c>
      <c r="BD112" s="54">
        <v>897</v>
      </c>
      <c r="BE112" s="70">
        <v>1231</v>
      </c>
      <c r="BF112" s="63"/>
      <c r="BG112" s="71">
        <v>1164</v>
      </c>
      <c r="BH112" s="67"/>
      <c r="BI112" s="68"/>
      <c r="BJ112" s="72">
        <v>796</v>
      </c>
      <c r="BK112" s="62"/>
      <c r="BL112" s="70">
        <v>1763</v>
      </c>
      <c r="BM112" s="70">
        <v>202</v>
      </c>
      <c r="BN112" s="70">
        <v>113</v>
      </c>
      <c r="BO112" s="70">
        <v>460</v>
      </c>
      <c r="BP112" s="73">
        <v>21</v>
      </c>
      <c r="BQ112" s="152">
        <v>632</v>
      </c>
      <c r="BR112" s="153">
        <v>254</v>
      </c>
      <c r="BS112" s="154">
        <v>70</v>
      </c>
      <c r="BT112" s="76">
        <v>63.191153238546605</v>
      </c>
      <c r="BU112" s="77">
        <v>36.808846761453395</v>
      </c>
      <c r="BV112" s="78">
        <v>800</v>
      </c>
      <c r="BW112" s="79">
        <v>466</v>
      </c>
      <c r="BX112" s="69">
        <v>467</v>
      </c>
      <c r="BY112" s="70">
        <v>90</v>
      </c>
      <c r="BZ112" s="70">
        <v>200</v>
      </c>
      <c r="CA112" s="70">
        <v>243</v>
      </c>
      <c r="CB112" s="70">
        <v>5</v>
      </c>
      <c r="CC112" s="70">
        <v>99</v>
      </c>
      <c r="CD112" s="70">
        <v>5</v>
      </c>
      <c r="CE112" s="73">
        <v>157</v>
      </c>
    </row>
    <row r="113" spans="2:83" x14ac:dyDescent="0.3">
      <c r="B113" s="46">
        <v>21</v>
      </c>
      <c r="C113" s="150">
        <v>43244</v>
      </c>
      <c r="D113" s="74">
        <v>15</v>
      </c>
      <c r="E113" s="54">
        <v>1377</v>
      </c>
      <c r="F113" s="75">
        <v>225</v>
      </c>
      <c r="G113" s="51">
        <v>4.129847238542891</v>
      </c>
      <c r="H113" s="52">
        <v>6.9387956564659428</v>
      </c>
      <c r="I113" s="53">
        <v>1013</v>
      </c>
      <c r="J113" s="54">
        <v>1702</v>
      </c>
      <c r="K113" s="54">
        <v>7029</v>
      </c>
      <c r="L113" s="55">
        <v>5412.5</v>
      </c>
      <c r="M113" s="55">
        <v>472.27699999999999</v>
      </c>
      <c r="N113" s="57">
        <v>1054.3499999999999</v>
      </c>
      <c r="O113" s="58">
        <v>504.35</v>
      </c>
      <c r="P113" s="59">
        <v>13.936750272628135</v>
      </c>
      <c r="Q113" s="60">
        <v>656.72</v>
      </c>
      <c r="R113" s="61">
        <v>10.703191618954806</v>
      </c>
      <c r="S113" s="48"/>
      <c r="T113" s="50"/>
      <c r="U113" s="151">
        <v>0</v>
      </c>
      <c r="V113" s="54">
        <v>46</v>
      </c>
      <c r="W113" s="75">
        <v>52</v>
      </c>
      <c r="X113" s="80">
        <v>57</v>
      </c>
      <c r="Y113" s="70">
        <v>180</v>
      </c>
      <c r="Z113" s="70">
        <v>452</v>
      </c>
      <c r="AA113" s="64">
        <v>518.70000000000005</v>
      </c>
      <c r="AB113" s="64">
        <v>118.771</v>
      </c>
      <c r="AC113" s="66"/>
      <c r="AD113" s="67"/>
      <c r="AE113" s="68"/>
      <c r="AF113" s="80">
        <v>95</v>
      </c>
      <c r="AG113" s="70">
        <v>126</v>
      </c>
      <c r="AH113" s="70">
        <v>29</v>
      </c>
      <c r="AI113" s="70">
        <v>55</v>
      </c>
      <c r="AJ113" s="70">
        <v>61</v>
      </c>
      <c r="AK113" s="70">
        <v>125</v>
      </c>
      <c r="AL113" s="70">
        <v>78</v>
      </c>
      <c r="AM113" s="70">
        <v>69</v>
      </c>
      <c r="AN113" s="70">
        <v>168</v>
      </c>
      <c r="AO113" s="70">
        <v>99</v>
      </c>
      <c r="AP113" s="70">
        <v>163</v>
      </c>
      <c r="AQ113" s="70">
        <v>274</v>
      </c>
      <c r="AR113" s="63"/>
      <c r="AS113" s="63"/>
      <c r="AT113" s="63"/>
      <c r="AU113" s="63"/>
      <c r="AV113" s="63"/>
      <c r="AW113" s="50"/>
      <c r="AX113" s="80">
        <v>3509</v>
      </c>
      <c r="AY113" s="70">
        <v>16252</v>
      </c>
      <c r="AZ113" s="54">
        <v>778</v>
      </c>
      <c r="BA113" s="54">
        <v>1700</v>
      </c>
      <c r="BB113" s="54">
        <v>202</v>
      </c>
      <c r="BC113" s="54">
        <v>436</v>
      </c>
      <c r="BD113" s="54">
        <v>802</v>
      </c>
      <c r="BE113" s="70">
        <v>1118</v>
      </c>
      <c r="BF113" s="63"/>
      <c r="BG113" s="71">
        <v>1279</v>
      </c>
      <c r="BH113" s="67"/>
      <c r="BI113" s="68"/>
      <c r="BJ113" s="72">
        <v>700</v>
      </c>
      <c r="BK113" s="62"/>
      <c r="BL113" s="70">
        <v>1849</v>
      </c>
      <c r="BM113" s="70">
        <v>197</v>
      </c>
      <c r="BN113" s="70">
        <v>109</v>
      </c>
      <c r="BO113" s="70">
        <v>386</v>
      </c>
      <c r="BP113" s="73">
        <v>8</v>
      </c>
      <c r="BQ113" s="152">
        <v>509</v>
      </c>
      <c r="BR113" s="153">
        <v>261</v>
      </c>
      <c r="BS113" s="154">
        <v>93</v>
      </c>
      <c r="BT113" s="76">
        <v>65.631262525050104</v>
      </c>
      <c r="BU113" s="77">
        <v>34.368737474949903</v>
      </c>
      <c r="BV113" s="78">
        <v>655</v>
      </c>
      <c r="BW113" s="79">
        <v>343</v>
      </c>
      <c r="BX113" s="69">
        <v>358</v>
      </c>
      <c r="BY113" s="70">
        <v>67</v>
      </c>
      <c r="BZ113" s="70">
        <v>215</v>
      </c>
      <c r="CA113" s="70">
        <v>230</v>
      </c>
      <c r="CB113" s="70">
        <v>12</v>
      </c>
      <c r="CC113" s="70">
        <v>108</v>
      </c>
      <c r="CD113" s="70">
        <v>8</v>
      </c>
      <c r="CE113" s="73">
        <v>0</v>
      </c>
    </row>
    <row r="114" spans="2:83" x14ac:dyDescent="0.3">
      <c r="B114" s="46">
        <v>21</v>
      </c>
      <c r="C114" s="150">
        <v>43245</v>
      </c>
      <c r="D114" s="74">
        <v>33</v>
      </c>
      <c r="E114" s="54">
        <v>1361</v>
      </c>
      <c r="F114" s="75">
        <v>207</v>
      </c>
      <c r="G114" s="51">
        <v>4.183893468611287</v>
      </c>
      <c r="H114" s="52">
        <v>6.4058252427184463</v>
      </c>
      <c r="I114" s="53">
        <v>1030</v>
      </c>
      <c r="J114" s="54">
        <v>1577</v>
      </c>
      <c r="K114" s="54">
        <v>6598</v>
      </c>
      <c r="L114" s="55">
        <v>4413.8999999999996</v>
      </c>
      <c r="M114" s="55">
        <v>396.91399999999999</v>
      </c>
      <c r="N114" s="57">
        <v>989.69999999999993</v>
      </c>
      <c r="O114" s="58">
        <v>457.54</v>
      </c>
      <c r="P114" s="59">
        <v>14.420597106263932</v>
      </c>
      <c r="Q114" s="60">
        <v>609.45000000000005</v>
      </c>
      <c r="R114" s="61">
        <v>10.826154729674295</v>
      </c>
      <c r="S114" s="48"/>
      <c r="T114" s="50"/>
      <c r="U114" s="151">
        <v>0</v>
      </c>
      <c r="V114" s="54">
        <v>60</v>
      </c>
      <c r="W114" s="75">
        <v>50</v>
      </c>
      <c r="X114" s="80">
        <v>45</v>
      </c>
      <c r="Y114" s="70">
        <v>101</v>
      </c>
      <c r="Z114" s="70">
        <v>247</v>
      </c>
      <c r="AA114" s="64">
        <v>480</v>
      </c>
      <c r="AB114" s="64">
        <v>56.459000000000003</v>
      </c>
      <c r="AC114" s="66"/>
      <c r="AD114" s="67"/>
      <c r="AE114" s="68"/>
      <c r="AF114" s="80">
        <v>103</v>
      </c>
      <c r="AG114" s="70">
        <v>160</v>
      </c>
      <c r="AH114" s="70">
        <v>25</v>
      </c>
      <c r="AI114" s="70">
        <v>46</v>
      </c>
      <c r="AJ114" s="70">
        <v>54</v>
      </c>
      <c r="AK114" s="70">
        <v>113</v>
      </c>
      <c r="AL114" s="70">
        <v>82</v>
      </c>
      <c r="AM114" s="70">
        <v>57</v>
      </c>
      <c r="AN114" s="70">
        <v>223</v>
      </c>
      <c r="AO114" s="70">
        <v>124</v>
      </c>
      <c r="AP114" s="70">
        <v>175</v>
      </c>
      <c r="AQ114" s="70">
        <v>163</v>
      </c>
      <c r="AR114" s="63"/>
      <c r="AS114" s="63"/>
      <c r="AT114" s="63"/>
      <c r="AU114" s="63"/>
      <c r="AV114" s="63"/>
      <c r="AW114" s="50"/>
      <c r="AX114" s="80">
        <v>3058</v>
      </c>
      <c r="AY114" s="70">
        <v>19975</v>
      </c>
      <c r="AZ114" s="54">
        <v>620</v>
      </c>
      <c r="BA114" s="54">
        <v>1316</v>
      </c>
      <c r="BB114" s="54">
        <v>365</v>
      </c>
      <c r="BC114" s="54">
        <v>715</v>
      </c>
      <c r="BD114" s="54">
        <v>842</v>
      </c>
      <c r="BE114" s="70">
        <v>1027</v>
      </c>
      <c r="BF114" s="63"/>
      <c r="BG114" s="71">
        <v>1221</v>
      </c>
      <c r="BH114" s="67"/>
      <c r="BI114" s="68"/>
      <c r="BJ114" s="72">
        <v>710</v>
      </c>
      <c r="BK114" s="62"/>
      <c r="BL114" s="70">
        <v>1282</v>
      </c>
      <c r="BM114" s="70">
        <v>92</v>
      </c>
      <c r="BN114" s="70">
        <v>192</v>
      </c>
      <c r="BO114" s="70">
        <v>394</v>
      </c>
      <c r="BP114" s="73">
        <v>32</v>
      </c>
      <c r="BQ114" s="152">
        <v>494</v>
      </c>
      <c r="BR114" s="153">
        <v>231</v>
      </c>
      <c r="BS114" s="154">
        <v>109</v>
      </c>
      <c r="BT114" s="76">
        <v>66.600199401794612</v>
      </c>
      <c r="BU114" s="77">
        <v>33.399800598205381</v>
      </c>
      <c r="BV114" s="78">
        <v>668</v>
      </c>
      <c r="BW114" s="79">
        <v>335</v>
      </c>
      <c r="BX114" s="69">
        <v>448</v>
      </c>
      <c r="BY114" s="70">
        <v>90</v>
      </c>
      <c r="BZ114" s="70">
        <v>150</v>
      </c>
      <c r="CA114" s="70">
        <v>130</v>
      </c>
      <c r="CB114" s="70">
        <v>15</v>
      </c>
      <c r="CC114" s="70">
        <v>163</v>
      </c>
      <c r="CD114" s="70">
        <v>7</v>
      </c>
      <c r="CE114" s="73">
        <v>0</v>
      </c>
    </row>
    <row r="115" spans="2:83" x14ac:dyDescent="0.3">
      <c r="B115" s="46">
        <v>22</v>
      </c>
      <c r="C115" s="150">
        <v>43248</v>
      </c>
      <c r="D115" s="74">
        <v>55</v>
      </c>
      <c r="E115" s="54">
        <v>2040</v>
      </c>
      <c r="F115" s="75">
        <v>347</v>
      </c>
      <c r="G115" s="51">
        <v>2.2924217462932455</v>
      </c>
      <c r="H115" s="52">
        <v>3.3150684931506849</v>
      </c>
      <c r="I115" s="53">
        <v>1679</v>
      </c>
      <c r="J115" s="54">
        <v>2428</v>
      </c>
      <c r="K115" s="54">
        <v>5566</v>
      </c>
      <c r="L115" s="55">
        <v>6985</v>
      </c>
      <c r="M115" s="55">
        <v>601.596</v>
      </c>
      <c r="N115" s="57">
        <v>834.9</v>
      </c>
      <c r="O115" s="58">
        <v>526.42000000000007</v>
      </c>
      <c r="P115" s="59">
        <v>10.573306485315905</v>
      </c>
      <c r="Q115" s="60">
        <v>714.58</v>
      </c>
      <c r="R115" s="61">
        <v>7.789190853368412</v>
      </c>
      <c r="S115" s="48"/>
      <c r="T115" s="50"/>
      <c r="U115" s="151">
        <v>0</v>
      </c>
      <c r="V115" s="54">
        <v>65</v>
      </c>
      <c r="W115" s="75">
        <v>93</v>
      </c>
      <c r="X115" s="80">
        <v>44</v>
      </c>
      <c r="Y115" s="70">
        <v>181</v>
      </c>
      <c r="Z115" s="70">
        <v>122</v>
      </c>
      <c r="AA115" s="64">
        <v>1193.2</v>
      </c>
      <c r="AB115" s="64">
        <v>171.65199999999999</v>
      </c>
      <c r="AC115" s="66"/>
      <c r="AD115" s="67"/>
      <c r="AE115" s="68"/>
      <c r="AF115" s="80">
        <v>168</v>
      </c>
      <c r="AG115" s="70">
        <v>325</v>
      </c>
      <c r="AH115" s="70">
        <v>61</v>
      </c>
      <c r="AI115" s="70">
        <v>113</v>
      </c>
      <c r="AJ115" s="70">
        <v>104</v>
      </c>
      <c r="AK115" s="70">
        <v>242</v>
      </c>
      <c r="AL115" s="70">
        <v>169</v>
      </c>
      <c r="AM115" s="70">
        <v>107</v>
      </c>
      <c r="AN115" s="70">
        <v>298</v>
      </c>
      <c r="AO115" s="70">
        <v>106</v>
      </c>
      <c r="AP115" s="70">
        <v>81</v>
      </c>
      <c r="AQ115" s="70">
        <v>179</v>
      </c>
      <c r="AR115" s="63"/>
      <c r="AS115" s="63"/>
      <c r="AT115" s="63"/>
      <c r="AU115" s="63"/>
      <c r="AV115" s="63"/>
      <c r="AW115" s="50"/>
      <c r="AX115" s="80">
        <v>3456</v>
      </c>
      <c r="AY115" s="70">
        <v>20320</v>
      </c>
      <c r="AZ115" s="54">
        <v>1280</v>
      </c>
      <c r="BA115" s="54">
        <v>3700</v>
      </c>
      <c r="BB115" s="54">
        <v>406</v>
      </c>
      <c r="BC115" s="54">
        <v>892</v>
      </c>
      <c r="BD115" s="54">
        <v>1150</v>
      </c>
      <c r="BE115" s="70">
        <v>1448</v>
      </c>
      <c r="BF115" s="63"/>
      <c r="BG115" s="71">
        <v>1776</v>
      </c>
      <c r="BH115" s="67"/>
      <c r="BI115" s="68"/>
      <c r="BJ115" s="72">
        <v>817</v>
      </c>
      <c r="BK115" s="62"/>
      <c r="BL115" s="70">
        <v>1726</v>
      </c>
      <c r="BM115" s="70">
        <v>172</v>
      </c>
      <c r="BN115" s="70">
        <v>192</v>
      </c>
      <c r="BO115" s="70">
        <v>445</v>
      </c>
      <c r="BP115" s="73">
        <v>8</v>
      </c>
      <c r="BQ115" s="152">
        <v>1064</v>
      </c>
      <c r="BR115" s="153">
        <v>314</v>
      </c>
      <c r="BS115" s="154">
        <v>145</v>
      </c>
      <c r="BT115" s="76">
        <v>82.629674306393241</v>
      </c>
      <c r="BU115" s="77">
        <v>17.370325693606755</v>
      </c>
      <c r="BV115" s="78">
        <v>1370</v>
      </c>
      <c r="BW115" s="79">
        <v>288</v>
      </c>
      <c r="BX115" s="69">
        <v>799</v>
      </c>
      <c r="BY115" s="70">
        <v>135</v>
      </c>
      <c r="BZ115" s="70">
        <v>168</v>
      </c>
      <c r="CA115" s="70">
        <v>436</v>
      </c>
      <c r="CB115" s="70">
        <v>5</v>
      </c>
      <c r="CC115" s="70">
        <v>107</v>
      </c>
      <c r="CD115" s="70">
        <v>8</v>
      </c>
      <c r="CE115" s="73">
        <v>0</v>
      </c>
    </row>
    <row r="116" spans="2:83" x14ac:dyDescent="0.3">
      <c r="B116" s="46">
        <v>22</v>
      </c>
      <c r="C116" s="150">
        <v>43249</v>
      </c>
      <c r="D116" s="74">
        <v>20</v>
      </c>
      <c r="E116" s="54">
        <v>1250</v>
      </c>
      <c r="F116" s="75">
        <v>219</v>
      </c>
      <c r="G116" s="51">
        <v>3.9012875536480687</v>
      </c>
      <c r="H116" s="52">
        <v>5.9411764705882355</v>
      </c>
      <c r="I116" s="53">
        <v>918</v>
      </c>
      <c r="J116" s="54">
        <v>1398</v>
      </c>
      <c r="K116" s="54">
        <v>5454</v>
      </c>
      <c r="L116" s="55">
        <v>5035.8</v>
      </c>
      <c r="M116" s="55">
        <v>338.13499999999999</v>
      </c>
      <c r="N116" s="57">
        <v>818.09999999999991</v>
      </c>
      <c r="O116" s="58">
        <v>514.31999999999994</v>
      </c>
      <c r="P116" s="59">
        <v>10.604293047130193</v>
      </c>
      <c r="Q116" s="60">
        <v>704.98</v>
      </c>
      <c r="R116" s="61">
        <v>7.7363896848137532</v>
      </c>
      <c r="S116" s="48"/>
      <c r="T116" s="50"/>
      <c r="U116" s="151">
        <v>0</v>
      </c>
      <c r="V116" s="54">
        <v>113</v>
      </c>
      <c r="W116" s="75">
        <v>70</v>
      </c>
      <c r="X116" s="80">
        <v>51</v>
      </c>
      <c r="Y116" s="70">
        <v>89</v>
      </c>
      <c r="Z116" s="70">
        <v>202</v>
      </c>
      <c r="AA116" s="64">
        <v>808.2</v>
      </c>
      <c r="AB116" s="64">
        <v>35.301000000000002</v>
      </c>
      <c r="AC116" s="66"/>
      <c r="AD116" s="67"/>
      <c r="AE116" s="68"/>
      <c r="AF116" s="80">
        <v>70</v>
      </c>
      <c r="AG116" s="70">
        <v>118</v>
      </c>
      <c r="AH116" s="70">
        <v>29</v>
      </c>
      <c r="AI116" s="70">
        <v>55</v>
      </c>
      <c r="AJ116" s="70">
        <v>61</v>
      </c>
      <c r="AK116" s="70">
        <v>102</v>
      </c>
      <c r="AL116" s="70">
        <v>84</v>
      </c>
      <c r="AM116" s="70">
        <v>79</v>
      </c>
      <c r="AN116" s="70">
        <v>220</v>
      </c>
      <c r="AO116" s="70">
        <v>120</v>
      </c>
      <c r="AP116" s="70">
        <v>157</v>
      </c>
      <c r="AQ116" s="70">
        <v>112</v>
      </c>
      <c r="AR116" s="63"/>
      <c r="AS116" s="63"/>
      <c r="AT116" s="63"/>
      <c r="AU116" s="63"/>
      <c r="AV116" s="63"/>
      <c r="AW116" s="50"/>
      <c r="AX116" s="80">
        <v>3062</v>
      </c>
      <c r="AY116" s="70">
        <v>18391</v>
      </c>
      <c r="AZ116" s="54">
        <v>1570</v>
      </c>
      <c r="BA116" s="54">
        <v>3849</v>
      </c>
      <c r="BB116" s="54">
        <v>173</v>
      </c>
      <c r="BC116" s="54">
        <v>371</v>
      </c>
      <c r="BD116" s="54">
        <v>746</v>
      </c>
      <c r="BE116" s="70">
        <v>1424</v>
      </c>
      <c r="BF116" s="63"/>
      <c r="BG116" s="71">
        <v>1609</v>
      </c>
      <c r="BH116" s="67"/>
      <c r="BI116" s="68"/>
      <c r="BJ116" s="72">
        <v>851</v>
      </c>
      <c r="BK116" s="62"/>
      <c r="BL116" s="70">
        <v>1785</v>
      </c>
      <c r="BM116" s="70">
        <v>247</v>
      </c>
      <c r="BN116" s="70">
        <v>55</v>
      </c>
      <c r="BO116" s="70">
        <v>532</v>
      </c>
      <c r="BP116" s="73">
        <v>17</v>
      </c>
      <c r="BQ116" s="152">
        <v>474</v>
      </c>
      <c r="BR116" s="153">
        <v>233</v>
      </c>
      <c r="BS116" s="154">
        <v>86</v>
      </c>
      <c r="BT116" s="76">
        <v>65.931642778390298</v>
      </c>
      <c r="BU116" s="77">
        <v>34.068357221609702</v>
      </c>
      <c r="BV116" s="78">
        <v>598</v>
      </c>
      <c r="BW116" s="79">
        <v>309</v>
      </c>
      <c r="BX116" s="69">
        <v>347</v>
      </c>
      <c r="BY116" s="70">
        <v>72</v>
      </c>
      <c r="BZ116" s="70">
        <v>181</v>
      </c>
      <c r="CA116" s="70">
        <v>179</v>
      </c>
      <c r="CB116" s="70">
        <v>10</v>
      </c>
      <c r="CC116" s="70">
        <v>111</v>
      </c>
      <c r="CD116" s="70">
        <v>7</v>
      </c>
      <c r="CE116" s="73">
        <v>0</v>
      </c>
    </row>
    <row r="117" spans="2:83" x14ac:dyDescent="0.3">
      <c r="B117" s="46">
        <v>22</v>
      </c>
      <c r="C117" s="150">
        <v>43250</v>
      </c>
      <c r="D117" s="74">
        <v>8</v>
      </c>
      <c r="E117" s="54">
        <v>1472</v>
      </c>
      <c r="F117" s="75">
        <v>206</v>
      </c>
      <c r="G117" s="51">
        <v>4.0682593856655291</v>
      </c>
      <c r="H117" s="52">
        <v>6.2299651567944254</v>
      </c>
      <c r="I117" s="53">
        <v>1148</v>
      </c>
      <c r="J117" s="54">
        <v>1758</v>
      </c>
      <c r="K117" s="54">
        <v>7152</v>
      </c>
      <c r="L117" s="55">
        <v>4913.1000000000004</v>
      </c>
      <c r="M117" s="55">
        <v>374.38099999999997</v>
      </c>
      <c r="N117" s="57">
        <v>1072.8</v>
      </c>
      <c r="O117" s="58">
        <v>465.36</v>
      </c>
      <c r="P117" s="59">
        <v>15.368746776689015</v>
      </c>
      <c r="Q117" s="60">
        <v>626.27</v>
      </c>
      <c r="R117" s="61">
        <v>11.419994571031664</v>
      </c>
      <c r="S117" s="48"/>
      <c r="T117" s="50"/>
      <c r="U117" s="151">
        <v>0</v>
      </c>
      <c r="V117" s="54">
        <v>56</v>
      </c>
      <c r="W117" s="75">
        <v>68</v>
      </c>
      <c r="X117" s="80">
        <v>66</v>
      </c>
      <c r="Y117" s="70">
        <v>209</v>
      </c>
      <c r="Z117" s="70">
        <v>353</v>
      </c>
      <c r="AA117" s="64">
        <v>1313.9</v>
      </c>
      <c r="AB117" s="64">
        <v>123.167</v>
      </c>
      <c r="AC117" s="66"/>
      <c r="AD117" s="67"/>
      <c r="AE117" s="68"/>
      <c r="AF117" s="80">
        <v>97</v>
      </c>
      <c r="AG117" s="70">
        <v>163</v>
      </c>
      <c r="AH117" s="70">
        <v>30</v>
      </c>
      <c r="AI117" s="70">
        <v>72</v>
      </c>
      <c r="AJ117" s="70">
        <v>62</v>
      </c>
      <c r="AK117" s="70">
        <v>146</v>
      </c>
      <c r="AL117" s="70">
        <v>118</v>
      </c>
      <c r="AM117" s="70">
        <v>114</v>
      </c>
      <c r="AN117" s="70">
        <v>260</v>
      </c>
      <c r="AO117" s="70">
        <v>123</v>
      </c>
      <c r="AP117" s="70">
        <v>103</v>
      </c>
      <c r="AQ117" s="70">
        <v>102</v>
      </c>
      <c r="AR117" s="63"/>
      <c r="AS117" s="63"/>
      <c r="AT117" s="63"/>
      <c r="AU117" s="63"/>
      <c r="AV117" s="63"/>
      <c r="AW117" s="50"/>
      <c r="AX117" s="80">
        <v>3268</v>
      </c>
      <c r="AY117" s="70">
        <v>15788</v>
      </c>
      <c r="AZ117" s="54">
        <v>1464</v>
      </c>
      <c r="BA117" s="54">
        <v>2486</v>
      </c>
      <c r="BB117" s="54">
        <v>392</v>
      </c>
      <c r="BC117" s="54">
        <v>905</v>
      </c>
      <c r="BD117" s="54">
        <v>879</v>
      </c>
      <c r="BE117" s="70">
        <v>1810</v>
      </c>
      <c r="BF117" s="63"/>
      <c r="BG117" s="71">
        <v>2055</v>
      </c>
      <c r="BH117" s="67"/>
      <c r="BI117" s="68"/>
      <c r="BJ117" s="72">
        <v>1380</v>
      </c>
      <c r="BK117" s="62"/>
      <c r="BL117" s="70">
        <v>1871</v>
      </c>
      <c r="BM117" s="70">
        <v>217</v>
      </c>
      <c r="BN117" s="70">
        <v>98</v>
      </c>
      <c r="BO117" s="70">
        <v>1055</v>
      </c>
      <c r="BP117" s="73">
        <v>10</v>
      </c>
      <c r="BQ117" s="152">
        <v>617</v>
      </c>
      <c r="BR117" s="153">
        <v>278</v>
      </c>
      <c r="BS117" s="154">
        <v>72</v>
      </c>
      <c r="BT117" s="76">
        <v>72.583479789103691</v>
      </c>
      <c r="BU117" s="77">
        <v>27.416520210896309</v>
      </c>
      <c r="BV117" s="78">
        <v>826</v>
      </c>
      <c r="BW117" s="79">
        <v>312</v>
      </c>
      <c r="BX117" s="69">
        <v>490</v>
      </c>
      <c r="BY117" s="70">
        <v>103</v>
      </c>
      <c r="BZ117" s="70">
        <v>199</v>
      </c>
      <c r="CA117" s="70">
        <v>233</v>
      </c>
      <c r="CB117" s="70">
        <v>15</v>
      </c>
      <c r="CC117" s="70">
        <v>91</v>
      </c>
      <c r="CD117" s="70">
        <v>7</v>
      </c>
      <c r="CE117" s="73">
        <v>0</v>
      </c>
    </row>
    <row r="118" spans="2:83" x14ac:dyDescent="0.3">
      <c r="B118" s="46">
        <v>22</v>
      </c>
      <c r="C118" s="150">
        <v>43252</v>
      </c>
      <c r="D118" s="74">
        <v>8</v>
      </c>
      <c r="E118" s="54">
        <v>1350</v>
      </c>
      <c r="F118" s="75">
        <v>157</v>
      </c>
      <c r="G118" s="51">
        <v>4.0385382059800667</v>
      </c>
      <c r="H118" s="52">
        <v>5.2668977469670715</v>
      </c>
      <c r="I118" s="53">
        <v>1154</v>
      </c>
      <c r="J118" s="54">
        <v>1505</v>
      </c>
      <c r="K118" s="54">
        <v>6078</v>
      </c>
      <c r="L118" s="55">
        <v>3950.6</v>
      </c>
      <c r="M118" s="55">
        <v>277.45800000000003</v>
      </c>
      <c r="N118" s="57">
        <v>911.7</v>
      </c>
      <c r="O118" s="58">
        <v>383.4</v>
      </c>
      <c r="P118" s="59">
        <v>15.852895148669797</v>
      </c>
      <c r="Q118" s="60">
        <v>488.77</v>
      </c>
      <c r="R118" s="61">
        <v>12.435296765349756</v>
      </c>
      <c r="S118" s="48"/>
      <c r="T118" s="50"/>
      <c r="U118" s="151">
        <v>0</v>
      </c>
      <c r="V118" s="54">
        <v>21</v>
      </c>
      <c r="W118" s="75">
        <v>41</v>
      </c>
      <c r="X118" s="80">
        <v>14</v>
      </c>
      <c r="Y118" s="70">
        <v>59</v>
      </c>
      <c r="Z118" s="70">
        <v>120</v>
      </c>
      <c r="AA118" s="64">
        <v>868.4</v>
      </c>
      <c r="AB118" s="64">
        <v>42.872</v>
      </c>
      <c r="AC118" s="66"/>
      <c r="AD118" s="67"/>
      <c r="AE118" s="68"/>
      <c r="AF118" s="80">
        <v>113</v>
      </c>
      <c r="AG118" s="70">
        <v>269</v>
      </c>
      <c r="AH118" s="70">
        <v>28</v>
      </c>
      <c r="AI118" s="70">
        <v>84</v>
      </c>
      <c r="AJ118" s="70">
        <v>63</v>
      </c>
      <c r="AK118" s="70">
        <v>128</v>
      </c>
      <c r="AL118" s="70">
        <v>83</v>
      </c>
      <c r="AM118" s="70">
        <v>78</v>
      </c>
      <c r="AN118" s="70">
        <v>180</v>
      </c>
      <c r="AO118" s="70">
        <v>122</v>
      </c>
      <c r="AP118" s="70">
        <v>85</v>
      </c>
      <c r="AQ118" s="70">
        <v>49</v>
      </c>
      <c r="AR118" s="63"/>
      <c r="AS118" s="63"/>
      <c r="AT118" s="63"/>
      <c r="AU118" s="63"/>
      <c r="AV118" s="63"/>
      <c r="AW118" s="50"/>
      <c r="AX118" s="80">
        <v>3193</v>
      </c>
      <c r="AY118" s="70">
        <v>16626</v>
      </c>
      <c r="AZ118" s="54">
        <v>193</v>
      </c>
      <c r="BA118" s="54">
        <v>492</v>
      </c>
      <c r="BB118" s="54">
        <v>237</v>
      </c>
      <c r="BC118" s="54">
        <v>613</v>
      </c>
      <c r="BD118" s="54">
        <v>909</v>
      </c>
      <c r="BE118" s="70">
        <v>1103</v>
      </c>
      <c r="BF118" s="63"/>
      <c r="BG118" s="71">
        <v>1272</v>
      </c>
      <c r="BH118" s="67"/>
      <c r="BI118" s="68"/>
      <c r="BJ118" s="72">
        <v>1152</v>
      </c>
      <c r="BK118" s="62"/>
      <c r="BL118" s="70">
        <v>1679</v>
      </c>
      <c r="BM118" s="70">
        <v>213</v>
      </c>
      <c r="BN118" s="70">
        <v>133</v>
      </c>
      <c r="BO118" s="70">
        <v>783</v>
      </c>
      <c r="BP118" s="73">
        <v>23</v>
      </c>
      <c r="BQ118" s="152">
        <v>656</v>
      </c>
      <c r="BR118" s="153">
        <v>281</v>
      </c>
      <c r="BS118" s="154">
        <v>54</v>
      </c>
      <c r="BT118" s="76">
        <v>72.774869109947645</v>
      </c>
      <c r="BU118" s="77">
        <v>27.225130890052355</v>
      </c>
      <c r="BV118" s="78">
        <v>834</v>
      </c>
      <c r="BW118" s="79">
        <v>312</v>
      </c>
      <c r="BX118" s="69">
        <v>484</v>
      </c>
      <c r="BY118" s="70">
        <v>133</v>
      </c>
      <c r="BZ118" s="70">
        <v>154</v>
      </c>
      <c r="CA118" s="70">
        <v>217</v>
      </c>
      <c r="CB118" s="70">
        <v>4</v>
      </c>
      <c r="CC118" s="70">
        <v>74</v>
      </c>
      <c r="CD118" s="70">
        <v>3</v>
      </c>
      <c r="CE118" s="73">
        <v>77</v>
      </c>
    </row>
    <row r="119" spans="2:83" x14ac:dyDescent="0.3">
      <c r="B119" s="46">
        <v>23</v>
      </c>
      <c r="C119" s="150">
        <v>43255</v>
      </c>
      <c r="D119" s="74">
        <v>3</v>
      </c>
      <c r="E119" s="54">
        <v>1806</v>
      </c>
      <c r="F119" s="75">
        <v>274</v>
      </c>
      <c r="G119" s="51">
        <v>2.7610921501706485</v>
      </c>
      <c r="H119" s="52">
        <v>3.5616352201257864</v>
      </c>
      <c r="I119" s="53">
        <v>1590</v>
      </c>
      <c r="J119" s="54">
        <v>2051</v>
      </c>
      <c r="K119" s="54">
        <v>5663</v>
      </c>
      <c r="L119" s="55">
        <v>4913.5</v>
      </c>
      <c r="M119" s="55">
        <v>443.36799999999999</v>
      </c>
      <c r="N119" s="57">
        <v>849.45</v>
      </c>
      <c r="O119" s="58">
        <v>519.32999999999993</v>
      </c>
      <c r="P119" s="59">
        <v>10.904434559913737</v>
      </c>
      <c r="Q119" s="60">
        <v>673.9799999999999</v>
      </c>
      <c r="R119" s="61">
        <v>8.4023264785305205</v>
      </c>
      <c r="S119" s="48"/>
      <c r="T119" s="50"/>
      <c r="U119" s="151">
        <v>0</v>
      </c>
      <c r="V119" s="54">
        <v>75</v>
      </c>
      <c r="W119" s="75">
        <v>46</v>
      </c>
      <c r="X119" s="80">
        <v>29</v>
      </c>
      <c r="Y119" s="70">
        <v>119</v>
      </c>
      <c r="Z119" s="70">
        <v>354</v>
      </c>
      <c r="AA119" s="64">
        <v>2037.4</v>
      </c>
      <c r="AB119" s="64">
        <v>56.503999999999998</v>
      </c>
      <c r="AC119" s="66"/>
      <c r="AD119" s="67"/>
      <c r="AE119" s="68"/>
      <c r="AF119" s="80">
        <v>151</v>
      </c>
      <c r="AG119" s="70">
        <v>417</v>
      </c>
      <c r="AH119" s="70">
        <v>68</v>
      </c>
      <c r="AI119" s="70">
        <v>139</v>
      </c>
      <c r="AJ119" s="70">
        <v>77</v>
      </c>
      <c r="AK119" s="70">
        <v>223</v>
      </c>
      <c r="AL119" s="70">
        <v>106</v>
      </c>
      <c r="AM119" s="70">
        <v>111</v>
      </c>
      <c r="AN119" s="70">
        <v>174</v>
      </c>
      <c r="AO119" s="70">
        <v>113</v>
      </c>
      <c r="AP119" s="70">
        <v>96</v>
      </c>
      <c r="AQ119" s="70">
        <v>73</v>
      </c>
      <c r="AR119" s="63"/>
      <c r="AS119" s="63"/>
      <c r="AT119" s="63"/>
      <c r="AU119" s="63"/>
      <c r="AV119" s="63"/>
      <c r="AW119" s="50"/>
      <c r="AX119" s="80">
        <v>3598</v>
      </c>
      <c r="AY119" s="70">
        <v>15503</v>
      </c>
      <c r="AZ119" s="54">
        <v>780</v>
      </c>
      <c r="BA119" s="54">
        <v>2251</v>
      </c>
      <c r="BB119" s="54">
        <v>457</v>
      </c>
      <c r="BC119" s="54">
        <v>1102</v>
      </c>
      <c r="BD119" s="54">
        <v>1281</v>
      </c>
      <c r="BE119" s="70">
        <v>997</v>
      </c>
      <c r="BF119" s="63"/>
      <c r="BG119" s="71">
        <v>1467</v>
      </c>
      <c r="BH119" s="67"/>
      <c r="BI119" s="68"/>
      <c r="BJ119" s="72">
        <v>1455</v>
      </c>
      <c r="BK119" s="62"/>
      <c r="BL119" s="70">
        <v>1702</v>
      </c>
      <c r="BM119" s="70">
        <v>226</v>
      </c>
      <c r="BN119" s="70">
        <v>182</v>
      </c>
      <c r="BO119" s="70">
        <v>1032</v>
      </c>
      <c r="BP119" s="73">
        <v>15</v>
      </c>
      <c r="BQ119" s="152">
        <v>1169</v>
      </c>
      <c r="BR119" s="153">
        <v>223</v>
      </c>
      <c r="BS119" s="154">
        <v>46</v>
      </c>
      <c r="BT119" s="76">
        <v>80.416929879974731</v>
      </c>
      <c r="BU119" s="77">
        <v>19.583070120025269</v>
      </c>
      <c r="BV119" s="78">
        <v>1273</v>
      </c>
      <c r="BW119" s="79">
        <v>310</v>
      </c>
      <c r="BX119" s="69">
        <v>867</v>
      </c>
      <c r="BY119" s="70">
        <v>74</v>
      </c>
      <c r="BZ119" s="70">
        <v>141</v>
      </c>
      <c r="CA119" s="70">
        <v>332</v>
      </c>
      <c r="CB119" s="70">
        <v>6</v>
      </c>
      <c r="CC119" s="70">
        <v>157</v>
      </c>
      <c r="CD119" s="70">
        <v>6</v>
      </c>
      <c r="CE119" s="73">
        <v>0</v>
      </c>
    </row>
    <row r="120" spans="2:83" x14ac:dyDescent="0.3">
      <c r="B120" s="46">
        <v>23</v>
      </c>
      <c r="C120" s="150">
        <v>43256</v>
      </c>
      <c r="D120" s="74">
        <v>20</v>
      </c>
      <c r="E120" s="54">
        <v>1653</v>
      </c>
      <c r="F120" s="75">
        <v>204</v>
      </c>
      <c r="G120" s="51">
        <v>4.3473628129994673</v>
      </c>
      <c r="H120" s="52">
        <v>7.0894874022589054</v>
      </c>
      <c r="I120" s="53">
        <v>1151</v>
      </c>
      <c r="J120" s="54">
        <v>1877</v>
      </c>
      <c r="K120" s="54">
        <v>8160</v>
      </c>
      <c r="L120" s="55">
        <v>5158.1000000000004</v>
      </c>
      <c r="M120" s="55">
        <v>441.96</v>
      </c>
      <c r="N120" s="57">
        <v>1224</v>
      </c>
      <c r="O120" s="58">
        <v>519.39</v>
      </c>
      <c r="P120" s="59">
        <v>15.710737596026108</v>
      </c>
      <c r="Q120" s="60">
        <v>657.03</v>
      </c>
      <c r="R120" s="61">
        <v>12.419524222638236</v>
      </c>
      <c r="S120" s="48"/>
      <c r="T120" s="50"/>
      <c r="U120" s="151">
        <v>0</v>
      </c>
      <c r="V120" s="54">
        <v>88</v>
      </c>
      <c r="W120" s="75">
        <v>49</v>
      </c>
      <c r="X120" s="80">
        <v>63</v>
      </c>
      <c r="Y120" s="70">
        <v>147</v>
      </c>
      <c r="Z120" s="70">
        <v>341</v>
      </c>
      <c r="AA120" s="64">
        <v>387.7</v>
      </c>
      <c r="AB120" s="64">
        <v>86.165000000000006</v>
      </c>
      <c r="AC120" s="66"/>
      <c r="AD120" s="67"/>
      <c r="AE120" s="68"/>
      <c r="AF120" s="80">
        <v>65</v>
      </c>
      <c r="AG120" s="70">
        <v>129</v>
      </c>
      <c r="AH120" s="70">
        <v>27</v>
      </c>
      <c r="AI120" s="70">
        <v>54</v>
      </c>
      <c r="AJ120" s="70">
        <v>35</v>
      </c>
      <c r="AK120" s="70">
        <v>139</v>
      </c>
      <c r="AL120" s="70">
        <v>131</v>
      </c>
      <c r="AM120" s="70">
        <v>129</v>
      </c>
      <c r="AN120" s="70">
        <v>380</v>
      </c>
      <c r="AO120" s="70">
        <v>210</v>
      </c>
      <c r="AP120" s="70">
        <v>143</v>
      </c>
      <c r="AQ120" s="70">
        <v>124</v>
      </c>
      <c r="AR120" s="63"/>
      <c r="AS120" s="63"/>
      <c r="AT120" s="63"/>
      <c r="AU120" s="63"/>
      <c r="AV120" s="63"/>
      <c r="AW120" s="50"/>
      <c r="AX120" s="80">
        <v>3912</v>
      </c>
      <c r="AY120" s="70">
        <v>16976</v>
      </c>
      <c r="AZ120" s="54">
        <v>88</v>
      </c>
      <c r="BA120" s="54">
        <v>347</v>
      </c>
      <c r="BB120" s="54">
        <v>271</v>
      </c>
      <c r="BC120" s="54">
        <v>556</v>
      </c>
      <c r="BD120" s="54">
        <v>888</v>
      </c>
      <c r="BE120" s="70">
        <v>862</v>
      </c>
      <c r="BF120" s="63"/>
      <c r="BG120" s="71">
        <v>980</v>
      </c>
      <c r="BH120" s="67"/>
      <c r="BI120" s="68"/>
      <c r="BJ120" s="72">
        <v>791</v>
      </c>
      <c r="BK120" s="62"/>
      <c r="BL120" s="70">
        <v>1588</v>
      </c>
      <c r="BM120" s="70">
        <v>178</v>
      </c>
      <c r="BN120" s="70">
        <v>115</v>
      </c>
      <c r="BO120" s="70">
        <v>474</v>
      </c>
      <c r="BP120" s="73">
        <v>24</v>
      </c>
      <c r="BQ120" s="152">
        <v>437</v>
      </c>
      <c r="BR120" s="153">
        <v>478</v>
      </c>
      <c r="BS120" s="154">
        <v>119</v>
      </c>
      <c r="BT120" s="76">
        <v>68.914185639229416</v>
      </c>
      <c r="BU120" s="77">
        <v>31.085814360770577</v>
      </c>
      <c r="BV120" s="78">
        <v>787</v>
      </c>
      <c r="BW120" s="79">
        <v>355</v>
      </c>
      <c r="BX120" s="69">
        <v>366</v>
      </c>
      <c r="BY120" s="70">
        <v>223</v>
      </c>
      <c r="BZ120" s="70">
        <v>278</v>
      </c>
      <c r="CA120" s="70">
        <v>198</v>
      </c>
      <c r="CB120" s="70">
        <v>3</v>
      </c>
      <c r="CC120" s="70">
        <v>70</v>
      </c>
      <c r="CD120" s="70">
        <v>4</v>
      </c>
      <c r="CE120" s="73">
        <v>0</v>
      </c>
    </row>
    <row r="121" spans="2:83" x14ac:dyDescent="0.3">
      <c r="B121" s="46">
        <v>23</v>
      </c>
      <c r="C121" s="150">
        <v>43257</v>
      </c>
      <c r="D121" s="74">
        <v>6</v>
      </c>
      <c r="E121" s="54">
        <v>1386</v>
      </c>
      <c r="F121" s="75">
        <v>275</v>
      </c>
      <c r="G121" s="51">
        <v>4.2447510497900423</v>
      </c>
      <c r="H121" s="52">
        <v>6.5945945945945947</v>
      </c>
      <c r="I121" s="53">
        <v>1073</v>
      </c>
      <c r="J121" s="54">
        <v>1667</v>
      </c>
      <c r="K121" s="54">
        <v>7076</v>
      </c>
      <c r="L121" s="55">
        <v>6706.3</v>
      </c>
      <c r="M121" s="55">
        <v>517.46699999999998</v>
      </c>
      <c r="N121" s="57">
        <v>1061.3999999999999</v>
      </c>
      <c r="O121" s="58">
        <v>589.92999999999995</v>
      </c>
      <c r="P121" s="59">
        <v>11.994643432271626</v>
      </c>
      <c r="Q121" s="60">
        <v>730.02</v>
      </c>
      <c r="R121" s="61">
        <v>9.6928851264348932</v>
      </c>
      <c r="S121" s="48"/>
      <c r="T121" s="50"/>
      <c r="U121" s="151">
        <v>0</v>
      </c>
      <c r="V121" s="54">
        <v>51</v>
      </c>
      <c r="W121" s="75">
        <v>25</v>
      </c>
      <c r="X121" s="80">
        <v>29</v>
      </c>
      <c r="Y121" s="70">
        <v>75</v>
      </c>
      <c r="Z121" s="70">
        <v>384</v>
      </c>
      <c r="AA121" s="64">
        <v>484.6</v>
      </c>
      <c r="AB121" s="64">
        <v>36.595999999999997</v>
      </c>
      <c r="AC121" s="66"/>
      <c r="AD121" s="67"/>
      <c r="AE121" s="68"/>
      <c r="AF121" s="80">
        <v>80</v>
      </c>
      <c r="AG121" s="70">
        <v>147</v>
      </c>
      <c r="AH121" s="70">
        <v>43</v>
      </c>
      <c r="AI121" s="70">
        <v>69</v>
      </c>
      <c r="AJ121" s="70">
        <v>46</v>
      </c>
      <c r="AK121" s="70">
        <v>127</v>
      </c>
      <c r="AL121" s="70">
        <v>134</v>
      </c>
      <c r="AM121" s="70">
        <v>99</v>
      </c>
      <c r="AN121" s="70">
        <v>221</v>
      </c>
      <c r="AO121" s="70">
        <v>144</v>
      </c>
      <c r="AP121" s="70">
        <v>120</v>
      </c>
      <c r="AQ121" s="70">
        <v>131</v>
      </c>
      <c r="AR121" s="63"/>
      <c r="AS121" s="63"/>
      <c r="AT121" s="63"/>
      <c r="AU121" s="63"/>
      <c r="AV121" s="63"/>
      <c r="AW121" s="50"/>
      <c r="AX121" s="80">
        <v>4824</v>
      </c>
      <c r="AY121" s="70">
        <v>21353</v>
      </c>
      <c r="AZ121" s="54">
        <v>1639</v>
      </c>
      <c r="BA121" s="54">
        <v>3792</v>
      </c>
      <c r="BB121" s="54">
        <v>541</v>
      </c>
      <c r="BC121" s="54">
        <v>1100</v>
      </c>
      <c r="BD121" s="54">
        <v>1259</v>
      </c>
      <c r="BE121" s="70">
        <v>1756</v>
      </c>
      <c r="BF121" s="63"/>
      <c r="BG121" s="71">
        <v>1489</v>
      </c>
      <c r="BH121" s="67"/>
      <c r="BI121" s="68"/>
      <c r="BJ121" s="72">
        <v>989</v>
      </c>
      <c r="BK121" s="62"/>
      <c r="BL121" s="70">
        <v>1769</v>
      </c>
      <c r="BM121" s="70">
        <v>251</v>
      </c>
      <c r="BN121" s="70">
        <v>117</v>
      </c>
      <c r="BO121" s="70">
        <v>611</v>
      </c>
      <c r="BP121" s="73">
        <v>10</v>
      </c>
      <c r="BQ121" s="152">
        <v>612</v>
      </c>
      <c r="BR121" s="153">
        <v>333</v>
      </c>
      <c r="BS121" s="154">
        <v>48</v>
      </c>
      <c r="BT121" s="76">
        <v>72.42681775259679</v>
      </c>
      <c r="BU121" s="77">
        <v>27.57318224740321</v>
      </c>
      <c r="BV121" s="78">
        <v>767</v>
      </c>
      <c r="BW121" s="79">
        <v>292</v>
      </c>
      <c r="BX121" s="69">
        <v>467</v>
      </c>
      <c r="BY121" s="70">
        <v>104</v>
      </c>
      <c r="BZ121" s="70">
        <v>195</v>
      </c>
      <c r="CA121" s="70">
        <v>196</v>
      </c>
      <c r="CB121" s="70">
        <v>6</v>
      </c>
      <c r="CC121" s="70">
        <v>89</v>
      </c>
      <c r="CD121" s="70">
        <v>2</v>
      </c>
      <c r="CE121" s="73">
        <v>0</v>
      </c>
    </row>
    <row r="122" spans="2:83" x14ac:dyDescent="0.3">
      <c r="B122" s="46">
        <v>23</v>
      </c>
      <c r="C122" s="150">
        <v>43258</v>
      </c>
      <c r="D122" s="74">
        <v>3</v>
      </c>
      <c r="E122" s="54">
        <v>1415</v>
      </c>
      <c r="F122" s="75">
        <v>254</v>
      </c>
      <c r="G122" s="51">
        <v>4.6507177033492821</v>
      </c>
      <c r="H122" s="52">
        <v>7.7682317682317681</v>
      </c>
      <c r="I122" s="53">
        <v>1001</v>
      </c>
      <c r="J122" s="54">
        <v>1672</v>
      </c>
      <c r="K122" s="54">
        <v>7776</v>
      </c>
      <c r="L122" s="55">
        <v>4584.2</v>
      </c>
      <c r="M122" s="55">
        <v>460</v>
      </c>
      <c r="N122" s="57">
        <v>1166.3999999999999</v>
      </c>
      <c r="O122" s="58">
        <v>548.1</v>
      </c>
      <c r="P122" s="59">
        <v>14.1871921182266</v>
      </c>
      <c r="Q122" s="60">
        <v>687.55</v>
      </c>
      <c r="R122" s="61">
        <v>11.309722929241511</v>
      </c>
      <c r="S122" s="48"/>
      <c r="T122" s="50"/>
      <c r="U122" s="151">
        <v>0</v>
      </c>
      <c r="V122" s="54">
        <v>122</v>
      </c>
      <c r="W122" s="75">
        <v>94</v>
      </c>
      <c r="X122" s="80">
        <v>44</v>
      </c>
      <c r="Y122" s="70">
        <v>211</v>
      </c>
      <c r="Z122" s="70">
        <v>377</v>
      </c>
      <c r="AA122" s="64">
        <v>860.4</v>
      </c>
      <c r="AB122" s="64">
        <v>135.79</v>
      </c>
      <c r="AC122" s="66"/>
      <c r="AD122" s="67"/>
      <c r="AE122" s="68"/>
      <c r="AF122" s="80">
        <v>81</v>
      </c>
      <c r="AG122" s="70">
        <v>181</v>
      </c>
      <c r="AH122" s="70">
        <v>32</v>
      </c>
      <c r="AI122" s="70">
        <v>65</v>
      </c>
      <c r="AJ122" s="70">
        <v>45</v>
      </c>
      <c r="AK122" s="70">
        <v>97</v>
      </c>
      <c r="AL122" s="70">
        <v>98</v>
      </c>
      <c r="AM122" s="70">
        <v>79</v>
      </c>
      <c r="AN122" s="70">
        <v>291</v>
      </c>
      <c r="AO122" s="70">
        <v>155</v>
      </c>
      <c r="AP122" s="70">
        <v>158</v>
      </c>
      <c r="AQ122" s="70">
        <v>95</v>
      </c>
      <c r="AR122" s="63"/>
      <c r="AS122" s="63"/>
      <c r="AT122" s="63"/>
      <c r="AU122" s="63"/>
      <c r="AV122" s="63"/>
      <c r="AW122" s="50"/>
      <c r="AX122" s="80">
        <v>4105</v>
      </c>
      <c r="AY122" s="70">
        <v>27525</v>
      </c>
      <c r="AZ122" s="54">
        <v>1628</v>
      </c>
      <c r="BA122" s="54">
        <v>3734</v>
      </c>
      <c r="BB122" s="54">
        <v>318</v>
      </c>
      <c r="BC122" s="54">
        <v>709</v>
      </c>
      <c r="BD122" s="54">
        <v>1015</v>
      </c>
      <c r="BE122" s="70">
        <v>1842</v>
      </c>
      <c r="BF122" s="63"/>
      <c r="BG122" s="71">
        <v>1281</v>
      </c>
      <c r="BH122" s="67"/>
      <c r="BI122" s="68"/>
      <c r="BJ122" s="72">
        <v>792</v>
      </c>
      <c r="BK122" s="62"/>
      <c r="BL122" s="70">
        <v>2019</v>
      </c>
      <c r="BM122" s="70">
        <v>186</v>
      </c>
      <c r="BN122" s="70">
        <v>161</v>
      </c>
      <c r="BO122" s="70">
        <v>431</v>
      </c>
      <c r="BP122" s="73">
        <v>14</v>
      </c>
      <c r="BQ122" s="152">
        <v>422</v>
      </c>
      <c r="BR122" s="153">
        <v>373</v>
      </c>
      <c r="BS122" s="154">
        <v>78</v>
      </c>
      <c r="BT122" s="76">
        <v>68.431771894093686</v>
      </c>
      <c r="BU122" s="77">
        <v>31.568228105906314</v>
      </c>
      <c r="BV122" s="78">
        <v>672</v>
      </c>
      <c r="BW122" s="79">
        <v>310</v>
      </c>
      <c r="BX122" s="69">
        <v>370</v>
      </c>
      <c r="BY122" s="70">
        <v>146</v>
      </c>
      <c r="BZ122" s="70">
        <v>236</v>
      </c>
      <c r="CA122" s="70">
        <v>156</v>
      </c>
      <c r="CB122" s="70">
        <v>6</v>
      </c>
      <c r="CC122" s="70">
        <v>63</v>
      </c>
      <c r="CD122" s="70">
        <v>5</v>
      </c>
      <c r="CE122" s="73">
        <v>0</v>
      </c>
    </row>
    <row r="123" spans="2:83" x14ac:dyDescent="0.3">
      <c r="B123" s="46">
        <v>23</v>
      </c>
      <c r="C123" s="150">
        <v>43259</v>
      </c>
      <c r="D123" s="74">
        <v>11</v>
      </c>
      <c r="E123" s="54">
        <v>1647</v>
      </c>
      <c r="F123" s="75">
        <v>299</v>
      </c>
      <c r="G123" s="51">
        <v>3.8339294839039346</v>
      </c>
      <c r="H123" s="52">
        <v>5.9976019184652278</v>
      </c>
      <c r="I123" s="53">
        <v>1251</v>
      </c>
      <c r="J123" s="54">
        <v>1957</v>
      </c>
      <c r="K123" s="54">
        <v>7503</v>
      </c>
      <c r="L123" s="55">
        <v>7478.9</v>
      </c>
      <c r="M123" s="55">
        <v>460</v>
      </c>
      <c r="N123" s="57">
        <v>1125.45</v>
      </c>
      <c r="O123" s="58">
        <v>524.04</v>
      </c>
      <c r="P123" s="59">
        <v>14.31760934279826</v>
      </c>
      <c r="Q123" s="60">
        <v>649.55999999999995</v>
      </c>
      <c r="R123" s="61">
        <v>11.55089599113246</v>
      </c>
      <c r="S123" s="48"/>
      <c r="T123" s="50"/>
      <c r="U123" s="151">
        <v>0</v>
      </c>
      <c r="V123" s="54">
        <v>31</v>
      </c>
      <c r="W123" s="75">
        <v>21</v>
      </c>
      <c r="X123" s="80">
        <v>18</v>
      </c>
      <c r="Y123" s="70">
        <v>48</v>
      </c>
      <c r="Z123" s="70">
        <v>62</v>
      </c>
      <c r="AA123" s="64">
        <v>112.5</v>
      </c>
      <c r="AB123" s="64">
        <v>22.042000000000002</v>
      </c>
      <c r="AC123" s="66"/>
      <c r="AD123" s="67"/>
      <c r="AE123" s="68"/>
      <c r="AF123" s="80">
        <v>89</v>
      </c>
      <c r="AG123" s="70">
        <v>130</v>
      </c>
      <c r="AH123" s="70">
        <v>46</v>
      </c>
      <c r="AI123" s="70">
        <v>93</v>
      </c>
      <c r="AJ123" s="70">
        <v>73</v>
      </c>
      <c r="AK123" s="70">
        <v>181</v>
      </c>
      <c r="AL123" s="70">
        <v>150</v>
      </c>
      <c r="AM123" s="70">
        <v>106</v>
      </c>
      <c r="AN123" s="70">
        <v>289</v>
      </c>
      <c r="AO123" s="70">
        <v>138</v>
      </c>
      <c r="AP123" s="70">
        <v>117</v>
      </c>
      <c r="AQ123" s="70">
        <v>194</v>
      </c>
      <c r="AR123" s="63"/>
      <c r="AS123" s="63"/>
      <c r="AT123" s="63"/>
      <c r="AU123" s="63"/>
      <c r="AV123" s="63"/>
      <c r="AW123" s="50"/>
      <c r="AX123" s="80">
        <v>3844</v>
      </c>
      <c r="AY123" s="70">
        <v>21502</v>
      </c>
      <c r="AZ123" s="54">
        <v>467</v>
      </c>
      <c r="BA123" s="54">
        <v>1063</v>
      </c>
      <c r="BB123" s="54">
        <v>568</v>
      </c>
      <c r="BC123" s="54">
        <v>194</v>
      </c>
      <c r="BD123" s="54">
        <v>957</v>
      </c>
      <c r="BE123" s="70">
        <v>1093</v>
      </c>
      <c r="BF123" s="63"/>
      <c r="BG123" s="71">
        <v>1057</v>
      </c>
      <c r="BH123" s="67"/>
      <c r="BI123" s="68"/>
      <c r="BJ123" s="72">
        <v>817</v>
      </c>
      <c r="BK123" s="62"/>
      <c r="BL123" s="70">
        <v>1630</v>
      </c>
      <c r="BM123" s="70">
        <v>191</v>
      </c>
      <c r="BN123" s="70">
        <v>174</v>
      </c>
      <c r="BO123" s="70">
        <v>437</v>
      </c>
      <c r="BP123" s="73">
        <v>15</v>
      </c>
      <c r="BQ123" s="152">
        <v>578</v>
      </c>
      <c r="BR123" s="153">
        <v>394</v>
      </c>
      <c r="BS123" s="154">
        <v>103</v>
      </c>
      <c r="BT123" s="76">
        <v>66.694352159468437</v>
      </c>
      <c r="BU123" s="77">
        <v>33.305647840531563</v>
      </c>
      <c r="BV123" s="78">
        <v>803</v>
      </c>
      <c r="BW123" s="79">
        <v>401</v>
      </c>
      <c r="BX123" s="69">
        <v>402</v>
      </c>
      <c r="BY123" s="70">
        <v>150</v>
      </c>
      <c r="BZ123" s="70">
        <v>276</v>
      </c>
      <c r="CA123" s="70">
        <v>251</v>
      </c>
      <c r="CB123" s="70">
        <v>5</v>
      </c>
      <c r="CC123" s="70">
        <v>117</v>
      </c>
      <c r="CD123" s="70">
        <v>3</v>
      </c>
      <c r="CE123" s="73">
        <v>0</v>
      </c>
    </row>
    <row r="124" spans="2:83" x14ac:dyDescent="0.3">
      <c r="B124" s="46">
        <v>24</v>
      </c>
      <c r="C124" s="150">
        <v>43262</v>
      </c>
      <c r="D124" s="74">
        <v>0</v>
      </c>
      <c r="E124" s="54">
        <v>2349</v>
      </c>
      <c r="F124" s="75">
        <v>230</v>
      </c>
      <c r="G124" s="51">
        <v>2.7514540519581234</v>
      </c>
      <c r="H124" s="52">
        <v>3.6671834625322997</v>
      </c>
      <c r="I124" s="53">
        <v>1935</v>
      </c>
      <c r="J124" s="54">
        <v>2579</v>
      </c>
      <c r="K124" s="54">
        <v>7096</v>
      </c>
      <c r="L124" s="55">
        <v>6170.2</v>
      </c>
      <c r="M124" s="55">
        <v>438</v>
      </c>
      <c r="N124" s="57">
        <v>1064.4000000000001</v>
      </c>
      <c r="O124" s="58">
        <v>600.45000000000005</v>
      </c>
      <c r="P124" s="59">
        <v>11.817803314181029</v>
      </c>
      <c r="Q124" s="60">
        <v>749.62999999999988</v>
      </c>
      <c r="R124" s="61">
        <v>9.4660032282592752</v>
      </c>
      <c r="S124" s="48"/>
      <c r="T124" s="50"/>
      <c r="U124" s="151">
        <v>0</v>
      </c>
      <c r="V124" s="54">
        <v>50</v>
      </c>
      <c r="W124" s="75">
        <v>43</v>
      </c>
      <c r="X124" s="80">
        <v>45</v>
      </c>
      <c r="Y124" s="70">
        <v>81</v>
      </c>
      <c r="Z124" s="70">
        <v>364</v>
      </c>
      <c r="AA124" s="64">
        <v>746.7</v>
      </c>
      <c r="AB124" s="64">
        <v>41.798000000000002</v>
      </c>
      <c r="AC124" s="66"/>
      <c r="AD124" s="67"/>
      <c r="AE124" s="68"/>
      <c r="AF124" s="80">
        <v>172</v>
      </c>
      <c r="AG124" s="70">
        <v>375</v>
      </c>
      <c r="AH124" s="70">
        <v>57</v>
      </c>
      <c r="AI124" s="70">
        <v>128</v>
      </c>
      <c r="AJ124" s="70">
        <v>63</v>
      </c>
      <c r="AK124" s="70">
        <v>341</v>
      </c>
      <c r="AL124" s="70">
        <v>185</v>
      </c>
      <c r="AM124" s="70">
        <v>127</v>
      </c>
      <c r="AN124" s="70">
        <v>243</v>
      </c>
      <c r="AO124" s="70">
        <v>171</v>
      </c>
      <c r="AP124" s="70">
        <v>179</v>
      </c>
      <c r="AQ124" s="70">
        <v>262</v>
      </c>
      <c r="AR124" s="63"/>
      <c r="AS124" s="63"/>
      <c r="AT124" s="63"/>
      <c r="AU124" s="63"/>
      <c r="AV124" s="63"/>
      <c r="AW124" s="50"/>
      <c r="AX124" s="80">
        <v>3476</v>
      </c>
      <c r="AY124" s="70">
        <v>23235</v>
      </c>
      <c r="AZ124" s="54">
        <v>1253</v>
      </c>
      <c r="BA124" s="54">
        <v>4299</v>
      </c>
      <c r="BB124" s="54">
        <v>181</v>
      </c>
      <c r="BC124" s="54">
        <v>334</v>
      </c>
      <c r="BD124" s="54">
        <v>1174</v>
      </c>
      <c r="BE124" s="70">
        <v>1506</v>
      </c>
      <c r="BF124" s="63"/>
      <c r="BG124" s="71">
        <v>1637</v>
      </c>
      <c r="BH124" s="67"/>
      <c r="BI124" s="68"/>
      <c r="BJ124" s="72">
        <v>1134</v>
      </c>
      <c r="BK124" s="62"/>
      <c r="BL124" s="70">
        <v>1815</v>
      </c>
      <c r="BM124" s="70">
        <v>181</v>
      </c>
      <c r="BN124" s="70">
        <v>99</v>
      </c>
      <c r="BO124" s="70">
        <v>832</v>
      </c>
      <c r="BP124" s="73">
        <v>22</v>
      </c>
      <c r="BQ124" s="152">
        <v>1215</v>
      </c>
      <c r="BR124" s="153">
        <v>329</v>
      </c>
      <c r="BS124" s="154">
        <v>96</v>
      </c>
      <c r="BT124" s="76">
        <v>75.391032325338898</v>
      </c>
      <c r="BU124" s="77">
        <v>24.608967674661105</v>
      </c>
      <c r="BV124" s="78">
        <v>1446</v>
      </c>
      <c r="BW124" s="79">
        <v>472</v>
      </c>
      <c r="BX124" s="69">
        <v>877</v>
      </c>
      <c r="BY124" s="70">
        <v>160</v>
      </c>
      <c r="BZ124" s="70">
        <v>192</v>
      </c>
      <c r="CA124" s="70">
        <v>409</v>
      </c>
      <c r="CB124" s="70">
        <v>13</v>
      </c>
      <c r="CC124" s="70">
        <v>243</v>
      </c>
      <c r="CD124" s="70">
        <v>9</v>
      </c>
      <c r="CE124" s="73">
        <v>15</v>
      </c>
    </row>
    <row r="125" spans="2:83" x14ac:dyDescent="0.3">
      <c r="B125" s="46">
        <v>24</v>
      </c>
      <c r="C125" s="150">
        <v>43263</v>
      </c>
      <c r="D125" s="74">
        <v>37</v>
      </c>
      <c r="E125" s="54">
        <v>1647</v>
      </c>
      <c r="F125" s="75">
        <v>282</v>
      </c>
      <c r="G125" s="51">
        <v>3.7539320142059869</v>
      </c>
      <c r="H125" s="52">
        <v>6.0203417412530511</v>
      </c>
      <c r="I125" s="53">
        <v>1229</v>
      </c>
      <c r="J125" s="54">
        <v>1971</v>
      </c>
      <c r="K125" s="54">
        <v>7399</v>
      </c>
      <c r="L125" s="55">
        <v>8856.7000000000007</v>
      </c>
      <c r="M125" s="55">
        <v>498</v>
      </c>
      <c r="N125" s="57">
        <v>1109.8499999999999</v>
      </c>
      <c r="O125" s="58">
        <v>617.8599999999999</v>
      </c>
      <c r="P125" s="59">
        <v>11.975204738937625</v>
      </c>
      <c r="Q125" s="60">
        <v>746.99</v>
      </c>
      <c r="R125" s="61">
        <v>9.9050857441197344</v>
      </c>
      <c r="S125" s="48"/>
      <c r="T125" s="50"/>
      <c r="U125" s="151">
        <v>0</v>
      </c>
      <c r="V125" s="54">
        <v>41</v>
      </c>
      <c r="W125" s="75">
        <v>43</v>
      </c>
      <c r="X125" s="80">
        <v>42</v>
      </c>
      <c r="Y125" s="70">
        <v>73</v>
      </c>
      <c r="Z125" s="70">
        <v>253</v>
      </c>
      <c r="AA125" s="64">
        <v>684.9</v>
      </c>
      <c r="AB125" s="64">
        <v>37.494</v>
      </c>
      <c r="AC125" s="66"/>
      <c r="AD125" s="67"/>
      <c r="AE125" s="68"/>
      <c r="AF125" s="80">
        <v>104</v>
      </c>
      <c r="AG125" s="70">
        <v>206</v>
      </c>
      <c r="AH125" s="70">
        <v>33</v>
      </c>
      <c r="AI125" s="70">
        <v>54</v>
      </c>
      <c r="AJ125" s="70">
        <v>61</v>
      </c>
      <c r="AK125" s="70">
        <v>145</v>
      </c>
      <c r="AL125" s="70">
        <v>106</v>
      </c>
      <c r="AM125" s="70">
        <v>72</v>
      </c>
      <c r="AN125" s="70">
        <v>276</v>
      </c>
      <c r="AO125" s="70">
        <v>151</v>
      </c>
      <c r="AP125" s="70">
        <v>159</v>
      </c>
      <c r="AQ125" s="70">
        <v>217</v>
      </c>
      <c r="AR125" s="63"/>
      <c r="AS125" s="63"/>
      <c r="AT125" s="63"/>
      <c r="AU125" s="63"/>
      <c r="AV125" s="63"/>
      <c r="AW125" s="50"/>
      <c r="AX125" s="80">
        <v>4481</v>
      </c>
      <c r="AY125" s="70">
        <v>27348</v>
      </c>
      <c r="AZ125" s="54">
        <v>1127</v>
      </c>
      <c r="BA125" s="54">
        <v>4234</v>
      </c>
      <c r="BB125" s="54">
        <v>1275</v>
      </c>
      <c r="BC125" s="54">
        <v>232</v>
      </c>
      <c r="BD125" s="54">
        <v>1178</v>
      </c>
      <c r="BE125" s="70">
        <v>1708</v>
      </c>
      <c r="BF125" s="63"/>
      <c r="BG125" s="71">
        <v>1427</v>
      </c>
      <c r="BH125" s="67"/>
      <c r="BI125" s="68"/>
      <c r="BJ125" s="72">
        <v>826</v>
      </c>
      <c r="BK125" s="62"/>
      <c r="BL125" s="70">
        <v>1767</v>
      </c>
      <c r="BM125" s="70">
        <v>183</v>
      </c>
      <c r="BN125" s="70">
        <v>113</v>
      </c>
      <c r="BO125" s="70">
        <v>524</v>
      </c>
      <c r="BP125" s="73">
        <v>6</v>
      </c>
      <c r="BQ125" s="152">
        <v>602</v>
      </c>
      <c r="BR125" s="153">
        <v>333</v>
      </c>
      <c r="BS125" s="154">
        <v>118</v>
      </c>
      <c r="BT125" s="76">
        <v>67.082294264339154</v>
      </c>
      <c r="BU125" s="77">
        <v>32.917705735660846</v>
      </c>
      <c r="BV125" s="78">
        <v>807</v>
      </c>
      <c r="BW125" s="79">
        <v>396</v>
      </c>
      <c r="BX125" s="69">
        <v>503</v>
      </c>
      <c r="BY125" s="70">
        <v>128</v>
      </c>
      <c r="BZ125" s="70">
        <v>255</v>
      </c>
      <c r="CA125" s="70">
        <v>176</v>
      </c>
      <c r="CB125" s="70">
        <v>5</v>
      </c>
      <c r="CC125" s="70">
        <v>132</v>
      </c>
      <c r="CD125" s="70">
        <v>4</v>
      </c>
      <c r="CE125" s="73">
        <v>0</v>
      </c>
    </row>
    <row r="126" spans="2:83" x14ac:dyDescent="0.3">
      <c r="B126" s="46">
        <v>24</v>
      </c>
      <c r="C126" s="150">
        <v>43264</v>
      </c>
      <c r="D126" s="74">
        <v>33</v>
      </c>
      <c r="E126" s="54">
        <v>1670</v>
      </c>
      <c r="F126" s="75">
        <v>220</v>
      </c>
      <c r="G126" s="51">
        <v>3.8841558441558441</v>
      </c>
      <c r="H126" s="52">
        <v>6.5472854640980733</v>
      </c>
      <c r="I126" s="53">
        <v>1142</v>
      </c>
      <c r="J126" s="54">
        <v>1925</v>
      </c>
      <c r="K126" s="54">
        <v>7477</v>
      </c>
      <c r="L126" s="55">
        <v>6722.2</v>
      </c>
      <c r="M126" s="55">
        <v>480</v>
      </c>
      <c r="N126" s="57">
        <v>1121.55</v>
      </c>
      <c r="O126" s="58">
        <v>588.57999999999993</v>
      </c>
      <c r="P126" s="59">
        <v>12.7034557749159</v>
      </c>
      <c r="Q126" s="60">
        <v>754</v>
      </c>
      <c r="R126" s="61">
        <v>9.9164456233421756</v>
      </c>
      <c r="S126" s="48"/>
      <c r="T126" s="50"/>
      <c r="U126" s="151">
        <v>0</v>
      </c>
      <c r="V126" s="54">
        <v>99</v>
      </c>
      <c r="W126" s="75">
        <v>54</v>
      </c>
      <c r="X126" s="80">
        <v>57</v>
      </c>
      <c r="Y126" s="70">
        <v>172</v>
      </c>
      <c r="Z126" s="70">
        <v>620</v>
      </c>
      <c r="AA126" s="64">
        <v>1257.5</v>
      </c>
      <c r="AB126" s="64">
        <v>97.497</v>
      </c>
      <c r="AC126" s="66"/>
      <c r="AD126" s="67"/>
      <c r="AE126" s="68"/>
      <c r="AF126" s="80">
        <v>78</v>
      </c>
      <c r="AG126" s="70">
        <v>166</v>
      </c>
      <c r="AH126" s="70">
        <v>35</v>
      </c>
      <c r="AI126" s="70">
        <v>66</v>
      </c>
      <c r="AJ126" s="70">
        <v>66</v>
      </c>
      <c r="AK126" s="70">
        <v>148</v>
      </c>
      <c r="AL126" s="70">
        <v>97</v>
      </c>
      <c r="AM126" s="70">
        <v>96</v>
      </c>
      <c r="AN126" s="70">
        <v>312</v>
      </c>
      <c r="AO126" s="70">
        <v>203</v>
      </c>
      <c r="AP126" s="70">
        <v>175</v>
      </c>
      <c r="AQ126" s="70">
        <v>162</v>
      </c>
      <c r="AR126" s="63"/>
      <c r="AS126" s="63"/>
      <c r="AT126" s="63"/>
      <c r="AU126" s="63"/>
      <c r="AV126" s="63"/>
      <c r="AW126" s="50"/>
      <c r="AX126" s="80">
        <v>3880</v>
      </c>
      <c r="AY126" s="70">
        <v>24434</v>
      </c>
      <c r="AZ126" s="54">
        <v>1136</v>
      </c>
      <c r="BA126" s="54">
        <v>5261</v>
      </c>
      <c r="BB126" s="54">
        <v>431</v>
      </c>
      <c r="BC126" s="54">
        <v>1187</v>
      </c>
      <c r="BD126" s="54">
        <v>1049</v>
      </c>
      <c r="BE126" s="70">
        <v>1598</v>
      </c>
      <c r="BF126" s="63"/>
      <c r="BG126" s="71">
        <v>1391</v>
      </c>
      <c r="BH126" s="67"/>
      <c r="BI126" s="68"/>
      <c r="BJ126" s="72">
        <v>1070</v>
      </c>
      <c r="BK126" s="62"/>
      <c r="BL126" s="70">
        <v>1720</v>
      </c>
      <c r="BM126" s="70">
        <v>201</v>
      </c>
      <c r="BN126" s="70">
        <v>63</v>
      </c>
      <c r="BO126" s="70">
        <v>788</v>
      </c>
      <c r="BP126" s="73">
        <v>18</v>
      </c>
      <c r="BQ126" s="152">
        <v>579</v>
      </c>
      <c r="BR126" s="153">
        <v>278</v>
      </c>
      <c r="BS126" s="154">
        <v>133</v>
      </c>
      <c r="BT126" s="76">
        <v>70.159857904085257</v>
      </c>
      <c r="BU126" s="77">
        <v>29.840142095914743</v>
      </c>
      <c r="BV126" s="78">
        <v>790</v>
      </c>
      <c r="BW126" s="79">
        <v>336</v>
      </c>
      <c r="BX126" s="69">
        <v>464</v>
      </c>
      <c r="BY126" s="70">
        <v>91</v>
      </c>
      <c r="BZ126" s="70">
        <v>216</v>
      </c>
      <c r="CA126" s="70">
        <v>235</v>
      </c>
      <c r="CB126" s="70">
        <v>8</v>
      </c>
      <c r="CC126" s="70">
        <v>108</v>
      </c>
      <c r="CD126" s="70">
        <v>4</v>
      </c>
      <c r="CE126" s="73">
        <v>0</v>
      </c>
    </row>
    <row r="127" spans="2:83" x14ac:dyDescent="0.3">
      <c r="B127" s="46">
        <v>24</v>
      </c>
      <c r="C127" s="150">
        <v>43265</v>
      </c>
      <c r="D127" s="74">
        <v>23</v>
      </c>
      <c r="E127" s="54">
        <v>1338</v>
      </c>
      <c r="F127" s="75">
        <v>268</v>
      </c>
      <c r="G127" s="51">
        <v>4.2306755934266587</v>
      </c>
      <c r="H127" s="52">
        <v>6.7159420289855074</v>
      </c>
      <c r="I127" s="53">
        <v>1035</v>
      </c>
      <c r="J127" s="54">
        <v>1643</v>
      </c>
      <c r="K127" s="54">
        <v>6951</v>
      </c>
      <c r="L127" s="55">
        <v>7601.8</v>
      </c>
      <c r="M127" s="55">
        <v>479</v>
      </c>
      <c r="N127" s="57">
        <v>1042.6499999999999</v>
      </c>
      <c r="O127" s="58">
        <v>564.06999999999994</v>
      </c>
      <c r="P127" s="59">
        <v>12.322938642367083</v>
      </c>
      <c r="Q127" s="60">
        <v>698.71</v>
      </c>
      <c r="R127" s="61">
        <v>9.9483333571868151</v>
      </c>
      <c r="S127" s="48"/>
      <c r="T127" s="50"/>
      <c r="U127" s="151">
        <v>0</v>
      </c>
      <c r="V127" s="54">
        <v>62</v>
      </c>
      <c r="W127" s="75">
        <v>34</v>
      </c>
      <c r="X127" s="80">
        <v>55</v>
      </c>
      <c r="Y127" s="70">
        <v>96</v>
      </c>
      <c r="Z127" s="70">
        <v>300</v>
      </c>
      <c r="AA127" s="64">
        <v>896.3</v>
      </c>
      <c r="AB127" s="64">
        <v>47.057000000000002</v>
      </c>
      <c r="AC127" s="66"/>
      <c r="AD127" s="67"/>
      <c r="AE127" s="68"/>
      <c r="AF127" s="80">
        <v>90</v>
      </c>
      <c r="AG127" s="70">
        <v>187</v>
      </c>
      <c r="AH127" s="70">
        <v>28</v>
      </c>
      <c r="AI127" s="70">
        <v>79</v>
      </c>
      <c r="AJ127" s="70">
        <v>42</v>
      </c>
      <c r="AK127" s="70">
        <v>110</v>
      </c>
      <c r="AL127" s="70">
        <v>73</v>
      </c>
      <c r="AM127" s="70">
        <v>64</v>
      </c>
      <c r="AN127" s="70">
        <v>216</v>
      </c>
      <c r="AO127" s="70">
        <v>118</v>
      </c>
      <c r="AP127" s="70">
        <v>135</v>
      </c>
      <c r="AQ127" s="70">
        <v>161</v>
      </c>
      <c r="AR127" s="63"/>
      <c r="AS127" s="63"/>
      <c r="AT127" s="63"/>
      <c r="AU127" s="63"/>
      <c r="AV127" s="63"/>
      <c r="AW127" s="50"/>
      <c r="AX127" s="80">
        <v>3327</v>
      </c>
      <c r="AY127" s="70">
        <v>23626</v>
      </c>
      <c r="AZ127" s="54">
        <v>1736</v>
      </c>
      <c r="BA127" s="54">
        <v>6683</v>
      </c>
      <c r="BB127" s="54">
        <v>229</v>
      </c>
      <c r="BC127" s="54">
        <v>677</v>
      </c>
      <c r="BD127" s="54">
        <v>1003</v>
      </c>
      <c r="BE127" s="70">
        <v>1866</v>
      </c>
      <c r="BF127" s="63"/>
      <c r="BG127" s="71">
        <v>1257</v>
      </c>
      <c r="BH127" s="67"/>
      <c r="BI127" s="68"/>
      <c r="BJ127" s="72">
        <v>881</v>
      </c>
      <c r="BK127" s="62"/>
      <c r="BL127" s="70">
        <v>1800</v>
      </c>
      <c r="BM127" s="70">
        <v>271</v>
      </c>
      <c r="BN127" s="70">
        <v>160</v>
      </c>
      <c r="BO127" s="70">
        <v>411</v>
      </c>
      <c r="BP127" s="73">
        <v>39</v>
      </c>
      <c r="BQ127" s="152">
        <v>457</v>
      </c>
      <c r="BR127" s="153">
        <v>259</v>
      </c>
      <c r="BS127" s="154">
        <v>179</v>
      </c>
      <c r="BT127" s="76">
        <v>72.539370078740163</v>
      </c>
      <c r="BU127" s="77">
        <v>27.460629921259841</v>
      </c>
      <c r="BV127" s="78">
        <v>737</v>
      </c>
      <c r="BW127" s="79">
        <v>279</v>
      </c>
      <c r="BX127" s="69">
        <v>432</v>
      </c>
      <c r="BY127" s="70">
        <v>120</v>
      </c>
      <c r="BZ127" s="70">
        <v>167</v>
      </c>
      <c r="CA127" s="70">
        <v>185</v>
      </c>
      <c r="CB127" s="70">
        <v>5</v>
      </c>
      <c r="CC127" s="70">
        <v>82</v>
      </c>
      <c r="CD127" s="70">
        <v>7</v>
      </c>
      <c r="CE127" s="73">
        <v>18</v>
      </c>
    </row>
    <row r="128" spans="2:83" x14ac:dyDescent="0.3">
      <c r="B128" s="46">
        <v>24</v>
      </c>
      <c r="C128" s="150">
        <v>43266</v>
      </c>
      <c r="D128" s="74">
        <v>3</v>
      </c>
      <c r="E128" s="54">
        <v>1417</v>
      </c>
      <c r="F128" s="75">
        <v>290</v>
      </c>
      <c r="G128" s="51">
        <v>3.4453535943892462</v>
      </c>
      <c r="H128" s="52">
        <v>6.0276073619631898</v>
      </c>
      <c r="I128" s="53">
        <v>978</v>
      </c>
      <c r="J128" s="54">
        <v>1711</v>
      </c>
      <c r="K128" s="54">
        <v>5895</v>
      </c>
      <c r="L128" s="55">
        <v>8952.5</v>
      </c>
      <c r="M128" s="55">
        <v>384</v>
      </c>
      <c r="N128" s="57">
        <v>884.24999999999989</v>
      </c>
      <c r="O128" s="58">
        <v>493.59</v>
      </c>
      <c r="P128" s="59">
        <v>11.943110678903544</v>
      </c>
      <c r="Q128" s="60">
        <v>646.30999999999995</v>
      </c>
      <c r="R128" s="61">
        <v>9.1210100416208952</v>
      </c>
      <c r="S128" s="48"/>
      <c r="T128" s="50"/>
      <c r="U128" s="151">
        <v>0</v>
      </c>
      <c r="V128" s="54">
        <v>77</v>
      </c>
      <c r="W128" s="75">
        <v>41</v>
      </c>
      <c r="X128" s="80">
        <v>34</v>
      </c>
      <c r="Y128" s="70">
        <v>115</v>
      </c>
      <c r="Z128" s="70">
        <v>282</v>
      </c>
      <c r="AA128" s="64">
        <v>526.1</v>
      </c>
      <c r="AB128" s="64">
        <v>49.338999999999999</v>
      </c>
      <c r="AC128" s="66"/>
      <c r="AD128" s="67"/>
      <c r="AE128" s="68"/>
      <c r="AF128" s="80">
        <v>59</v>
      </c>
      <c r="AG128" s="70">
        <v>126</v>
      </c>
      <c r="AH128" s="70">
        <v>29</v>
      </c>
      <c r="AI128" s="70">
        <v>61</v>
      </c>
      <c r="AJ128" s="70">
        <v>71</v>
      </c>
      <c r="AK128" s="70">
        <v>146</v>
      </c>
      <c r="AL128" s="70">
        <v>106</v>
      </c>
      <c r="AM128" s="70">
        <v>78</v>
      </c>
      <c r="AN128" s="70">
        <v>280</v>
      </c>
      <c r="AO128" s="70">
        <v>127</v>
      </c>
      <c r="AP128" s="70">
        <v>126</v>
      </c>
      <c r="AQ128" s="70">
        <v>139</v>
      </c>
      <c r="AR128" s="63"/>
      <c r="AS128" s="63"/>
      <c r="AT128" s="63"/>
      <c r="AU128" s="63"/>
      <c r="AV128" s="63"/>
      <c r="AW128" s="50"/>
      <c r="AX128" s="80">
        <v>3284</v>
      </c>
      <c r="AY128" s="70">
        <v>70908</v>
      </c>
      <c r="AZ128" s="54">
        <v>1207</v>
      </c>
      <c r="BA128" s="54">
        <v>10898</v>
      </c>
      <c r="BB128" s="54">
        <v>195</v>
      </c>
      <c r="BC128" s="54">
        <v>484</v>
      </c>
      <c r="BD128" s="54">
        <v>909</v>
      </c>
      <c r="BE128" s="70">
        <v>1667</v>
      </c>
      <c r="BF128" s="63"/>
      <c r="BG128" s="71">
        <v>1900</v>
      </c>
      <c r="BH128" s="67"/>
      <c r="BI128" s="68"/>
      <c r="BJ128" s="72">
        <v>565</v>
      </c>
      <c r="BK128" s="62"/>
      <c r="BL128" s="70">
        <v>1349</v>
      </c>
      <c r="BM128" s="70">
        <v>48</v>
      </c>
      <c r="BN128" s="70">
        <v>117</v>
      </c>
      <c r="BO128" s="70">
        <v>391</v>
      </c>
      <c r="BP128" s="73">
        <v>9</v>
      </c>
      <c r="BQ128" s="152">
        <v>475</v>
      </c>
      <c r="BR128" s="153">
        <v>299</v>
      </c>
      <c r="BS128" s="154">
        <v>80</v>
      </c>
      <c r="BT128" s="76">
        <v>69.183040330920377</v>
      </c>
      <c r="BU128" s="77">
        <v>30.816959669079626</v>
      </c>
      <c r="BV128" s="78">
        <v>669</v>
      </c>
      <c r="BW128" s="79">
        <v>298</v>
      </c>
      <c r="BX128" s="69">
        <v>342</v>
      </c>
      <c r="BY128" s="70">
        <v>140</v>
      </c>
      <c r="BZ128" s="70">
        <v>183</v>
      </c>
      <c r="CA128" s="70">
        <v>187</v>
      </c>
      <c r="CB128" s="70">
        <v>5</v>
      </c>
      <c r="CC128" s="70">
        <v>91</v>
      </c>
      <c r="CD128" s="70">
        <v>19</v>
      </c>
      <c r="CE128" s="73">
        <v>0</v>
      </c>
    </row>
    <row r="129" spans="2:83" x14ac:dyDescent="0.3">
      <c r="B129" s="46">
        <v>25</v>
      </c>
      <c r="C129" s="150">
        <v>43269</v>
      </c>
      <c r="D129" s="74">
        <v>9</v>
      </c>
      <c r="E129" s="54">
        <v>1937</v>
      </c>
      <c r="F129" s="75">
        <v>267</v>
      </c>
      <c r="G129" s="51">
        <v>2.498418436511523</v>
      </c>
      <c r="H129" s="52">
        <v>3.5171755725190841</v>
      </c>
      <c r="I129" s="53">
        <v>1572</v>
      </c>
      <c r="J129" s="54">
        <v>2213</v>
      </c>
      <c r="K129" s="54">
        <v>5529</v>
      </c>
      <c r="L129" s="55">
        <v>12770.5</v>
      </c>
      <c r="M129" s="55">
        <v>538.54499999999996</v>
      </c>
      <c r="N129" s="57">
        <v>829.35</v>
      </c>
      <c r="O129" s="58">
        <v>547.40000000000009</v>
      </c>
      <c r="P129" s="59">
        <v>10.100474972597732</v>
      </c>
      <c r="Q129" s="60">
        <v>700.8</v>
      </c>
      <c r="R129" s="61">
        <v>7.8895547945205484</v>
      </c>
      <c r="S129" s="48"/>
      <c r="T129" s="50"/>
      <c r="U129" s="151">
        <v>0</v>
      </c>
      <c r="V129" s="54">
        <v>132</v>
      </c>
      <c r="W129" s="75">
        <v>48</v>
      </c>
      <c r="X129" s="80">
        <v>57</v>
      </c>
      <c r="Y129" s="70">
        <v>187</v>
      </c>
      <c r="Z129" s="70">
        <v>395</v>
      </c>
      <c r="AA129" s="64">
        <v>985.7</v>
      </c>
      <c r="AB129" s="64">
        <v>65.340999999999994</v>
      </c>
      <c r="AC129" s="66"/>
      <c r="AD129" s="67"/>
      <c r="AE129" s="68"/>
      <c r="AF129" s="80">
        <v>126</v>
      </c>
      <c r="AG129" s="70">
        <v>305</v>
      </c>
      <c r="AH129" s="70">
        <v>71</v>
      </c>
      <c r="AI129" s="70">
        <v>141</v>
      </c>
      <c r="AJ129" s="70">
        <v>82</v>
      </c>
      <c r="AK129" s="70">
        <v>226</v>
      </c>
      <c r="AL129" s="70">
        <v>154</v>
      </c>
      <c r="AM129" s="70">
        <v>92</v>
      </c>
      <c r="AN129" s="70">
        <v>261</v>
      </c>
      <c r="AO129" s="70">
        <v>135</v>
      </c>
      <c r="AP129" s="70">
        <v>113</v>
      </c>
      <c r="AQ129" s="70">
        <v>141</v>
      </c>
      <c r="AR129" s="63"/>
      <c r="AS129" s="63"/>
      <c r="AT129" s="63"/>
      <c r="AU129" s="63"/>
      <c r="AV129" s="63"/>
      <c r="AW129" s="50"/>
      <c r="AX129" s="80">
        <v>2809</v>
      </c>
      <c r="AY129" s="70">
        <v>30515</v>
      </c>
      <c r="AZ129" s="54">
        <v>1193</v>
      </c>
      <c r="BA129" s="54">
        <v>5900</v>
      </c>
      <c r="BB129" s="54">
        <v>113</v>
      </c>
      <c r="BC129" s="54">
        <v>244</v>
      </c>
      <c r="BD129" s="54">
        <v>1014</v>
      </c>
      <c r="BE129" s="70">
        <v>1270</v>
      </c>
      <c r="BF129" s="63"/>
      <c r="BG129" s="71">
        <v>1350</v>
      </c>
      <c r="BH129" s="67"/>
      <c r="BI129" s="68"/>
      <c r="BJ129" s="72">
        <v>1073</v>
      </c>
      <c r="BK129" s="62"/>
      <c r="BL129" s="70">
        <v>1386</v>
      </c>
      <c r="BM129" s="70">
        <v>170</v>
      </c>
      <c r="BN129" s="70">
        <v>209</v>
      </c>
      <c r="BO129" s="70">
        <v>662</v>
      </c>
      <c r="BP129" s="73">
        <v>32</v>
      </c>
      <c r="BQ129" s="152">
        <v>983</v>
      </c>
      <c r="BR129" s="153">
        <v>234</v>
      </c>
      <c r="BS129" s="154">
        <v>99</v>
      </c>
      <c r="BT129" s="76">
        <v>78.129032258064512</v>
      </c>
      <c r="BU129" s="77">
        <v>21.870967741935484</v>
      </c>
      <c r="BV129" s="78">
        <v>1211</v>
      </c>
      <c r="BW129" s="79">
        <v>339</v>
      </c>
      <c r="BX129" s="69">
        <v>703</v>
      </c>
      <c r="BY129" s="70">
        <v>123</v>
      </c>
      <c r="BZ129" s="70">
        <v>132</v>
      </c>
      <c r="CA129" s="70">
        <v>385</v>
      </c>
      <c r="CB129" s="70">
        <v>5</v>
      </c>
      <c r="CC129" s="70">
        <v>155</v>
      </c>
      <c r="CD129" s="70">
        <v>15</v>
      </c>
      <c r="CE129" s="73">
        <v>32</v>
      </c>
    </row>
    <row r="130" spans="2:83" x14ac:dyDescent="0.3">
      <c r="B130" s="46">
        <v>25</v>
      </c>
      <c r="C130" s="150">
        <v>43270</v>
      </c>
      <c r="D130" s="74">
        <v>20</v>
      </c>
      <c r="E130" s="54">
        <v>1673</v>
      </c>
      <c r="F130" s="75">
        <v>287</v>
      </c>
      <c r="G130" s="51">
        <v>3.6176767676767678</v>
      </c>
      <c r="H130" s="52">
        <v>5.5613354037267078</v>
      </c>
      <c r="I130" s="53">
        <v>1288</v>
      </c>
      <c r="J130" s="54">
        <v>1980</v>
      </c>
      <c r="K130" s="54">
        <v>7163</v>
      </c>
      <c r="L130" s="55">
        <v>68933</v>
      </c>
      <c r="M130" s="55">
        <v>526.9</v>
      </c>
      <c r="N130" s="57">
        <v>1074.45</v>
      </c>
      <c r="O130" s="58">
        <v>561.55000000000007</v>
      </c>
      <c r="P130" s="59">
        <v>12.755765292493988</v>
      </c>
      <c r="Q130" s="60">
        <v>710.6400000000001</v>
      </c>
      <c r="R130" s="61">
        <v>10.079646515816727</v>
      </c>
      <c r="S130" s="48"/>
      <c r="T130" s="50"/>
      <c r="U130" s="151">
        <v>0</v>
      </c>
      <c r="V130" s="54">
        <v>55</v>
      </c>
      <c r="W130" s="75">
        <v>146</v>
      </c>
      <c r="X130" s="80">
        <v>57</v>
      </c>
      <c r="Y130" s="70">
        <v>164</v>
      </c>
      <c r="Z130" s="70">
        <v>395</v>
      </c>
      <c r="AA130" s="64">
        <v>1004.9</v>
      </c>
      <c r="AB130" s="64">
        <v>161.44200000000001</v>
      </c>
      <c r="AC130" s="66"/>
      <c r="AD130" s="67"/>
      <c r="AE130" s="68"/>
      <c r="AF130" s="80">
        <v>61</v>
      </c>
      <c r="AG130" s="70">
        <v>137</v>
      </c>
      <c r="AH130" s="70">
        <v>29</v>
      </c>
      <c r="AI130" s="70">
        <v>105</v>
      </c>
      <c r="AJ130" s="70">
        <v>77</v>
      </c>
      <c r="AK130" s="70">
        <v>194</v>
      </c>
      <c r="AL130" s="70">
        <v>150</v>
      </c>
      <c r="AM130" s="70">
        <v>95</v>
      </c>
      <c r="AN130" s="70">
        <v>287</v>
      </c>
      <c r="AO130" s="70">
        <v>139</v>
      </c>
      <c r="AP130" s="70">
        <v>153</v>
      </c>
      <c r="AQ130" s="70">
        <v>198</v>
      </c>
      <c r="AR130" s="63"/>
      <c r="AS130" s="63"/>
      <c r="AT130" s="63"/>
      <c r="AU130" s="63"/>
      <c r="AV130" s="63"/>
      <c r="AW130" s="50"/>
      <c r="AX130" s="80">
        <v>4179</v>
      </c>
      <c r="AY130" s="70">
        <v>24288</v>
      </c>
      <c r="AZ130" s="54">
        <v>1596</v>
      </c>
      <c r="BA130" s="54">
        <v>2954</v>
      </c>
      <c r="BB130" s="54">
        <v>269</v>
      </c>
      <c r="BC130" s="54">
        <v>568</v>
      </c>
      <c r="BD130" s="54">
        <v>1286</v>
      </c>
      <c r="BE130" s="70">
        <v>2014</v>
      </c>
      <c r="BF130" s="63"/>
      <c r="BG130" s="71">
        <v>1472</v>
      </c>
      <c r="BH130" s="67"/>
      <c r="BI130" s="68"/>
      <c r="BJ130" s="72">
        <v>926</v>
      </c>
      <c r="BK130" s="62"/>
      <c r="BL130" s="70">
        <v>1481</v>
      </c>
      <c r="BM130" s="70">
        <v>261</v>
      </c>
      <c r="BN130" s="70">
        <v>142</v>
      </c>
      <c r="BO130" s="70">
        <v>511</v>
      </c>
      <c r="BP130" s="73">
        <v>12</v>
      </c>
      <c r="BQ130" s="152">
        <v>676</v>
      </c>
      <c r="BR130" s="153">
        <v>378</v>
      </c>
      <c r="BS130" s="154">
        <v>81</v>
      </c>
      <c r="BT130" s="76">
        <v>70.007830853563036</v>
      </c>
      <c r="BU130" s="77">
        <v>29.992169146436961</v>
      </c>
      <c r="BV130" s="78">
        <v>894</v>
      </c>
      <c r="BW130" s="79">
        <v>383</v>
      </c>
      <c r="BX130" s="69">
        <v>519</v>
      </c>
      <c r="BY130" s="70">
        <v>141</v>
      </c>
      <c r="BZ130" s="70">
        <v>222</v>
      </c>
      <c r="CA130" s="70">
        <v>234</v>
      </c>
      <c r="CB130" s="70">
        <v>18</v>
      </c>
      <c r="CC130" s="70">
        <v>132</v>
      </c>
      <c r="CD130" s="70">
        <v>11</v>
      </c>
      <c r="CE130" s="73">
        <v>0</v>
      </c>
    </row>
    <row r="131" spans="2:83" x14ac:dyDescent="0.3">
      <c r="B131" s="46">
        <v>25</v>
      </c>
      <c r="C131" s="150">
        <v>43271</v>
      </c>
      <c r="D131" s="74">
        <v>16</v>
      </c>
      <c r="E131" s="54">
        <v>1954</v>
      </c>
      <c r="F131" s="75">
        <v>283</v>
      </c>
      <c r="G131" s="51">
        <v>3.7878384376387038</v>
      </c>
      <c r="H131" s="52">
        <v>5.7198391420911525</v>
      </c>
      <c r="I131" s="53">
        <v>1492</v>
      </c>
      <c r="J131" s="54">
        <v>2253</v>
      </c>
      <c r="K131" s="54">
        <v>8534</v>
      </c>
      <c r="L131" s="55">
        <v>8847.6</v>
      </c>
      <c r="M131" s="55">
        <v>548.29399999999998</v>
      </c>
      <c r="N131" s="57">
        <v>1280.1000000000001</v>
      </c>
      <c r="O131" s="58">
        <v>607.56000000000006</v>
      </c>
      <c r="P131" s="59">
        <v>14.046349331753241</v>
      </c>
      <c r="Q131" s="60">
        <v>762.07</v>
      </c>
      <c r="R131" s="61">
        <v>11.198446336950672</v>
      </c>
      <c r="S131" s="48"/>
      <c r="T131" s="50"/>
      <c r="U131" s="151">
        <v>0</v>
      </c>
      <c r="V131" s="54">
        <v>115</v>
      </c>
      <c r="W131" s="75">
        <v>49</v>
      </c>
      <c r="X131" s="80">
        <v>39</v>
      </c>
      <c r="Y131" s="70">
        <v>207</v>
      </c>
      <c r="Z131" s="70">
        <v>346</v>
      </c>
      <c r="AA131" s="64">
        <v>1141.0999999999999</v>
      </c>
      <c r="AB131" s="64">
        <v>229.32599999999999</v>
      </c>
      <c r="AC131" s="66"/>
      <c r="AD131" s="67"/>
      <c r="AE131" s="68"/>
      <c r="AF131" s="80">
        <v>75</v>
      </c>
      <c r="AG131" s="70">
        <v>186</v>
      </c>
      <c r="AH131" s="70">
        <v>47</v>
      </c>
      <c r="AI131" s="70">
        <v>88</v>
      </c>
      <c r="AJ131" s="70">
        <v>80</v>
      </c>
      <c r="AK131" s="70">
        <v>215</v>
      </c>
      <c r="AL131" s="70">
        <v>196</v>
      </c>
      <c r="AM131" s="70">
        <v>122</v>
      </c>
      <c r="AN131" s="70">
        <v>376</v>
      </c>
      <c r="AO131" s="70">
        <v>162</v>
      </c>
      <c r="AP131" s="70">
        <v>126</v>
      </c>
      <c r="AQ131" s="70">
        <v>162</v>
      </c>
      <c r="AR131" s="63"/>
      <c r="AS131" s="63"/>
      <c r="AT131" s="63"/>
      <c r="AU131" s="63"/>
      <c r="AV131" s="63"/>
      <c r="AW131" s="50"/>
      <c r="AX131" s="80">
        <v>4197</v>
      </c>
      <c r="AY131" s="70">
        <v>49733</v>
      </c>
      <c r="AZ131" s="54">
        <v>1543</v>
      </c>
      <c r="BA131" s="54">
        <v>5017</v>
      </c>
      <c r="BB131" s="54">
        <v>526</v>
      </c>
      <c r="BC131" s="54">
        <v>1307</v>
      </c>
      <c r="BD131" s="54">
        <v>1085</v>
      </c>
      <c r="BE131" s="70">
        <v>2141</v>
      </c>
      <c r="BF131" s="63"/>
      <c r="BG131" s="71">
        <v>1507</v>
      </c>
      <c r="BH131" s="67"/>
      <c r="BI131" s="68"/>
      <c r="BJ131" s="72">
        <v>1070</v>
      </c>
      <c r="BK131" s="62"/>
      <c r="BL131" s="70">
        <v>1559</v>
      </c>
      <c r="BM131" s="70">
        <v>217</v>
      </c>
      <c r="BN131" s="70">
        <v>154</v>
      </c>
      <c r="BO131" s="70">
        <v>683</v>
      </c>
      <c r="BP131" s="73">
        <v>16</v>
      </c>
      <c r="BQ131" s="152">
        <v>660</v>
      </c>
      <c r="BR131" s="153">
        <v>538</v>
      </c>
      <c r="BS131" s="154">
        <v>90</v>
      </c>
      <c r="BT131" s="76">
        <v>74.254742547425479</v>
      </c>
      <c r="BU131" s="77">
        <v>25.745257452574524</v>
      </c>
      <c r="BV131" s="78">
        <v>1096</v>
      </c>
      <c r="BW131" s="79">
        <v>380</v>
      </c>
      <c r="BX131" s="69">
        <v>517</v>
      </c>
      <c r="BY131" s="70">
        <v>343</v>
      </c>
      <c r="BZ131" s="70">
        <v>207</v>
      </c>
      <c r="CA131" s="70">
        <v>236</v>
      </c>
      <c r="CB131" s="70">
        <v>11</v>
      </c>
      <c r="CC131" s="70">
        <v>150</v>
      </c>
      <c r="CD131" s="70">
        <v>12</v>
      </c>
      <c r="CE131" s="73">
        <v>0</v>
      </c>
    </row>
    <row r="132" spans="2:83" x14ac:dyDescent="0.3">
      <c r="B132" s="46">
        <v>25</v>
      </c>
      <c r="C132" s="150">
        <v>43272</v>
      </c>
      <c r="D132" s="74">
        <v>25</v>
      </c>
      <c r="E132" s="54">
        <v>1669</v>
      </c>
      <c r="F132" s="75">
        <v>183</v>
      </c>
      <c r="G132" s="51">
        <v>4.5471497069792219</v>
      </c>
      <c r="H132" s="52">
        <v>6.8170926517571884</v>
      </c>
      <c r="I132" s="53">
        <v>1252</v>
      </c>
      <c r="J132" s="54">
        <v>1877</v>
      </c>
      <c r="K132" s="54">
        <v>8535</v>
      </c>
      <c r="L132" s="55">
        <v>7677.5</v>
      </c>
      <c r="M132" s="55">
        <v>448.262</v>
      </c>
      <c r="N132" s="57">
        <v>1280.25</v>
      </c>
      <c r="O132" s="58">
        <v>582.30000000000007</v>
      </c>
      <c r="P132" s="59">
        <v>14.657393096342091</v>
      </c>
      <c r="Q132" s="60">
        <v>727.91000000000008</v>
      </c>
      <c r="R132" s="61">
        <v>11.725350661482874</v>
      </c>
      <c r="S132" s="48"/>
      <c r="T132" s="50"/>
      <c r="U132" s="151">
        <v>0</v>
      </c>
      <c r="V132" s="54">
        <v>186</v>
      </c>
      <c r="W132" s="75">
        <v>13</v>
      </c>
      <c r="X132" s="80">
        <v>51</v>
      </c>
      <c r="Y132" s="70">
        <v>187</v>
      </c>
      <c r="Z132" s="70">
        <v>1020</v>
      </c>
      <c r="AA132" s="64">
        <v>357.7</v>
      </c>
      <c r="AB132" s="64">
        <v>31.937999999999999</v>
      </c>
      <c r="AC132" s="66"/>
      <c r="AD132" s="67"/>
      <c r="AE132" s="68"/>
      <c r="AF132" s="80">
        <v>79</v>
      </c>
      <c r="AG132" s="70">
        <v>131</v>
      </c>
      <c r="AH132" s="70">
        <v>34</v>
      </c>
      <c r="AI132" s="70">
        <v>96</v>
      </c>
      <c r="AJ132" s="70">
        <v>65</v>
      </c>
      <c r="AK132" s="70">
        <v>220</v>
      </c>
      <c r="AL132" s="70">
        <v>195</v>
      </c>
      <c r="AM132" s="70">
        <v>115</v>
      </c>
      <c r="AN132" s="70">
        <v>317</v>
      </c>
      <c r="AO132" s="70">
        <v>147</v>
      </c>
      <c r="AP132" s="70">
        <v>157</v>
      </c>
      <c r="AQ132" s="70">
        <v>47</v>
      </c>
      <c r="AR132" s="63"/>
      <c r="AS132" s="63"/>
      <c r="AT132" s="63"/>
      <c r="AU132" s="63"/>
      <c r="AV132" s="63"/>
      <c r="AW132" s="50"/>
      <c r="AX132" s="80">
        <v>4676</v>
      </c>
      <c r="AY132" s="70">
        <v>30403</v>
      </c>
      <c r="AZ132" s="54">
        <v>1867</v>
      </c>
      <c r="BA132" s="54">
        <v>7549</v>
      </c>
      <c r="BB132" s="54">
        <v>373</v>
      </c>
      <c r="BC132" s="54">
        <v>971</v>
      </c>
      <c r="BD132" s="54">
        <v>1234</v>
      </c>
      <c r="BE132" s="70">
        <v>2580</v>
      </c>
      <c r="BF132" s="63"/>
      <c r="BG132" s="71">
        <v>1594</v>
      </c>
      <c r="BH132" s="67"/>
      <c r="BI132" s="68"/>
      <c r="BJ132" s="72">
        <v>858</v>
      </c>
      <c r="BK132" s="62"/>
      <c r="BL132" s="70">
        <v>2166</v>
      </c>
      <c r="BM132" s="70">
        <v>195</v>
      </c>
      <c r="BN132" s="70">
        <v>91</v>
      </c>
      <c r="BO132" s="70">
        <v>566</v>
      </c>
      <c r="BP132" s="73">
        <v>6</v>
      </c>
      <c r="BQ132" s="152">
        <v>614</v>
      </c>
      <c r="BR132" s="153">
        <v>458</v>
      </c>
      <c r="BS132" s="154">
        <v>68</v>
      </c>
      <c r="BT132" s="76">
        <v>77.010560519902512</v>
      </c>
      <c r="BU132" s="77">
        <v>22.989439480097481</v>
      </c>
      <c r="BV132" s="78">
        <v>948</v>
      </c>
      <c r="BW132" s="79">
        <v>283</v>
      </c>
      <c r="BX132" s="69">
        <v>502</v>
      </c>
      <c r="BY132" s="70">
        <v>229</v>
      </c>
      <c r="BZ132" s="70">
        <v>189</v>
      </c>
      <c r="CA132" s="70">
        <v>217</v>
      </c>
      <c r="CB132" s="70">
        <v>3</v>
      </c>
      <c r="CC132" s="70">
        <v>90</v>
      </c>
      <c r="CD132" s="70">
        <v>1</v>
      </c>
      <c r="CE132" s="73">
        <v>0</v>
      </c>
    </row>
    <row r="133" spans="2:83" x14ac:dyDescent="0.3">
      <c r="B133" s="46">
        <v>25</v>
      </c>
      <c r="C133" s="150">
        <v>43273</v>
      </c>
      <c r="D133" s="74">
        <v>10</v>
      </c>
      <c r="E133" s="54">
        <v>1808</v>
      </c>
      <c r="F133" s="75">
        <v>175</v>
      </c>
      <c r="G133" s="51">
        <v>3.972905168088309</v>
      </c>
      <c r="H133" s="52">
        <v>5.7087238644556599</v>
      </c>
      <c r="I133" s="53">
        <v>1387</v>
      </c>
      <c r="J133" s="54">
        <v>1993</v>
      </c>
      <c r="K133" s="54">
        <v>7918</v>
      </c>
      <c r="L133" s="55">
        <v>4716.6000000000004</v>
      </c>
      <c r="M133" s="55">
        <v>302.26100000000002</v>
      </c>
      <c r="N133" s="57">
        <v>1187.7</v>
      </c>
      <c r="O133" s="58">
        <v>467.87</v>
      </c>
      <c r="P133" s="59">
        <v>16.923504392245707</v>
      </c>
      <c r="Q133" s="60">
        <v>602.26</v>
      </c>
      <c r="R133" s="61">
        <v>13.147145751004549</v>
      </c>
      <c r="S133" s="48"/>
      <c r="T133" s="50"/>
      <c r="U133" s="151">
        <v>0</v>
      </c>
      <c r="V133" s="54">
        <v>99</v>
      </c>
      <c r="W133" s="75">
        <v>24</v>
      </c>
      <c r="X133" s="80">
        <v>32</v>
      </c>
      <c r="Y133" s="70">
        <v>129</v>
      </c>
      <c r="Z133" s="70">
        <v>398</v>
      </c>
      <c r="AA133" s="64">
        <v>457.8</v>
      </c>
      <c r="AB133" s="64">
        <v>30.687999999999999</v>
      </c>
      <c r="AC133" s="66"/>
      <c r="AD133" s="67"/>
      <c r="AE133" s="68"/>
      <c r="AF133" s="80">
        <v>162</v>
      </c>
      <c r="AG133" s="70">
        <v>173</v>
      </c>
      <c r="AH133" s="70">
        <v>60</v>
      </c>
      <c r="AI133" s="70">
        <v>78</v>
      </c>
      <c r="AJ133" s="70">
        <v>69</v>
      </c>
      <c r="AK133" s="70">
        <v>223</v>
      </c>
      <c r="AL133" s="70">
        <v>162</v>
      </c>
      <c r="AM133" s="70">
        <v>168</v>
      </c>
      <c r="AN133" s="70">
        <v>352</v>
      </c>
      <c r="AO133" s="70">
        <v>160</v>
      </c>
      <c r="AP133" s="70">
        <v>158</v>
      </c>
      <c r="AQ133" s="70">
        <v>62</v>
      </c>
      <c r="AR133" s="63"/>
      <c r="AS133" s="63"/>
      <c r="AT133" s="63"/>
      <c r="AU133" s="63"/>
      <c r="AV133" s="63"/>
      <c r="AW133" s="50"/>
      <c r="AX133" s="80">
        <v>3691</v>
      </c>
      <c r="AY133" s="70">
        <v>17860</v>
      </c>
      <c r="AZ133" s="54">
        <v>1211</v>
      </c>
      <c r="BA133" s="54">
        <v>2998</v>
      </c>
      <c r="BB133" s="54">
        <v>589</v>
      </c>
      <c r="BC133" s="54">
        <v>1354</v>
      </c>
      <c r="BD133" s="54">
        <v>1045</v>
      </c>
      <c r="BE133" s="70">
        <v>1806</v>
      </c>
      <c r="BF133" s="63"/>
      <c r="BG133" s="71">
        <v>1469</v>
      </c>
      <c r="BH133" s="67"/>
      <c r="BI133" s="68"/>
      <c r="BJ133" s="72">
        <v>534</v>
      </c>
      <c r="BK133" s="62"/>
      <c r="BL133" s="70">
        <v>2061</v>
      </c>
      <c r="BM133" s="70">
        <v>94</v>
      </c>
      <c r="BN133" s="70">
        <v>108</v>
      </c>
      <c r="BO133" s="70">
        <v>329</v>
      </c>
      <c r="BP133" s="73">
        <v>3</v>
      </c>
      <c r="BQ133" s="152">
        <v>691</v>
      </c>
      <c r="BR133" s="153">
        <v>506</v>
      </c>
      <c r="BS133" s="154">
        <v>68</v>
      </c>
      <c r="BT133" s="76">
        <v>75.834542815674894</v>
      </c>
      <c r="BU133" s="77">
        <v>24.16545718432511</v>
      </c>
      <c r="BV133" s="78">
        <v>1045</v>
      </c>
      <c r="BW133" s="79">
        <v>333</v>
      </c>
      <c r="BX133" s="69">
        <v>523</v>
      </c>
      <c r="BY133" s="70">
        <v>277</v>
      </c>
      <c r="BZ133" s="70">
        <v>237</v>
      </c>
      <c r="CA133" s="70">
        <v>245</v>
      </c>
      <c r="CB133" s="70">
        <v>5</v>
      </c>
      <c r="CC133" s="70">
        <v>89</v>
      </c>
      <c r="CD133" s="70">
        <v>2</v>
      </c>
      <c r="CE133" s="73">
        <v>0</v>
      </c>
    </row>
    <row r="134" spans="2:83" x14ac:dyDescent="0.3">
      <c r="B134" s="46">
        <v>26</v>
      </c>
      <c r="C134" s="150">
        <v>43276</v>
      </c>
      <c r="D134" s="74">
        <v>11</v>
      </c>
      <c r="E134" s="54">
        <v>2654</v>
      </c>
      <c r="F134" s="75">
        <v>92</v>
      </c>
      <c r="G134" s="51">
        <v>2.4066449981942939</v>
      </c>
      <c r="H134" s="52">
        <v>2.8381601362862012</v>
      </c>
      <c r="I134" s="53">
        <v>2348</v>
      </c>
      <c r="J134" s="54">
        <v>2769</v>
      </c>
      <c r="K134" s="54">
        <v>6664</v>
      </c>
      <c r="L134" s="55">
        <v>3203.1</v>
      </c>
      <c r="M134" s="55">
        <v>282.48599999999999</v>
      </c>
      <c r="N134" s="57">
        <v>999.59999999999991</v>
      </c>
      <c r="O134" s="58">
        <v>556.98</v>
      </c>
      <c r="P134" s="59">
        <v>11.964522963122553</v>
      </c>
      <c r="Q134" s="60">
        <v>701.5</v>
      </c>
      <c r="R134" s="61">
        <v>9.4996436208125452</v>
      </c>
      <c r="S134" s="48"/>
      <c r="T134" s="50"/>
      <c r="U134" s="151">
        <v>0</v>
      </c>
      <c r="V134" s="54">
        <v>112</v>
      </c>
      <c r="W134" s="75">
        <v>19</v>
      </c>
      <c r="X134" s="80">
        <v>38</v>
      </c>
      <c r="Y134" s="70">
        <v>125</v>
      </c>
      <c r="Z134" s="70">
        <v>161</v>
      </c>
      <c r="AA134" s="64">
        <v>181.6</v>
      </c>
      <c r="AB134" s="64">
        <v>30.309000000000001</v>
      </c>
      <c r="AC134" s="66"/>
      <c r="AD134" s="67"/>
      <c r="AE134" s="68"/>
      <c r="AF134" s="80">
        <v>290</v>
      </c>
      <c r="AG134" s="70">
        <v>349</v>
      </c>
      <c r="AH134" s="70">
        <v>119</v>
      </c>
      <c r="AI134" s="70">
        <v>128</v>
      </c>
      <c r="AJ134" s="70">
        <v>95</v>
      </c>
      <c r="AK134" s="70">
        <v>389</v>
      </c>
      <c r="AL134" s="70">
        <v>289</v>
      </c>
      <c r="AM134" s="70">
        <v>159</v>
      </c>
      <c r="AN134" s="70">
        <v>378</v>
      </c>
      <c r="AO134" s="70">
        <v>128</v>
      </c>
      <c r="AP134" s="70">
        <v>139</v>
      </c>
      <c r="AQ134" s="70">
        <v>106</v>
      </c>
      <c r="AR134" s="63"/>
      <c r="AS134" s="63"/>
      <c r="AT134" s="63"/>
      <c r="AU134" s="63"/>
      <c r="AV134" s="63"/>
      <c r="AW134" s="50"/>
      <c r="AX134" s="80">
        <v>4048</v>
      </c>
      <c r="AY134" s="70">
        <v>16272</v>
      </c>
      <c r="AZ134" s="54">
        <v>1022</v>
      </c>
      <c r="BA134" s="54">
        <v>3114</v>
      </c>
      <c r="BB134" s="54">
        <v>498</v>
      </c>
      <c r="BC134" s="54">
        <v>704</v>
      </c>
      <c r="BD134" s="54">
        <v>1582</v>
      </c>
      <c r="BE134" s="70">
        <v>1565</v>
      </c>
      <c r="BF134" s="63"/>
      <c r="BG134" s="71">
        <v>2219</v>
      </c>
      <c r="BH134" s="67"/>
      <c r="BI134" s="68"/>
      <c r="BJ134" s="72">
        <v>1375</v>
      </c>
      <c r="BK134" s="62"/>
      <c r="BL134" s="70">
        <v>2087</v>
      </c>
      <c r="BM134" s="70">
        <v>304</v>
      </c>
      <c r="BN134" s="70">
        <v>51</v>
      </c>
      <c r="BO134" s="70">
        <v>1008</v>
      </c>
      <c r="BP134" s="73">
        <v>12</v>
      </c>
      <c r="BQ134" s="152">
        <v>1608</v>
      </c>
      <c r="BR134" s="153">
        <v>430</v>
      </c>
      <c r="BS134" s="154">
        <v>77</v>
      </c>
      <c r="BT134" s="76">
        <v>82.219365895458438</v>
      </c>
      <c r="BU134" s="77">
        <v>17.780634104541559</v>
      </c>
      <c r="BV134" s="78">
        <v>1919</v>
      </c>
      <c r="BW134" s="79">
        <v>415</v>
      </c>
      <c r="BX134" s="69">
        <v>1270</v>
      </c>
      <c r="BY134" s="70">
        <v>200</v>
      </c>
      <c r="BZ134" s="70">
        <v>152</v>
      </c>
      <c r="CA134" s="70">
        <v>449</v>
      </c>
      <c r="CB134" s="70">
        <v>9</v>
      </c>
      <c r="CC134" s="70">
        <v>212</v>
      </c>
      <c r="CD134" s="70">
        <v>16</v>
      </c>
      <c r="CE134" s="73">
        <v>26</v>
      </c>
    </row>
    <row r="135" spans="2:83" x14ac:dyDescent="0.3">
      <c r="B135" s="46">
        <v>26</v>
      </c>
      <c r="C135" s="150">
        <v>43277</v>
      </c>
      <c r="D135" s="74">
        <v>15</v>
      </c>
      <c r="E135" s="54">
        <v>2076</v>
      </c>
      <c r="F135" s="75">
        <v>177</v>
      </c>
      <c r="G135" s="51">
        <v>3.1738178633975482</v>
      </c>
      <c r="H135" s="52">
        <v>4.4746913580246916</v>
      </c>
      <c r="I135" s="53">
        <v>1620</v>
      </c>
      <c r="J135" s="54">
        <v>2284</v>
      </c>
      <c r="K135" s="54">
        <v>7249</v>
      </c>
      <c r="L135" s="55">
        <v>4295.3999999999996</v>
      </c>
      <c r="M135" s="55">
        <v>443.6</v>
      </c>
      <c r="N135" s="57">
        <v>1087.3499999999999</v>
      </c>
      <c r="O135" s="58">
        <v>580.84</v>
      </c>
      <c r="P135" s="59">
        <v>12.480201088079333</v>
      </c>
      <c r="Q135" s="60">
        <v>711.57</v>
      </c>
      <c r="R135" s="61">
        <v>10.187332237165704</v>
      </c>
      <c r="S135" s="48"/>
      <c r="T135" s="50"/>
      <c r="U135" s="151">
        <v>0</v>
      </c>
      <c r="V135" s="54">
        <v>106</v>
      </c>
      <c r="W135" s="75">
        <v>38</v>
      </c>
      <c r="X135" s="80">
        <v>38</v>
      </c>
      <c r="Y135" s="70">
        <v>136</v>
      </c>
      <c r="Z135" s="70">
        <v>605</v>
      </c>
      <c r="AA135" s="64">
        <v>717.9</v>
      </c>
      <c r="AB135" s="64">
        <v>56.670999999999999</v>
      </c>
      <c r="AC135" s="66"/>
      <c r="AD135" s="67"/>
      <c r="AE135" s="68"/>
      <c r="AF135" s="80">
        <v>95</v>
      </c>
      <c r="AG135" s="70">
        <v>191</v>
      </c>
      <c r="AH135" s="70">
        <v>48</v>
      </c>
      <c r="AI135" s="70">
        <v>78</v>
      </c>
      <c r="AJ135" s="70">
        <v>65</v>
      </c>
      <c r="AK135" s="70">
        <v>208</v>
      </c>
      <c r="AL135" s="70">
        <v>255</v>
      </c>
      <c r="AM135" s="70">
        <v>138</v>
      </c>
      <c r="AN135" s="70">
        <v>417</v>
      </c>
      <c r="AO135" s="70">
        <v>130</v>
      </c>
      <c r="AP135" s="70">
        <v>191</v>
      </c>
      <c r="AQ135" s="70">
        <v>197</v>
      </c>
      <c r="AR135" s="63"/>
      <c r="AS135" s="63"/>
      <c r="AT135" s="63"/>
      <c r="AU135" s="63"/>
      <c r="AV135" s="63"/>
      <c r="AW135" s="50"/>
      <c r="AX135" s="80">
        <v>4140</v>
      </c>
      <c r="AY135" s="70">
        <v>18053</v>
      </c>
      <c r="AZ135" s="54">
        <v>1660</v>
      </c>
      <c r="BA135" s="54">
        <v>3866</v>
      </c>
      <c r="BB135" s="54">
        <v>276</v>
      </c>
      <c r="BC135" s="54">
        <v>709</v>
      </c>
      <c r="BD135" s="54">
        <v>1053</v>
      </c>
      <c r="BE135" s="70">
        <v>1765</v>
      </c>
      <c r="BF135" s="63"/>
      <c r="BG135" s="71">
        <v>1363</v>
      </c>
      <c r="BH135" s="67"/>
      <c r="BI135" s="68"/>
      <c r="BJ135" s="72">
        <v>1167</v>
      </c>
      <c r="BK135" s="62"/>
      <c r="BL135" s="70">
        <v>2203</v>
      </c>
      <c r="BM135" s="70">
        <v>234</v>
      </c>
      <c r="BN135" s="70">
        <v>53</v>
      </c>
      <c r="BO135" s="70">
        <v>860</v>
      </c>
      <c r="BP135" s="73">
        <v>20</v>
      </c>
      <c r="BQ135" s="152">
        <v>700</v>
      </c>
      <c r="BR135" s="153">
        <v>430</v>
      </c>
      <c r="BS135" s="154">
        <v>84</v>
      </c>
      <c r="BT135" s="76">
        <v>66.086956521739125</v>
      </c>
      <c r="BU135" s="77">
        <v>33.913043478260867</v>
      </c>
      <c r="BV135" s="78">
        <v>1064</v>
      </c>
      <c r="BW135" s="79">
        <v>546</v>
      </c>
      <c r="BX135" s="69">
        <v>542</v>
      </c>
      <c r="BY135" s="70">
        <v>202</v>
      </c>
      <c r="BZ135" s="70">
        <v>202</v>
      </c>
      <c r="CA135" s="70">
        <v>320</v>
      </c>
      <c r="CB135" s="70">
        <v>25</v>
      </c>
      <c r="CC135" s="70">
        <v>307</v>
      </c>
      <c r="CD135" s="70">
        <v>12</v>
      </c>
      <c r="CE135" s="73">
        <v>0</v>
      </c>
    </row>
    <row r="136" spans="2:83" x14ac:dyDescent="0.3">
      <c r="B136" s="46">
        <v>26</v>
      </c>
      <c r="C136" s="150">
        <v>43278</v>
      </c>
      <c r="D136" s="74">
        <v>11</v>
      </c>
      <c r="E136" s="54">
        <v>1564</v>
      </c>
      <c r="F136" s="75">
        <v>129</v>
      </c>
      <c r="G136" s="51">
        <v>4.3037900874635566</v>
      </c>
      <c r="H136" s="52">
        <v>5.9959382615759544</v>
      </c>
      <c r="I136" s="53">
        <v>1231</v>
      </c>
      <c r="J136" s="54">
        <v>1715</v>
      </c>
      <c r="K136" s="54">
        <v>7381</v>
      </c>
      <c r="L136" s="55">
        <v>3587.2</v>
      </c>
      <c r="M136" s="55">
        <v>299.66500000000002</v>
      </c>
      <c r="N136" s="57">
        <v>1107.1500000000001</v>
      </c>
      <c r="O136" s="58">
        <v>527.71999999999991</v>
      </c>
      <c r="P136" s="59">
        <v>13.986583794436445</v>
      </c>
      <c r="Q136" s="60">
        <v>644.06999999999994</v>
      </c>
      <c r="R136" s="61">
        <v>11.459934479171519</v>
      </c>
      <c r="S136" s="48"/>
      <c r="T136" s="50"/>
      <c r="U136" s="151">
        <v>0</v>
      </c>
      <c r="V136" s="54">
        <v>124</v>
      </c>
      <c r="W136" s="75">
        <v>85</v>
      </c>
      <c r="X136" s="80">
        <v>24</v>
      </c>
      <c r="Y136" s="70">
        <v>88</v>
      </c>
      <c r="Z136" s="70">
        <v>139</v>
      </c>
      <c r="AA136" s="64">
        <v>3093</v>
      </c>
      <c r="AB136" s="64">
        <v>31.608000000000001</v>
      </c>
      <c r="AC136" s="66"/>
      <c r="AD136" s="67"/>
      <c r="AE136" s="68"/>
      <c r="AF136" s="80">
        <v>69</v>
      </c>
      <c r="AG136" s="70">
        <v>149</v>
      </c>
      <c r="AH136" s="70">
        <v>32</v>
      </c>
      <c r="AI136" s="70">
        <v>58</v>
      </c>
      <c r="AJ136" s="70">
        <v>49</v>
      </c>
      <c r="AK136" s="70">
        <v>187</v>
      </c>
      <c r="AL136" s="70">
        <v>117</v>
      </c>
      <c r="AM136" s="70">
        <v>116</v>
      </c>
      <c r="AN136" s="70">
        <v>337</v>
      </c>
      <c r="AO136" s="70">
        <v>136</v>
      </c>
      <c r="AP136" s="70">
        <v>184</v>
      </c>
      <c r="AQ136" s="70">
        <v>65</v>
      </c>
      <c r="AR136" s="63"/>
      <c r="AS136" s="63"/>
      <c r="AT136" s="63"/>
      <c r="AU136" s="63"/>
      <c r="AV136" s="63"/>
      <c r="AW136" s="50"/>
      <c r="AX136" s="80">
        <v>4400</v>
      </c>
      <c r="AY136" s="70">
        <v>20704</v>
      </c>
      <c r="AZ136" s="54">
        <v>1220</v>
      </c>
      <c r="BA136" s="54">
        <v>4199</v>
      </c>
      <c r="BB136" s="54">
        <v>359</v>
      </c>
      <c r="BC136" s="54">
        <v>890</v>
      </c>
      <c r="BD136" s="54">
        <v>1146</v>
      </c>
      <c r="BE136" s="70">
        <v>1707</v>
      </c>
      <c r="BF136" s="63"/>
      <c r="BG136" s="71">
        <v>1456</v>
      </c>
      <c r="BH136" s="67"/>
      <c r="BI136" s="68"/>
      <c r="BJ136" s="72">
        <v>1112</v>
      </c>
      <c r="BK136" s="62"/>
      <c r="BL136" s="70">
        <v>2026</v>
      </c>
      <c r="BM136" s="70">
        <v>341</v>
      </c>
      <c r="BN136" s="70">
        <v>79</v>
      </c>
      <c r="BO136" s="70">
        <v>686</v>
      </c>
      <c r="BP136" s="73">
        <v>6</v>
      </c>
      <c r="BQ136" s="152">
        <v>606</v>
      </c>
      <c r="BR136" s="153">
        <v>417</v>
      </c>
      <c r="BS136" s="154">
        <v>63</v>
      </c>
      <c r="BT136" s="76">
        <v>72.764561115668585</v>
      </c>
      <c r="BU136" s="77">
        <v>27.235438884331419</v>
      </c>
      <c r="BV136" s="78">
        <v>887</v>
      </c>
      <c r="BW136" s="79">
        <v>332</v>
      </c>
      <c r="BX136" s="69">
        <v>467</v>
      </c>
      <c r="BY136" s="70">
        <v>219</v>
      </c>
      <c r="BZ136" s="70">
        <v>237</v>
      </c>
      <c r="CA136" s="70">
        <v>201</v>
      </c>
      <c r="CB136" s="70">
        <v>8</v>
      </c>
      <c r="CC136" s="70">
        <v>81</v>
      </c>
      <c r="CD136" s="70">
        <v>6</v>
      </c>
      <c r="CE136" s="73">
        <v>0</v>
      </c>
    </row>
    <row r="137" spans="2:83" x14ac:dyDescent="0.3">
      <c r="B137" s="46">
        <v>26</v>
      </c>
      <c r="C137" s="150">
        <v>43279</v>
      </c>
      <c r="D137" s="74">
        <v>14</v>
      </c>
      <c r="E137" s="54">
        <v>1274</v>
      </c>
      <c r="F137" s="75">
        <v>267</v>
      </c>
      <c r="G137" s="51">
        <v>4.5299420476497101</v>
      </c>
      <c r="H137" s="52">
        <v>6.8433852140077818</v>
      </c>
      <c r="I137" s="53">
        <v>1028</v>
      </c>
      <c r="J137" s="54">
        <v>1553</v>
      </c>
      <c r="K137" s="54">
        <v>7035</v>
      </c>
      <c r="L137" s="55">
        <v>6747</v>
      </c>
      <c r="M137" s="55">
        <v>454.47699999999998</v>
      </c>
      <c r="N137" s="57">
        <v>1055.25</v>
      </c>
      <c r="O137" s="58">
        <v>532.93999999999994</v>
      </c>
      <c r="P137" s="59">
        <v>13.200360265695952</v>
      </c>
      <c r="Q137" s="60">
        <v>661.94999999999993</v>
      </c>
      <c r="R137" s="61">
        <v>10.627690913210969</v>
      </c>
      <c r="S137" s="48"/>
      <c r="T137" s="50"/>
      <c r="U137" s="151">
        <v>0</v>
      </c>
      <c r="V137" s="54">
        <v>85</v>
      </c>
      <c r="W137" s="75">
        <v>74</v>
      </c>
      <c r="X137" s="80">
        <v>62</v>
      </c>
      <c r="Y137" s="70">
        <v>171</v>
      </c>
      <c r="Z137" s="70">
        <v>311</v>
      </c>
      <c r="AA137" s="64">
        <v>2208.8000000000002</v>
      </c>
      <c r="AB137" s="64">
        <v>100.509</v>
      </c>
      <c r="AC137" s="66"/>
      <c r="AD137" s="67"/>
      <c r="AE137" s="68"/>
      <c r="AF137" s="80">
        <v>61</v>
      </c>
      <c r="AG137" s="70">
        <v>131</v>
      </c>
      <c r="AH137" s="70">
        <v>29</v>
      </c>
      <c r="AI137" s="70">
        <v>50</v>
      </c>
      <c r="AJ137" s="70">
        <v>39</v>
      </c>
      <c r="AK137" s="70">
        <v>146</v>
      </c>
      <c r="AL137" s="70">
        <v>128</v>
      </c>
      <c r="AM137" s="70">
        <v>103</v>
      </c>
      <c r="AN137" s="70">
        <v>237</v>
      </c>
      <c r="AO137" s="70">
        <v>122</v>
      </c>
      <c r="AP137" s="70">
        <v>127</v>
      </c>
      <c r="AQ137" s="70">
        <v>56</v>
      </c>
      <c r="AR137" s="63"/>
      <c r="AS137" s="63"/>
      <c r="AT137" s="63"/>
      <c r="AU137" s="63"/>
      <c r="AV137" s="63"/>
      <c r="AW137" s="50"/>
      <c r="AX137" s="80">
        <v>2354</v>
      </c>
      <c r="AY137" s="70">
        <v>14268</v>
      </c>
      <c r="AZ137" s="54">
        <v>808</v>
      </c>
      <c r="BA137" s="54">
        <v>2956</v>
      </c>
      <c r="BB137" s="54">
        <v>51</v>
      </c>
      <c r="BC137" s="54">
        <v>202</v>
      </c>
      <c r="BD137" s="54">
        <v>648</v>
      </c>
      <c r="BE137" s="70">
        <v>1094</v>
      </c>
      <c r="BF137" s="63"/>
      <c r="BG137" s="71">
        <v>1228</v>
      </c>
      <c r="BH137" s="67"/>
      <c r="BI137" s="68"/>
      <c r="BJ137" s="72">
        <v>1215</v>
      </c>
      <c r="BK137" s="62"/>
      <c r="BL137" s="70">
        <v>1757</v>
      </c>
      <c r="BM137" s="70">
        <v>306</v>
      </c>
      <c r="BN137" s="70">
        <v>132</v>
      </c>
      <c r="BO137" s="70">
        <v>771</v>
      </c>
      <c r="BP137" s="73">
        <v>6</v>
      </c>
      <c r="BQ137" s="152">
        <v>469</v>
      </c>
      <c r="BR137" s="153">
        <v>322</v>
      </c>
      <c r="BS137" s="154">
        <v>73</v>
      </c>
      <c r="BT137" s="76">
        <v>72.798434442270064</v>
      </c>
      <c r="BU137" s="77">
        <v>27.201565557729943</v>
      </c>
      <c r="BV137" s="78">
        <v>744</v>
      </c>
      <c r="BW137" s="79">
        <v>278</v>
      </c>
      <c r="BX137" s="69">
        <v>308</v>
      </c>
      <c r="BY137" s="70">
        <v>197</v>
      </c>
      <c r="BZ137" s="70">
        <v>173</v>
      </c>
      <c r="CA137" s="70">
        <v>239</v>
      </c>
      <c r="CB137" s="70">
        <v>9</v>
      </c>
      <c r="CC137" s="70">
        <v>91</v>
      </c>
      <c r="CD137" s="70">
        <v>5</v>
      </c>
      <c r="CE137" s="73">
        <v>0</v>
      </c>
    </row>
    <row r="138" spans="2:83" x14ac:dyDescent="0.3">
      <c r="B138" s="46">
        <v>26</v>
      </c>
      <c r="C138" s="150">
        <v>43280</v>
      </c>
      <c r="D138" s="74">
        <v>2</v>
      </c>
      <c r="E138" s="54">
        <v>1533</v>
      </c>
      <c r="F138" s="75">
        <v>279</v>
      </c>
      <c r="G138" s="51">
        <v>3.5425170068027212</v>
      </c>
      <c r="H138" s="52">
        <v>5.3182978723404259</v>
      </c>
      <c r="I138" s="53">
        <v>1175</v>
      </c>
      <c r="J138" s="54">
        <v>1764</v>
      </c>
      <c r="K138" s="54">
        <v>6249</v>
      </c>
      <c r="L138" s="55">
        <v>5193.8999999999996</v>
      </c>
      <c r="M138" s="55">
        <v>445.58600000000001</v>
      </c>
      <c r="N138" s="57">
        <v>937.34999999999991</v>
      </c>
      <c r="O138" s="58">
        <v>517.39</v>
      </c>
      <c r="P138" s="59">
        <v>12.077929608225903</v>
      </c>
      <c r="Q138" s="60">
        <v>650.53</v>
      </c>
      <c r="R138" s="61">
        <v>9.6060135581756416</v>
      </c>
      <c r="S138" s="48"/>
      <c r="T138" s="50"/>
      <c r="U138" s="151">
        <v>0</v>
      </c>
      <c r="V138" s="54">
        <v>54</v>
      </c>
      <c r="W138" s="75">
        <v>99</v>
      </c>
      <c r="X138" s="80">
        <v>55</v>
      </c>
      <c r="Y138" s="70">
        <v>117</v>
      </c>
      <c r="Z138" s="70">
        <v>374</v>
      </c>
      <c r="AA138" s="64">
        <v>1255.9000000000001</v>
      </c>
      <c r="AB138" s="64">
        <v>82.201999999999998</v>
      </c>
      <c r="AC138" s="66"/>
      <c r="AD138" s="67"/>
      <c r="AE138" s="68"/>
      <c r="AF138" s="80">
        <v>73</v>
      </c>
      <c r="AG138" s="70">
        <v>116</v>
      </c>
      <c r="AH138" s="70">
        <v>37</v>
      </c>
      <c r="AI138" s="70">
        <v>45</v>
      </c>
      <c r="AJ138" s="70">
        <v>44</v>
      </c>
      <c r="AK138" s="70">
        <v>173</v>
      </c>
      <c r="AL138" s="70">
        <v>107</v>
      </c>
      <c r="AM138" s="70">
        <v>70</v>
      </c>
      <c r="AN138" s="70">
        <v>326</v>
      </c>
      <c r="AO138" s="70">
        <v>152</v>
      </c>
      <c r="AP138" s="70">
        <v>155</v>
      </c>
      <c r="AQ138" s="70">
        <v>194</v>
      </c>
      <c r="AR138" s="63"/>
      <c r="AS138" s="63"/>
      <c r="AT138" s="63"/>
      <c r="AU138" s="63"/>
      <c r="AV138" s="63"/>
      <c r="AW138" s="50"/>
      <c r="AX138" s="80">
        <v>3264</v>
      </c>
      <c r="AY138" s="70">
        <v>13492</v>
      </c>
      <c r="AZ138" s="54">
        <v>1344</v>
      </c>
      <c r="BA138" s="54">
        <v>2193</v>
      </c>
      <c r="BB138" s="54">
        <v>539</v>
      </c>
      <c r="BC138" s="54">
        <v>1147</v>
      </c>
      <c r="BD138" s="54">
        <v>961</v>
      </c>
      <c r="BE138" s="70">
        <v>1849</v>
      </c>
      <c r="BF138" s="63"/>
      <c r="BG138" s="71">
        <v>1259</v>
      </c>
      <c r="BH138" s="67"/>
      <c r="BI138" s="68"/>
      <c r="BJ138" s="72">
        <v>1150</v>
      </c>
      <c r="BK138" s="62"/>
      <c r="BL138" s="70">
        <v>1653</v>
      </c>
      <c r="BM138" s="70">
        <v>238</v>
      </c>
      <c r="BN138" s="70">
        <v>159</v>
      </c>
      <c r="BO138" s="70">
        <v>743</v>
      </c>
      <c r="BP138" s="73">
        <v>10</v>
      </c>
      <c r="BQ138" s="152">
        <v>552</v>
      </c>
      <c r="BR138" s="153">
        <v>333</v>
      </c>
      <c r="BS138" s="154">
        <v>57</v>
      </c>
      <c r="BT138" s="76">
        <v>66.00173460537728</v>
      </c>
      <c r="BU138" s="77">
        <v>33.99826539462272</v>
      </c>
      <c r="BV138" s="78">
        <v>761</v>
      </c>
      <c r="BW138" s="79">
        <v>392</v>
      </c>
      <c r="BX138" s="69">
        <v>432</v>
      </c>
      <c r="BY138" s="70">
        <v>128</v>
      </c>
      <c r="BZ138" s="70">
        <v>177</v>
      </c>
      <c r="CA138" s="70">
        <v>201</v>
      </c>
      <c r="CB138" s="70">
        <v>13</v>
      </c>
      <c r="CC138" s="70">
        <v>195</v>
      </c>
      <c r="CD138" s="70">
        <v>7</v>
      </c>
      <c r="CE138" s="73">
        <v>0</v>
      </c>
    </row>
    <row r="139" spans="2:83" x14ac:dyDescent="0.3">
      <c r="B139" s="46">
        <v>27</v>
      </c>
      <c r="C139" s="150">
        <v>43283</v>
      </c>
      <c r="D139" s="74">
        <v>15</v>
      </c>
      <c r="E139" s="54">
        <v>2647</v>
      </c>
      <c r="F139" s="75">
        <v>145</v>
      </c>
      <c r="G139" s="51">
        <v>2.1739590684544812</v>
      </c>
      <c r="H139" s="52">
        <v>2.9849806201550386</v>
      </c>
      <c r="I139" s="53">
        <v>2064</v>
      </c>
      <c r="J139" s="54">
        <v>2834</v>
      </c>
      <c r="K139" s="54">
        <v>6161</v>
      </c>
      <c r="L139" s="55">
        <v>4101.5</v>
      </c>
      <c r="M139" s="55">
        <v>409.00099999999998</v>
      </c>
      <c r="N139" s="57">
        <v>924.15</v>
      </c>
      <c r="O139" s="58">
        <v>544.04000000000008</v>
      </c>
      <c r="P139" s="59">
        <v>11.324534960664655</v>
      </c>
      <c r="Q139" s="60">
        <v>693.09</v>
      </c>
      <c r="R139" s="61">
        <v>8.8891774517017996</v>
      </c>
      <c r="S139" s="48"/>
      <c r="T139" s="50"/>
      <c r="U139" s="151">
        <v>0</v>
      </c>
      <c r="V139" s="54">
        <v>51</v>
      </c>
      <c r="W139" s="75">
        <v>40</v>
      </c>
      <c r="X139" s="80">
        <v>58</v>
      </c>
      <c r="Y139" s="70">
        <v>127</v>
      </c>
      <c r="Z139" s="70">
        <v>402</v>
      </c>
      <c r="AA139" s="64">
        <v>1160.4000000000001</v>
      </c>
      <c r="AB139" s="64">
        <v>101.566</v>
      </c>
      <c r="AC139" s="66"/>
      <c r="AD139" s="67"/>
      <c r="AE139" s="68"/>
      <c r="AF139" s="80">
        <v>156</v>
      </c>
      <c r="AG139" s="70">
        <v>287</v>
      </c>
      <c r="AH139" s="70">
        <v>56</v>
      </c>
      <c r="AI139" s="70">
        <v>189</v>
      </c>
      <c r="AJ139" s="70">
        <v>74</v>
      </c>
      <c r="AK139" s="70">
        <v>387</v>
      </c>
      <c r="AL139" s="70">
        <v>198</v>
      </c>
      <c r="AM139" s="70">
        <v>150</v>
      </c>
      <c r="AN139" s="70">
        <v>268</v>
      </c>
      <c r="AO139" s="70">
        <v>152</v>
      </c>
      <c r="AP139" s="70">
        <v>283</v>
      </c>
      <c r="AQ139" s="70">
        <v>371</v>
      </c>
      <c r="AR139" s="63"/>
      <c r="AS139" s="63"/>
      <c r="AT139" s="63"/>
      <c r="AU139" s="63"/>
      <c r="AV139" s="63"/>
      <c r="AW139" s="50"/>
      <c r="AX139" s="80">
        <v>3457</v>
      </c>
      <c r="AY139" s="70">
        <v>12191</v>
      </c>
      <c r="AZ139" s="54">
        <v>823</v>
      </c>
      <c r="BA139" s="54">
        <v>1842</v>
      </c>
      <c r="BB139" s="54">
        <v>336</v>
      </c>
      <c r="BC139" s="54">
        <v>507</v>
      </c>
      <c r="BD139" s="54">
        <v>1222</v>
      </c>
      <c r="BE139" s="70">
        <v>1194</v>
      </c>
      <c r="BF139" s="63"/>
      <c r="BG139" s="71">
        <v>1652</v>
      </c>
      <c r="BH139" s="67"/>
      <c r="BI139" s="68"/>
      <c r="BJ139" s="72">
        <v>1181</v>
      </c>
      <c r="BK139" s="62"/>
      <c r="BL139" s="70">
        <v>1563</v>
      </c>
      <c r="BM139" s="70">
        <v>214</v>
      </c>
      <c r="BN139" s="70">
        <v>84</v>
      </c>
      <c r="BO139" s="70">
        <v>883</v>
      </c>
      <c r="BP139" s="73">
        <v>0</v>
      </c>
      <c r="BQ139" s="152">
        <v>1231</v>
      </c>
      <c r="BR139" s="153">
        <v>503</v>
      </c>
      <c r="BS139" s="154">
        <v>75</v>
      </c>
      <c r="BT139" s="76">
        <v>80.126643935703854</v>
      </c>
      <c r="BU139" s="77">
        <v>19.873356064296154</v>
      </c>
      <c r="BV139" s="78">
        <v>1645</v>
      </c>
      <c r="BW139" s="79">
        <v>408</v>
      </c>
      <c r="BX139" s="69">
        <v>941</v>
      </c>
      <c r="BY139" s="70">
        <v>296</v>
      </c>
      <c r="BZ139" s="70">
        <v>169</v>
      </c>
      <c r="CA139" s="70">
        <v>408</v>
      </c>
      <c r="CB139" s="70">
        <v>2</v>
      </c>
      <c r="CC139" s="70">
        <v>217</v>
      </c>
      <c r="CD139" s="70">
        <v>6</v>
      </c>
      <c r="CE139" s="73">
        <v>14</v>
      </c>
    </row>
    <row r="140" spans="2:83" x14ac:dyDescent="0.3">
      <c r="B140" s="46">
        <v>27</v>
      </c>
      <c r="C140" s="47">
        <v>43284</v>
      </c>
      <c r="D140" s="155">
        <v>38</v>
      </c>
      <c r="E140" s="49">
        <v>1631</v>
      </c>
      <c r="F140" s="156">
        <v>372</v>
      </c>
      <c r="G140" s="51">
        <v>2.8272952853598015</v>
      </c>
      <c r="H140" s="52">
        <v>4.5430622009569381</v>
      </c>
      <c r="I140" s="53">
        <v>1254</v>
      </c>
      <c r="J140" s="54">
        <v>2015</v>
      </c>
      <c r="K140" s="54">
        <v>5697</v>
      </c>
      <c r="L140" s="55">
        <v>7530.7</v>
      </c>
      <c r="M140" s="56">
        <v>623.30700000000002</v>
      </c>
      <c r="N140" s="57">
        <v>854.55</v>
      </c>
      <c r="O140" s="58">
        <v>565.44000000000005</v>
      </c>
      <c r="P140" s="59">
        <v>10.075339558573853</v>
      </c>
      <c r="Q140" s="60">
        <v>725.94</v>
      </c>
      <c r="R140" s="61">
        <v>7.847756012893627</v>
      </c>
      <c r="S140" s="48"/>
      <c r="T140" s="50"/>
      <c r="U140" s="49">
        <v>0</v>
      </c>
      <c r="V140" s="49">
        <v>40</v>
      </c>
      <c r="W140" s="156">
        <v>115</v>
      </c>
      <c r="X140" s="80">
        <v>30</v>
      </c>
      <c r="Y140" s="70">
        <v>146</v>
      </c>
      <c r="Z140" s="70">
        <v>391</v>
      </c>
      <c r="AA140" s="65">
        <v>1412.7</v>
      </c>
      <c r="AB140" s="65">
        <v>134.62700000000001</v>
      </c>
      <c r="AC140" s="66"/>
      <c r="AD140" s="67"/>
      <c r="AE140" s="68"/>
      <c r="AF140" s="80">
        <v>78</v>
      </c>
      <c r="AG140" s="70">
        <v>157</v>
      </c>
      <c r="AH140" s="70">
        <v>46</v>
      </c>
      <c r="AI140" s="157">
        <v>76</v>
      </c>
      <c r="AJ140" s="157">
        <v>57</v>
      </c>
      <c r="AK140" s="157">
        <v>168</v>
      </c>
      <c r="AL140" s="157">
        <v>91</v>
      </c>
      <c r="AM140" s="157">
        <v>106</v>
      </c>
      <c r="AN140" s="157">
        <v>269</v>
      </c>
      <c r="AO140" s="157">
        <v>149</v>
      </c>
      <c r="AP140" s="70">
        <v>180</v>
      </c>
      <c r="AQ140" s="70">
        <v>224</v>
      </c>
      <c r="AR140" s="63"/>
      <c r="AS140" s="63"/>
      <c r="AT140" s="63"/>
      <c r="AU140" s="63"/>
      <c r="AV140" s="63"/>
      <c r="AW140" s="50"/>
      <c r="AX140" s="69">
        <v>3398</v>
      </c>
      <c r="AY140" s="69">
        <v>20814</v>
      </c>
      <c r="AZ140" s="54">
        <v>425</v>
      </c>
      <c r="BA140" s="54">
        <v>1762</v>
      </c>
      <c r="BB140" s="54">
        <v>124</v>
      </c>
      <c r="BC140" s="54">
        <v>345</v>
      </c>
      <c r="BD140" s="54">
        <v>916</v>
      </c>
      <c r="BE140" s="70">
        <v>592</v>
      </c>
      <c r="BF140" s="63"/>
      <c r="BG140" s="71">
        <v>1011</v>
      </c>
      <c r="BH140" s="67"/>
      <c r="BI140" s="68"/>
      <c r="BJ140" s="72">
        <v>1068</v>
      </c>
      <c r="BK140" s="62"/>
      <c r="BL140" s="70">
        <v>1272</v>
      </c>
      <c r="BM140" s="70">
        <v>174</v>
      </c>
      <c r="BN140" s="70">
        <v>235</v>
      </c>
      <c r="BO140" s="70">
        <v>645</v>
      </c>
      <c r="BP140" s="73">
        <v>14</v>
      </c>
      <c r="BQ140" s="152">
        <v>570</v>
      </c>
      <c r="BR140" s="153">
        <v>287</v>
      </c>
      <c r="BS140" s="154">
        <v>66</v>
      </c>
      <c r="BT140" s="76">
        <v>60.049423393739701</v>
      </c>
      <c r="BU140" s="77">
        <v>39.950576606260299</v>
      </c>
      <c r="BV140" s="78">
        <v>729</v>
      </c>
      <c r="BW140" s="79">
        <v>485</v>
      </c>
      <c r="BX140" s="69">
        <v>415</v>
      </c>
      <c r="BY140" s="157">
        <v>102</v>
      </c>
      <c r="BZ140" s="157">
        <v>228</v>
      </c>
      <c r="CA140" s="157">
        <v>212</v>
      </c>
      <c r="CB140" s="157">
        <v>22</v>
      </c>
      <c r="CC140" s="157">
        <v>232</v>
      </c>
      <c r="CD140" s="157">
        <v>3</v>
      </c>
      <c r="CE140" s="73">
        <v>0</v>
      </c>
    </row>
    <row r="141" spans="2:83" x14ac:dyDescent="0.3">
      <c r="B141" s="46">
        <v>27</v>
      </c>
      <c r="C141" s="47">
        <v>43285</v>
      </c>
      <c r="D141" s="155">
        <v>19</v>
      </c>
      <c r="E141" s="49">
        <v>1670</v>
      </c>
      <c r="F141" s="156">
        <v>232</v>
      </c>
      <c r="G141" s="51">
        <v>3.4468535166578529</v>
      </c>
      <c r="H141" s="52">
        <v>5.2734627831715208</v>
      </c>
      <c r="I141" s="53">
        <v>1236</v>
      </c>
      <c r="J141" s="54">
        <v>1891</v>
      </c>
      <c r="K141" s="54">
        <v>6518</v>
      </c>
      <c r="L141" s="55">
        <v>7011.4</v>
      </c>
      <c r="M141" s="56">
        <v>423.67700000000002</v>
      </c>
      <c r="N141" s="57">
        <v>977.69999999999993</v>
      </c>
      <c r="O141" s="58">
        <v>570.16</v>
      </c>
      <c r="P141" s="59">
        <v>11.431878770871336</v>
      </c>
      <c r="Q141" s="60">
        <v>711.04999999999984</v>
      </c>
      <c r="R141" s="61">
        <v>9.1667252654525022</v>
      </c>
      <c r="S141" s="48"/>
      <c r="T141" s="50"/>
      <c r="U141" s="49">
        <v>0</v>
      </c>
      <c r="V141" s="49">
        <v>94</v>
      </c>
      <c r="W141" s="156">
        <v>89</v>
      </c>
      <c r="X141" s="80">
        <v>58</v>
      </c>
      <c r="Y141" s="70">
        <v>167</v>
      </c>
      <c r="Z141" s="70">
        <v>360</v>
      </c>
      <c r="AA141" s="65">
        <v>987.1</v>
      </c>
      <c r="AB141" s="65">
        <v>107.414</v>
      </c>
      <c r="AC141" s="66"/>
      <c r="AD141" s="67"/>
      <c r="AE141" s="68"/>
      <c r="AF141" s="80">
        <v>89</v>
      </c>
      <c r="AG141" s="70">
        <v>214</v>
      </c>
      <c r="AH141" s="70">
        <v>56</v>
      </c>
      <c r="AI141" s="157">
        <v>71</v>
      </c>
      <c r="AJ141" s="157">
        <v>55</v>
      </c>
      <c r="AK141" s="157">
        <v>142</v>
      </c>
      <c r="AL141" s="157">
        <v>103</v>
      </c>
      <c r="AM141" s="157">
        <v>97</v>
      </c>
      <c r="AN141" s="157">
        <v>275</v>
      </c>
      <c r="AO141" s="157">
        <v>131</v>
      </c>
      <c r="AP141" s="70">
        <v>244</v>
      </c>
      <c r="AQ141" s="70">
        <v>137</v>
      </c>
      <c r="AR141" s="63"/>
      <c r="AS141" s="63"/>
      <c r="AT141" s="63"/>
      <c r="AU141" s="63"/>
      <c r="AV141" s="63"/>
      <c r="AW141" s="50"/>
      <c r="AX141" s="69">
        <v>4273</v>
      </c>
      <c r="AY141" s="69">
        <v>26526</v>
      </c>
      <c r="AZ141" s="54">
        <v>1506</v>
      </c>
      <c r="BA141" s="54">
        <v>3428</v>
      </c>
      <c r="BB141" s="54">
        <v>287</v>
      </c>
      <c r="BC141" s="54">
        <v>799</v>
      </c>
      <c r="BD141" s="54">
        <v>1183</v>
      </c>
      <c r="BE141" s="70">
        <v>1782</v>
      </c>
      <c r="BF141" s="63"/>
      <c r="BG141" s="71">
        <v>1509</v>
      </c>
      <c r="BH141" s="67"/>
      <c r="BI141" s="68"/>
      <c r="BJ141" s="72">
        <v>1178</v>
      </c>
      <c r="BK141" s="62"/>
      <c r="BL141" s="70">
        <v>1525</v>
      </c>
      <c r="BM141" s="70">
        <v>221</v>
      </c>
      <c r="BN141" s="70">
        <v>95</v>
      </c>
      <c r="BO141" s="70">
        <v>847</v>
      </c>
      <c r="BP141" s="73">
        <v>15</v>
      </c>
      <c r="BQ141" s="152">
        <v>579</v>
      </c>
      <c r="BR141" s="153">
        <v>391</v>
      </c>
      <c r="BS141" s="154">
        <v>154</v>
      </c>
      <c r="BT141" s="76">
        <v>75.30562347188264</v>
      </c>
      <c r="BU141" s="77">
        <v>24.69437652811736</v>
      </c>
      <c r="BV141" s="78">
        <v>924</v>
      </c>
      <c r="BW141" s="79">
        <v>303</v>
      </c>
      <c r="BX141" s="69">
        <v>545</v>
      </c>
      <c r="BY141" s="157">
        <v>157</v>
      </c>
      <c r="BZ141" s="157">
        <v>182</v>
      </c>
      <c r="CA141" s="157">
        <v>222</v>
      </c>
      <c r="CB141" s="157">
        <v>8</v>
      </c>
      <c r="CC141" s="157">
        <v>109</v>
      </c>
      <c r="CD141" s="157">
        <v>4</v>
      </c>
      <c r="CE141" s="73">
        <v>0</v>
      </c>
    </row>
    <row r="142" spans="2:83" x14ac:dyDescent="0.3">
      <c r="B142" s="46">
        <v>27</v>
      </c>
      <c r="C142" s="47">
        <v>43286</v>
      </c>
      <c r="D142" s="155">
        <v>9</v>
      </c>
      <c r="E142" s="49">
        <v>1259</v>
      </c>
      <c r="F142" s="156">
        <v>284</v>
      </c>
      <c r="G142" s="51">
        <v>2.8746575342465754</v>
      </c>
      <c r="H142" s="52">
        <v>4.6529933481152996</v>
      </c>
      <c r="I142" s="53">
        <v>902</v>
      </c>
      <c r="J142" s="54">
        <v>1460</v>
      </c>
      <c r="K142" s="54">
        <v>4197</v>
      </c>
      <c r="L142" s="55">
        <v>4014.3</v>
      </c>
      <c r="M142" s="56">
        <v>399.35199999999998</v>
      </c>
      <c r="N142" s="57">
        <v>629.54999999999995</v>
      </c>
      <c r="O142" s="58">
        <v>531.05000000000007</v>
      </c>
      <c r="P142" s="59">
        <v>7.9032106204688812</v>
      </c>
      <c r="Q142" s="60">
        <v>666.38</v>
      </c>
      <c r="R142" s="61">
        <v>6.2982082295387016</v>
      </c>
      <c r="S142" s="48"/>
      <c r="T142" s="50"/>
      <c r="U142" s="49">
        <v>0</v>
      </c>
      <c r="V142" s="49">
        <v>104</v>
      </c>
      <c r="W142" s="156">
        <v>125</v>
      </c>
      <c r="X142" s="80">
        <v>48</v>
      </c>
      <c r="Y142" s="70">
        <v>199</v>
      </c>
      <c r="Z142" s="70">
        <v>113</v>
      </c>
      <c r="AA142" s="65">
        <v>518.70000000000005</v>
      </c>
      <c r="AB142" s="65">
        <v>146.37299999999999</v>
      </c>
      <c r="AC142" s="66"/>
      <c r="AD142" s="67"/>
      <c r="AE142" s="68"/>
      <c r="AF142" s="80">
        <v>76</v>
      </c>
      <c r="AG142" s="70">
        <v>126</v>
      </c>
      <c r="AH142" s="70">
        <v>55</v>
      </c>
      <c r="AI142" s="157">
        <v>38</v>
      </c>
      <c r="AJ142" s="157">
        <v>43</v>
      </c>
      <c r="AK142" s="157">
        <v>97</v>
      </c>
      <c r="AL142" s="157">
        <v>73</v>
      </c>
      <c r="AM142" s="157">
        <v>76</v>
      </c>
      <c r="AN142" s="157">
        <v>178</v>
      </c>
      <c r="AO142" s="157">
        <v>142</v>
      </c>
      <c r="AP142" s="70">
        <v>171</v>
      </c>
      <c r="AQ142" s="70">
        <v>144</v>
      </c>
      <c r="AR142" s="63"/>
      <c r="AS142" s="63"/>
      <c r="AT142" s="63"/>
      <c r="AU142" s="63"/>
      <c r="AV142" s="63"/>
      <c r="AW142" s="50"/>
      <c r="AX142" s="69">
        <v>4050</v>
      </c>
      <c r="AY142" s="69">
        <v>22044</v>
      </c>
      <c r="AZ142" s="54">
        <v>1128</v>
      </c>
      <c r="BA142" s="54">
        <v>3570</v>
      </c>
      <c r="BB142" s="54">
        <v>78</v>
      </c>
      <c r="BC142" s="54">
        <v>244</v>
      </c>
      <c r="BD142" s="54">
        <v>977</v>
      </c>
      <c r="BE142" s="70">
        <v>685</v>
      </c>
      <c r="BF142" s="63"/>
      <c r="BG142" s="71">
        <v>1122</v>
      </c>
      <c r="BH142" s="67"/>
      <c r="BI142" s="68"/>
      <c r="BJ142" s="72">
        <v>1067</v>
      </c>
      <c r="BK142" s="62"/>
      <c r="BL142" s="70">
        <v>1574</v>
      </c>
      <c r="BM142" s="70">
        <v>88</v>
      </c>
      <c r="BN142" s="70">
        <v>196</v>
      </c>
      <c r="BO142" s="70">
        <v>749</v>
      </c>
      <c r="BP142" s="73">
        <v>34</v>
      </c>
      <c r="BQ142" s="152">
        <v>440</v>
      </c>
      <c r="BR142" s="153">
        <v>222</v>
      </c>
      <c r="BS142" s="154">
        <v>80</v>
      </c>
      <c r="BT142" s="76">
        <v>63.351955307262571</v>
      </c>
      <c r="BU142" s="77">
        <v>36.648044692737429</v>
      </c>
      <c r="BV142" s="78">
        <v>567</v>
      </c>
      <c r="BW142" s="79">
        <v>328</v>
      </c>
      <c r="BX142" s="69">
        <v>370</v>
      </c>
      <c r="BY142" s="157">
        <v>67</v>
      </c>
      <c r="BZ142" s="157">
        <v>168</v>
      </c>
      <c r="CA142" s="157">
        <v>130</v>
      </c>
      <c r="CB142" s="157">
        <v>23</v>
      </c>
      <c r="CC142" s="157">
        <v>130</v>
      </c>
      <c r="CD142" s="157">
        <v>7</v>
      </c>
      <c r="CE142" s="73">
        <v>0</v>
      </c>
    </row>
    <row r="143" spans="2:83" x14ac:dyDescent="0.3">
      <c r="B143" s="46">
        <v>27</v>
      </c>
      <c r="C143" s="47">
        <v>43287</v>
      </c>
      <c r="D143" s="155">
        <v>47</v>
      </c>
      <c r="E143" s="49">
        <v>1311</v>
      </c>
      <c r="F143" s="156">
        <v>309</v>
      </c>
      <c r="G143" s="51">
        <v>4.8150965476887064</v>
      </c>
      <c r="H143" s="52">
        <v>8.1962151394422307</v>
      </c>
      <c r="I143" s="53">
        <v>1004</v>
      </c>
      <c r="J143" s="54">
        <v>1709</v>
      </c>
      <c r="K143" s="54">
        <v>8229</v>
      </c>
      <c r="L143" s="55">
        <v>12121.5</v>
      </c>
      <c r="M143" s="56">
        <v>665.928</v>
      </c>
      <c r="N143" s="57">
        <v>1234.3499999999999</v>
      </c>
      <c r="O143" s="58">
        <v>557.83000000000004</v>
      </c>
      <c r="P143" s="59">
        <v>14.751806105802842</v>
      </c>
      <c r="Q143" s="60">
        <v>701.49</v>
      </c>
      <c r="R143" s="61">
        <v>11.730744558012232</v>
      </c>
      <c r="S143" s="48"/>
      <c r="T143" s="50"/>
      <c r="U143" s="49">
        <v>0</v>
      </c>
      <c r="V143" s="49">
        <v>150</v>
      </c>
      <c r="W143" s="156">
        <v>90</v>
      </c>
      <c r="X143" s="80">
        <v>81</v>
      </c>
      <c r="Y143" s="70">
        <v>269</v>
      </c>
      <c r="Z143" s="70">
        <v>255</v>
      </c>
      <c r="AA143" s="65">
        <v>3576.4</v>
      </c>
      <c r="AB143" s="65">
        <v>225.96199999999999</v>
      </c>
      <c r="AC143" s="66"/>
      <c r="AD143" s="67"/>
      <c r="AE143" s="68"/>
      <c r="AF143" s="80">
        <v>67</v>
      </c>
      <c r="AG143" s="70">
        <v>104</v>
      </c>
      <c r="AH143" s="70">
        <v>21</v>
      </c>
      <c r="AI143" s="157">
        <v>88</v>
      </c>
      <c r="AJ143" s="157">
        <v>45</v>
      </c>
      <c r="AK143" s="157">
        <v>134</v>
      </c>
      <c r="AL143" s="157">
        <v>70</v>
      </c>
      <c r="AM143" s="157">
        <v>60</v>
      </c>
      <c r="AN143" s="157">
        <v>224</v>
      </c>
      <c r="AO143" s="157">
        <v>105</v>
      </c>
      <c r="AP143" s="70">
        <v>244</v>
      </c>
      <c r="AQ143" s="70">
        <v>100</v>
      </c>
      <c r="AR143" s="63"/>
      <c r="AS143" s="63"/>
      <c r="AT143" s="63"/>
      <c r="AU143" s="63"/>
      <c r="AV143" s="63"/>
      <c r="AW143" s="50"/>
      <c r="AX143" s="69">
        <v>4888</v>
      </c>
      <c r="AY143" s="69">
        <v>18041</v>
      </c>
      <c r="AZ143" s="54">
        <v>66</v>
      </c>
      <c r="BA143" s="54">
        <v>250</v>
      </c>
      <c r="BB143" s="54">
        <v>579</v>
      </c>
      <c r="BC143" s="54">
        <v>1576</v>
      </c>
      <c r="BD143" s="54">
        <v>1018</v>
      </c>
      <c r="BE143" s="70">
        <v>994</v>
      </c>
      <c r="BF143" s="63"/>
      <c r="BG143" s="71">
        <v>1191</v>
      </c>
      <c r="BH143" s="67"/>
      <c r="BI143" s="68"/>
      <c r="BJ143" s="72">
        <v>1211</v>
      </c>
      <c r="BK143" s="62"/>
      <c r="BL143" s="70">
        <v>1645</v>
      </c>
      <c r="BM143" s="70">
        <v>65</v>
      </c>
      <c r="BN143" s="70">
        <v>116</v>
      </c>
      <c r="BO143" s="70">
        <v>1019</v>
      </c>
      <c r="BP143" s="73">
        <v>11</v>
      </c>
      <c r="BQ143" s="152">
        <v>482</v>
      </c>
      <c r="BR143" s="153">
        <v>299</v>
      </c>
      <c r="BS143" s="154">
        <v>70</v>
      </c>
      <c r="BT143" s="76">
        <v>73.552780930760505</v>
      </c>
      <c r="BU143" s="77">
        <v>26.447219069239502</v>
      </c>
      <c r="BV143" s="78">
        <v>648</v>
      </c>
      <c r="BW143" s="79">
        <v>233</v>
      </c>
      <c r="BX143" s="69">
        <v>371</v>
      </c>
      <c r="BY143" s="157">
        <v>99</v>
      </c>
      <c r="BZ143" s="157">
        <v>211</v>
      </c>
      <c r="CA143" s="157">
        <v>178</v>
      </c>
      <c r="CB143" s="157">
        <v>5</v>
      </c>
      <c r="CC143" s="157">
        <v>11</v>
      </c>
      <c r="CD143" s="157">
        <v>6</v>
      </c>
      <c r="CE143" s="73">
        <v>0</v>
      </c>
    </row>
    <row r="144" spans="2:83" x14ac:dyDescent="0.3">
      <c r="B144" s="46">
        <v>28</v>
      </c>
      <c r="C144" s="47">
        <v>43290</v>
      </c>
      <c r="D144" s="155">
        <v>6</v>
      </c>
      <c r="E144" s="49">
        <v>2346</v>
      </c>
      <c r="F144" s="156">
        <v>264</v>
      </c>
      <c r="G144" s="51">
        <v>2.5440453686200377</v>
      </c>
      <c r="H144" s="52">
        <v>3.5267295597484276</v>
      </c>
      <c r="I144" s="53">
        <v>1908</v>
      </c>
      <c r="J144" s="54">
        <v>2645</v>
      </c>
      <c r="K144" s="54">
        <v>6729</v>
      </c>
      <c r="L144" s="55">
        <v>6328.8</v>
      </c>
      <c r="M144" s="56">
        <v>513</v>
      </c>
      <c r="N144" s="57">
        <v>1009.35</v>
      </c>
      <c r="O144" s="58">
        <v>550.96</v>
      </c>
      <c r="P144" s="59">
        <v>12.213227820531435</v>
      </c>
      <c r="Q144" s="60">
        <v>685.63</v>
      </c>
      <c r="R144" s="61">
        <v>9.8143313448944767</v>
      </c>
      <c r="S144" s="48"/>
      <c r="T144" s="50"/>
      <c r="U144" s="49">
        <v>0</v>
      </c>
      <c r="V144" s="49">
        <v>185</v>
      </c>
      <c r="W144" s="156">
        <v>51</v>
      </c>
      <c r="X144" s="80">
        <v>67</v>
      </c>
      <c r="Y144" s="70">
        <v>210</v>
      </c>
      <c r="Z144" s="70">
        <v>333</v>
      </c>
      <c r="AA144" s="65">
        <v>641.79999999999995</v>
      </c>
      <c r="AB144" s="65">
        <v>108.574</v>
      </c>
      <c r="AC144" s="66"/>
      <c r="AD144" s="67"/>
      <c r="AE144" s="68"/>
      <c r="AF144" s="80">
        <v>180</v>
      </c>
      <c r="AG144" s="70">
        <v>280</v>
      </c>
      <c r="AH144" s="70">
        <v>90</v>
      </c>
      <c r="AI144" s="157">
        <v>114</v>
      </c>
      <c r="AJ144" s="157">
        <v>89</v>
      </c>
      <c r="AK144" s="157">
        <v>7</v>
      </c>
      <c r="AL144" s="157">
        <v>121</v>
      </c>
      <c r="AM144" s="157">
        <v>131</v>
      </c>
      <c r="AN144" s="157">
        <v>390</v>
      </c>
      <c r="AO144" s="157">
        <v>154</v>
      </c>
      <c r="AP144" s="70">
        <v>237</v>
      </c>
      <c r="AQ144" s="70">
        <v>236</v>
      </c>
      <c r="AR144" s="63"/>
      <c r="AS144" s="63"/>
      <c r="AT144" s="63"/>
      <c r="AU144" s="63"/>
      <c r="AV144" s="63"/>
      <c r="AW144" s="50"/>
      <c r="AX144" s="69">
        <v>3049</v>
      </c>
      <c r="AY144" s="69">
        <v>17361</v>
      </c>
      <c r="AZ144" s="54">
        <v>524</v>
      </c>
      <c r="BA144" s="54">
        <v>2445</v>
      </c>
      <c r="BB144" s="54">
        <v>94</v>
      </c>
      <c r="BC144" s="54">
        <v>237</v>
      </c>
      <c r="BD144" s="54">
        <v>1026</v>
      </c>
      <c r="BE144" s="70">
        <v>598</v>
      </c>
      <c r="BF144" s="63"/>
      <c r="BG144" s="71">
        <v>1196</v>
      </c>
      <c r="BH144" s="67"/>
      <c r="BI144" s="68"/>
      <c r="BJ144" s="72">
        <v>812</v>
      </c>
      <c r="BK144" s="62"/>
      <c r="BL144" s="70">
        <v>1562</v>
      </c>
      <c r="BM144" s="70">
        <v>77</v>
      </c>
      <c r="BN144" s="70">
        <v>181</v>
      </c>
      <c r="BO144" s="70">
        <v>552</v>
      </c>
      <c r="BP144" s="73">
        <v>2</v>
      </c>
      <c r="BQ144" s="152">
        <v>1071</v>
      </c>
      <c r="BR144" s="153">
        <v>405</v>
      </c>
      <c r="BS144" s="154">
        <v>46</v>
      </c>
      <c r="BT144" s="76">
        <v>68.813741277509394</v>
      </c>
      <c r="BU144" s="77">
        <v>31.186258722490606</v>
      </c>
      <c r="BV144" s="78">
        <v>1282</v>
      </c>
      <c r="BW144" s="79">
        <v>581</v>
      </c>
      <c r="BX144" s="69">
        <v>715</v>
      </c>
      <c r="BY144" s="157">
        <v>161</v>
      </c>
      <c r="BZ144" s="157">
        <v>252</v>
      </c>
      <c r="CA144" s="157">
        <v>406</v>
      </c>
      <c r="CB144" s="157">
        <v>8</v>
      </c>
      <c r="CC144" s="157">
        <v>277</v>
      </c>
      <c r="CD144" s="157">
        <v>4</v>
      </c>
      <c r="CE144" s="73">
        <v>40</v>
      </c>
    </row>
    <row r="145" spans="2:83" x14ac:dyDescent="0.3">
      <c r="B145" s="46">
        <v>28</v>
      </c>
      <c r="C145" s="47">
        <v>43291</v>
      </c>
      <c r="D145" s="48">
        <v>18</v>
      </c>
      <c r="E145" s="49">
        <v>1419</v>
      </c>
      <c r="F145" s="50">
        <v>332</v>
      </c>
      <c r="G145" s="51">
        <v>4.427884615384615</v>
      </c>
      <c r="H145" s="52">
        <v>6.8924228250701587</v>
      </c>
      <c r="I145" s="53">
        <v>1069</v>
      </c>
      <c r="J145" s="54">
        <v>1664</v>
      </c>
      <c r="K145" s="54">
        <v>7368</v>
      </c>
      <c r="L145" s="55">
        <v>4912</v>
      </c>
      <c r="M145" s="56">
        <v>450.55399999999997</v>
      </c>
      <c r="N145" s="57">
        <v>1105.2</v>
      </c>
      <c r="O145" s="58">
        <v>576.04999999999995</v>
      </c>
      <c r="P145" s="59">
        <v>12.790556375314644</v>
      </c>
      <c r="Q145" s="60">
        <v>708.1</v>
      </c>
      <c r="R145" s="61">
        <v>10.40530998446547</v>
      </c>
      <c r="S145" s="48"/>
      <c r="T145" s="50"/>
      <c r="U145" s="62">
        <v>0</v>
      </c>
      <c r="V145" s="63">
        <v>163</v>
      </c>
      <c r="W145" s="50">
        <v>62</v>
      </c>
      <c r="X145" s="48">
        <v>72</v>
      </c>
      <c r="Y145" s="63">
        <v>218</v>
      </c>
      <c r="Z145" s="63">
        <v>357</v>
      </c>
      <c r="AA145" s="64">
        <v>653</v>
      </c>
      <c r="AB145" s="65">
        <v>109.86799999999999</v>
      </c>
      <c r="AC145" s="66"/>
      <c r="AD145" s="67"/>
      <c r="AE145" s="68"/>
      <c r="AF145" s="48">
        <v>87</v>
      </c>
      <c r="AG145" s="63">
        <v>142</v>
      </c>
      <c r="AH145" s="63">
        <v>36</v>
      </c>
      <c r="AI145" s="63">
        <v>44</v>
      </c>
      <c r="AJ145" s="63">
        <v>40</v>
      </c>
      <c r="AK145" s="63">
        <v>120</v>
      </c>
      <c r="AL145" s="63">
        <v>93</v>
      </c>
      <c r="AM145" s="63">
        <v>61</v>
      </c>
      <c r="AN145" s="63">
        <v>238</v>
      </c>
      <c r="AO145" s="63">
        <v>137</v>
      </c>
      <c r="AP145" s="63">
        <v>263</v>
      </c>
      <c r="AQ145" s="63">
        <v>136</v>
      </c>
      <c r="AR145" s="63">
        <v>10</v>
      </c>
      <c r="AS145" s="63">
        <v>0</v>
      </c>
      <c r="AT145" s="63">
        <v>1</v>
      </c>
      <c r="AU145" s="63">
        <v>76</v>
      </c>
      <c r="AV145" s="63">
        <v>225</v>
      </c>
      <c r="AW145" s="50">
        <v>28</v>
      </c>
      <c r="AX145" s="69">
        <v>3802</v>
      </c>
      <c r="AY145" s="69">
        <v>17309</v>
      </c>
      <c r="AZ145" s="54">
        <v>1233</v>
      </c>
      <c r="BA145" s="54">
        <v>6698</v>
      </c>
      <c r="BB145" s="54">
        <v>97</v>
      </c>
      <c r="BC145" s="54">
        <v>205</v>
      </c>
      <c r="BD145" s="54">
        <v>868</v>
      </c>
      <c r="BE145" s="70">
        <v>1268</v>
      </c>
      <c r="BF145" s="63">
        <v>181</v>
      </c>
      <c r="BG145" s="71">
        <v>2317</v>
      </c>
      <c r="BH145" s="67"/>
      <c r="BI145" s="68"/>
      <c r="BJ145" s="72">
        <v>1789</v>
      </c>
      <c r="BK145" s="62"/>
      <c r="BL145" s="70">
        <v>2780</v>
      </c>
      <c r="BM145" s="70">
        <v>278</v>
      </c>
      <c r="BN145" s="70">
        <v>246</v>
      </c>
      <c r="BO145" s="70">
        <v>1251</v>
      </c>
      <c r="BP145" s="73">
        <v>14</v>
      </c>
      <c r="BQ145" s="74">
        <v>440</v>
      </c>
      <c r="BR145" s="54">
        <v>242</v>
      </c>
      <c r="BS145" s="75">
        <v>103</v>
      </c>
      <c r="BT145" s="76">
        <v>56.980056980056979</v>
      </c>
      <c r="BU145" s="77">
        <v>43.019943019943021</v>
      </c>
      <c r="BV145" s="78">
        <v>600</v>
      </c>
      <c r="BW145" s="79">
        <v>453</v>
      </c>
      <c r="BX145" s="69">
        <v>324</v>
      </c>
      <c r="BY145" s="70">
        <v>71</v>
      </c>
      <c r="BZ145" s="70">
        <v>186</v>
      </c>
      <c r="CA145" s="70">
        <v>205</v>
      </c>
      <c r="CB145" s="70">
        <v>14</v>
      </c>
      <c r="CC145" s="70">
        <v>249</v>
      </c>
      <c r="CD145" s="70">
        <v>3</v>
      </c>
      <c r="CE145" s="73">
        <v>1</v>
      </c>
    </row>
    <row r="146" spans="2:83" x14ac:dyDescent="0.3">
      <c r="B146" s="46">
        <v>28</v>
      </c>
      <c r="C146" s="47">
        <v>43292</v>
      </c>
      <c r="D146" s="48">
        <v>13</v>
      </c>
      <c r="E146" s="49">
        <v>1876</v>
      </c>
      <c r="F146" s="50">
        <v>258</v>
      </c>
      <c r="G146" s="51">
        <v>3.5151921358355676</v>
      </c>
      <c r="H146" s="52">
        <v>5.8274074074074074</v>
      </c>
      <c r="I146" s="53">
        <v>1350</v>
      </c>
      <c r="J146" s="54">
        <v>2238</v>
      </c>
      <c r="K146" s="54">
        <v>7867</v>
      </c>
      <c r="L146" s="55">
        <v>5511</v>
      </c>
      <c r="M146" s="56">
        <v>643</v>
      </c>
      <c r="N146" s="57">
        <v>1180.05</v>
      </c>
      <c r="O146" s="58">
        <v>585.44000000000005</v>
      </c>
      <c r="P146" s="59">
        <v>13.437756217545775</v>
      </c>
      <c r="Q146" s="60">
        <v>719.97</v>
      </c>
      <c r="R146" s="61">
        <v>10.926844174062808</v>
      </c>
      <c r="S146" s="48"/>
      <c r="T146" s="50"/>
      <c r="U146" s="62">
        <v>0</v>
      </c>
      <c r="V146" s="63">
        <v>189</v>
      </c>
      <c r="W146" s="50">
        <v>30</v>
      </c>
      <c r="X146" s="48">
        <v>88</v>
      </c>
      <c r="Y146" s="63">
        <v>219</v>
      </c>
      <c r="Z146" s="63">
        <v>293</v>
      </c>
      <c r="AA146" s="64">
        <v>735.4</v>
      </c>
      <c r="AB146" s="65">
        <v>60.283000000000001</v>
      </c>
      <c r="AC146" s="66"/>
      <c r="AD146" s="67"/>
      <c r="AE146" s="68"/>
      <c r="AF146" s="48">
        <v>99</v>
      </c>
      <c r="AG146" s="63">
        <v>138</v>
      </c>
      <c r="AH146" s="63">
        <v>55</v>
      </c>
      <c r="AI146" s="63">
        <v>99</v>
      </c>
      <c r="AJ146" s="63">
        <v>79</v>
      </c>
      <c r="AK146" s="63">
        <v>149</v>
      </c>
      <c r="AL146" s="63">
        <v>118</v>
      </c>
      <c r="AM146" s="63">
        <v>120</v>
      </c>
      <c r="AN146" s="63">
        <v>345</v>
      </c>
      <c r="AO146" s="63">
        <v>215</v>
      </c>
      <c r="AP146" s="63">
        <v>249</v>
      </c>
      <c r="AQ146" s="63">
        <v>179</v>
      </c>
      <c r="AR146" s="63">
        <v>2</v>
      </c>
      <c r="AS146" s="63">
        <v>1</v>
      </c>
      <c r="AT146" s="63">
        <v>6</v>
      </c>
      <c r="AU146" s="63">
        <v>63</v>
      </c>
      <c r="AV146" s="63">
        <v>181</v>
      </c>
      <c r="AW146" s="50">
        <v>14</v>
      </c>
      <c r="AX146" s="69">
        <v>3895</v>
      </c>
      <c r="AY146" s="69">
        <v>16896</v>
      </c>
      <c r="AZ146" s="54">
        <v>1197</v>
      </c>
      <c r="BA146" s="54">
        <v>3314</v>
      </c>
      <c r="BB146" s="54">
        <v>239</v>
      </c>
      <c r="BC146" s="54">
        <v>542</v>
      </c>
      <c r="BD146" s="54">
        <v>906</v>
      </c>
      <c r="BE146" s="70">
        <v>1667</v>
      </c>
      <c r="BF146" s="63">
        <v>278</v>
      </c>
      <c r="BG146" s="71">
        <v>2851</v>
      </c>
      <c r="BH146" s="67"/>
      <c r="BI146" s="68"/>
      <c r="BJ146" s="72">
        <v>1525</v>
      </c>
      <c r="BK146" s="62"/>
      <c r="BL146" s="70">
        <v>2387</v>
      </c>
      <c r="BM146" s="70">
        <v>137</v>
      </c>
      <c r="BN146" s="70">
        <v>149</v>
      </c>
      <c r="BO146" s="70">
        <v>1223</v>
      </c>
      <c r="BP146" s="73">
        <v>16</v>
      </c>
      <c r="BQ146" s="74">
        <v>541</v>
      </c>
      <c r="BR146" s="54">
        <v>397</v>
      </c>
      <c r="BS146" s="75">
        <v>86</v>
      </c>
      <c r="BT146" s="76">
        <v>60.26986506746627</v>
      </c>
      <c r="BU146" s="77">
        <v>39.73013493253373</v>
      </c>
      <c r="BV146" s="78">
        <v>804</v>
      </c>
      <c r="BW146" s="79">
        <v>530</v>
      </c>
      <c r="BX146" s="69">
        <v>468</v>
      </c>
      <c r="BY146" s="70">
        <v>148</v>
      </c>
      <c r="BZ146" s="70">
        <v>245</v>
      </c>
      <c r="CA146" s="70">
        <v>188</v>
      </c>
      <c r="CB146" s="70">
        <v>13</v>
      </c>
      <c r="CC146" s="70">
        <v>260</v>
      </c>
      <c r="CD146" s="70">
        <v>8</v>
      </c>
      <c r="CE146" s="73">
        <v>4</v>
      </c>
    </row>
    <row r="147" spans="2:83" x14ac:dyDescent="0.3">
      <c r="B147" s="46">
        <v>28</v>
      </c>
      <c r="C147" s="47">
        <v>43293</v>
      </c>
      <c r="D147" s="48">
        <v>44</v>
      </c>
      <c r="E147" s="49">
        <v>2106</v>
      </c>
      <c r="F147" s="50">
        <v>334</v>
      </c>
      <c r="G147" s="51">
        <v>2.8811921063229962</v>
      </c>
      <c r="H147" s="52">
        <v>4.8240053944706673</v>
      </c>
      <c r="I147" s="53">
        <v>1483</v>
      </c>
      <c r="J147" s="54">
        <v>2483</v>
      </c>
      <c r="K147" s="54">
        <v>7154</v>
      </c>
      <c r="L147" s="55">
        <v>6048.5</v>
      </c>
      <c r="M147" s="56">
        <v>500</v>
      </c>
      <c r="N147" s="57">
        <v>1073.0999999999999</v>
      </c>
      <c r="O147" s="58">
        <v>563.39</v>
      </c>
      <c r="P147" s="59">
        <v>12.698130957240988</v>
      </c>
      <c r="Q147" s="60">
        <v>699.17</v>
      </c>
      <c r="R147" s="61">
        <v>10.232132385542858</v>
      </c>
      <c r="S147" s="48"/>
      <c r="T147" s="50"/>
      <c r="U147" s="62">
        <v>0</v>
      </c>
      <c r="V147" s="63">
        <v>34</v>
      </c>
      <c r="W147" s="50">
        <v>112</v>
      </c>
      <c r="X147" s="48">
        <v>104</v>
      </c>
      <c r="Y147" s="63">
        <v>123</v>
      </c>
      <c r="Z147" s="63">
        <v>216</v>
      </c>
      <c r="AA147" s="64">
        <v>817.7</v>
      </c>
      <c r="AB147" s="65">
        <v>101.423</v>
      </c>
      <c r="AC147" s="66"/>
      <c r="AD147" s="67"/>
      <c r="AE147" s="68"/>
      <c r="AF147" s="48">
        <v>109</v>
      </c>
      <c r="AG147" s="63">
        <v>476</v>
      </c>
      <c r="AH147" s="63">
        <v>29</v>
      </c>
      <c r="AI147" s="63">
        <v>46</v>
      </c>
      <c r="AJ147" s="63">
        <v>38</v>
      </c>
      <c r="AK147" s="63">
        <v>130</v>
      </c>
      <c r="AL147" s="63">
        <v>82</v>
      </c>
      <c r="AM147" s="63">
        <v>90</v>
      </c>
      <c r="AN147" s="63">
        <v>273</v>
      </c>
      <c r="AO147" s="63">
        <v>163</v>
      </c>
      <c r="AP147" s="63">
        <v>121</v>
      </c>
      <c r="AQ147" s="63">
        <v>528</v>
      </c>
      <c r="AR147" s="63">
        <v>3</v>
      </c>
      <c r="AS147" s="63">
        <v>1</v>
      </c>
      <c r="AT147" s="63">
        <v>5</v>
      </c>
      <c r="AU147" s="63">
        <v>59</v>
      </c>
      <c r="AV147" s="63">
        <v>261</v>
      </c>
      <c r="AW147" s="50">
        <v>14</v>
      </c>
      <c r="AX147" s="69">
        <v>3025</v>
      </c>
      <c r="AY147" s="69">
        <v>15115</v>
      </c>
      <c r="AZ147" s="54">
        <v>1207</v>
      </c>
      <c r="BA147" s="54">
        <v>5368</v>
      </c>
      <c r="BB147" s="54">
        <v>8</v>
      </c>
      <c r="BC147" s="54">
        <v>22</v>
      </c>
      <c r="BD147" s="54">
        <v>1036</v>
      </c>
      <c r="BE147" s="70">
        <v>1438</v>
      </c>
      <c r="BF147" s="63">
        <v>105</v>
      </c>
      <c r="BG147" s="71">
        <v>2579</v>
      </c>
      <c r="BH147" s="67"/>
      <c r="BI147" s="68"/>
      <c r="BJ147" s="72">
        <v>1524</v>
      </c>
      <c r="BK147" s="62"/>
      <c r="BL147" s="70">
        <v>2248</v>
      </c>
      <c r="BM147" s="70">
        <v>288</v>
      </c>
      <c r="BN147" s="70">
        <v>121</v>
      </c>
      <c r="BO147" s="70">
        <v>1074</v>
      </c>
      <c r="BP147" s="73">
        <v>41</v>
      </c>
      <c r="BQ147" s="74">
        <v>435</v>
      </c>
      <c r="BR147" s="54">
        <v>645</v>
      </c>
      <c r="BS147" s="75">
        <v>69</v>
      </c>
      <c r="BT147" s="76">
        <v>40.041067761806978</v>
      </c>
      <c r="BU147" s="77">
        <v>59.958932238193022</v>
      </c>
      <c r="BV147" s="78">
        <v>585</v>
      </c>
      <c r="BW147" s="79">
        <v>876</v>
      </c>
      <c r="BX147" s="69">
        <v>315</v>
      </c>
      <c r="BY147" s="70">
        <v>102</v>
      </c>
      <c r="BZ147" s="70">
        <v>559</v>
      </c>
      <c r="CA147" s="70">
        <v>168</v>
      </c>
      <c r="CB147" s="70">
        <v>7</v>
      </c>
      <c r="CC147" s="70">
        <v>281</v>
      </c>
      <c r="CD147" s="70">
        <v>5</v>
      </c>
      <c r="CE147" s="73">
        <v>24</v>
      </c>
    </row>
    <row r="148" spans="2:83" x14ac:dyDescent="0.3">
      <c r="B148" s="46">
        <v>28</v>
      </c>
      <c r="C148" s="47">
        <v>43294</v>
      </c>
      <c r="D148" s="48">
        <v>34</v>
      </c>
      <c r="E148" s="49">
        <v>1662</v>
      </c>
      <c r="F148" s="50">
        <v>302</v>
      </c>
      <c r="G148" s="51">
        <v>4.2256809338521402</v>
      </c>
      <c r="H148" s="52">
        <v>7.2039800995024876</v>
      </c>
      <c r="I148" s="53">
        <v>1206</v>
      </c>
      <c r="J148" s="54">
        <v>2056</v>
      </c>
      <c r="K148" s="54">
        <v>8688</v>
      </c>
      <c r="L148" s="55">
        <v>8223.2999999999993</v>
      </c>
      <c r="M148" s="56">
        <v>630</v>
      </c>
      <c r="N148" s="57">
        <v>1303.2</v>
      </c>
      <c r="O148" s="58">
        <v>578.02</v>
      </c>
      <c r="P148" s="59">
        <v>15.030621777793156</v>
      </c>
      <c r="Q148" s="60">
        <v>712.62</v>
      </c>
      <c r="R148" s="61">
        <v>12.191630883219668</v>
      </c>
      <c r="S148" s="48"/>
      <c r="T148" s="50"/>
      <c r="U148" s="62">
        <v>0</v>
      </c>
      <c r="V148" s="63">
        <v>85</v>
      </c>
      <c r="W148" s="50">
        <v>98</v>
      </c>
      <c r="X148" s="48">
        <v>77</v>
      </c>
      <c r="Y148" s="63">
        <v>208</v>
      </c>
      <c r="Z148" s="63">
        <v>630</v>
      </c>
      <c r="AA148" s="64">
        <v>1219.0999999999999</v>
      </c>
      <c r="AB148" s="65">
        <v>171.80799999999999</v>
      </c>
      <c r="AC148" s="66"/>
      <c r="AD148" s="67"/>
      <c r="AE148" s="68"/>
      <c r="AF148" s="48">
        <v>83</v>
      </c>
      <c r="AG148" s="63">
        <v>187</v>
      </c>
      <c r="AH148" s="63">
        <v>25</v>
      </c>
      <c r="AI148" s="63">
        <v>46</v>
      </c>
      <c r="AJ148" s="63">
        <v>42</v>
      </c>
      <c r="AK148" s="63">
        <v>140</v>
      </c>
      <c r="AL148" s="63">
        <v>107</v>
      </c>
      <c r="AM148" s="63">
        <v>86</v>
      </c>
      <c r="AN148" s="63">
        <v>372</v>
      </c>
      <c r="AO148" s="63">
        <v>164</v>
      </c>
      <c r="AP148" s="63">
        <v>146</v>
      </c>
      <c r="AQ148" s="63">
        <v>257</v>
      </c>
      <c r="AR148" s="63">
        <v>1</v>
      </c>
      <c r="AS148" s="63">
        <v>0</v>
      </c>
      <c r="AT148" s="63">
        <v>2</v>
      </c>
      <c r="AU148" s="63">
        <v>57</v>
      </c>
      <c r="AV148" s="63">
        <v>233</v>
      </c>
      <c r="AW148" s="50">
        <v>11</v>
      </c>
      <c r="AX148" s="69">
        <v>4861</v>
      </c>
      <c r="AY148" s="69">
        <v>20341</v>
      </c>
      <c r="AZ148" s="54">
        <v>1572</v>
      </c>
      <c r="BA148" s="54">
        <v>6752</v>
      </c>
      <c r="BB148" s="54">
        <v>407</v>
      </c>
      <c r="BC148" s="54">
        <v>896</v>
      </c>
      <c r="BD148" s="54">
        <v>1385</v>
      </c>
      <c r="BE148" s="70">
        <v>1534</v>
      </c>
      <c r="BF148" s="63">
        <v>295</v>
      </c>
      <c r="BG148" s="71">
        <v>3214</v>
      </c>
      <c r="BH148" s="67"/>
      <c r="BI148" s="68"/>
      <c r="BJ148" s="72">
        <v>1662</v>
      </c>
      <c r="BK148" s="62"/>
      <c r="BL148" s="70">
        <v>2569</v>
      </c>
      <c r="BM148" s="70">
        <v>201</v>
      </c>
      <c r="BN148" s="70">
        <v>172</v>
      </c>
      <c r="BO148" s="70">
        <v>1275</v>
      </c>
      <c r="BP148" s="73">
        <v>14</v>
      </c>
      <c r="BQ148" s="74">
        <v>402</v>
      </c>
      <c r="BR148" s="54">
        <v>573</v>
      </c>
      <c r="BS148" s="75">
        <v>76</v>
      </c>
      <c r="BT148" s="76">
        <v>50.675675675675677</v>
      </c>
      <c r="BU148" s="77">
        <v>49.324324324324323</v>
      </c>
      <c r="BV148" s="78">
        <v>600</v>
      </c>
      <c r="BW148" s="79">
        <v>584</v>
      </c>
      <c r="BX148" s="69">
        <v>317</v>
      </c>
      <c r="BY148" s="70">
        <v>138</v>
      </c>
      <c r="BZ148" s="70">
        <v>442</v>
      </c>
      <c r="CA148" s="70">
        <v>145</v>
      </c>
      <c r="CB148" s="70">
        <v>3</v>
      </c>
      <c r="CC148" s="70">
        <v>130</v>
      </c>
      <c r="CD148" s="70">
        <v>9</v>
      </c>
      <c r="CE148" s="73">
        <v>0</v>
      </c>
    </row>
    <row r="149" spans="2:83" x14ac:dyDescent="0.3">
      <c r="B149" s="46">
        <v>29</v>
      </c>
      <c r="C149" s="47">
        <v>43297</v>
      </c>
      <c r="D149" s="48">
        <v>8</v>
      </c>
      <c r="E149" s="49">
        <v>2414</v>
      </c>
      <c r="F149" s="50">
        <v>230</v>
      </c>
      <c r="G149" s="51">
        <v>2.2892156862745097</v>
      </c>
      <c r="H149" s="52">
        <v>3.1342281879194629</v>
      </c>
      <c r="I149" s="53">
        <v>1937</v>
      </c>
      <c r="J149" s="54">
        <v>2652</v>
      </c>
      <c r="K149" s="54">
        <v>6071</v>
      </c>
      <c r="L149" s="55">
        <v>5400.7</v>
      </c>
      <c r="M149" s="56">
        <v>435.18299999999999</v>
      </c>
      <c r="N149" s="57">
        <v>910.65</v>
      </c>
      <c r="O149" s="58">
        <v>549.83000000000004</v>
      </c>
      <c r="P149" s="59">
        <v>11.04159467471764</v>
      </c>
      <c r="Q149" s="60">
        <v>676.69</v>
      </c>
      <c r="R149" s="61">
        <v>8.9716118163413086</v>
      </c>
      <c r="S149" s="48"/>
      <c r="T149" s="50"/>
      <c r="U149" s="62">
        <v>0</v>
      </c>
      <c r="V149" s="63">
        <v>60</v>
      </c>
      <c r="W149" s="50">
        <v>29</v>
      </c>
      <c r="X149" s="48">
        <v>18</v>
      </c>
      <c r="Y149" s="63">
        <v>76</v>
      </c>
      <c r="Z149" s="63">
        <v>245</v>
      </c>
      <c r="AA149" s="64">
        <v>347</v>
      </c>
      <c r="AB149" s="65">
        <v>21.015000000000001</v>
      </c>
      <c r="AC149" s="66"/>
      <c r="AD149" s="67"/>
      <c r="AE149" s="68"/>
      <c r="AF149" s="48">
        <v>173</v>
      </c>
      <c r="AG149" s="63">
        <v>350</v>
      </c>
      <c r="AH149" s="63">
        <v>43</v>
      </c>
      <c r="AI149" s="63">
        <v>103</v>
      </c>
      <c r="AJ149" s="63">
        <v>85</v>
      </c>
      <c r="AK149" s="63">
        <v>279</v>
      </c>
      <c r="AL149" s="63">
        <v>151</v>
      </c>
      <c r="AM149" s="63">
        <v>99</v>
      </c>
      <c r="AN149" s="63">
        <v>423</v>
      </c>
      <c r="AO149" s="63">
        <v>168</v>
      </c>
      <c r="AP149" s="63">
        <v>155</v>
      </c>
      <c r="AQ149" s="63">
        <v>345</v>
      </c>
      <c r="AR149" s="63">
        <v>8</v>
      </c>
      <c r="AS149" s="63">
        <v>8</v>
      </c>
      <c r="AT149" s="63">
        <v>22</v>
      </c>
      <c r="AU149" s="63">
        <v>46</v>
      </c>
      <c r="AV149" s="63">
        <v>172</v>
      </c>
      <c r="AW149" s="50">
        <v>12</v>
      </c>
      <c r="AX149" s="69">
        <v>3091</v>
      </c>
      <c r="AY149" s="69">
        <v>16953</v>
      </c>
      <c r="AZ149" s="54">
        <v>710</v>
      </c>
      <c r="BA149" s="54">
        <v>1738</v>
      </c>
      <c r="BB149" s="54">
        <v>95</v>
      </c>
      <c r="BC149" s="54">
        <v>150</v>
      </c>
      <c r="BD149" s="54">
        <v>1085</v>
      </c>
      <c r="BE149" s="70">
        <v>1292</v>
      </c>
      <c r="BF149" s="63">
        <v>301</v>
      </c>
      <c r="BG149" s="71">
        <v>2678</v>
      </c>
      <c r="BH149" s="67"/>
      <c r="BI149" s="68"/>
      <c r="BJ149" s="72">
        <v>1805</v>
      </c>
      <c r="BK149" s="62"/>
      <c r="BL149" s="70">
        <v>2477</v>
      </c>
      <c r="BM149" s="70">
        <v>256</v>
      </c>
      <c r="BN149" s="70">
        <v>126</v>
      </c>
      <c r="BO149" s="70">
        <v>1410</v>
      </c>
      <c r="BP149" s="73">
        <v>13</v>
      </c>
      <c r="BQ149" s="74">
        <v>967</v>
      </c>
      <c r="BR149" s="54">
        <v>588</v>
      </c>
      <c r="BS149" s="75">
        <v>87</v>
      </c>
      <c r="BT149" s="76">
        <v>61.275272161741832</v>
      </c>
      <c r="BU149" s="77">
        <v>38.724727838258168</v>
      </c>
      <c r="BV149" s="78">
        <v>1182</v>
      </c>
      <c r="BW149" s="79">
        <v>747</v>
      </c>
      <c r="BX149" s="69">
        <v>690</v>
      </c>
      <c r="BY149" s="70">
        <v>137</v>
      </c>
      <c r="BZ149" s="70">
        <v>487</v>
      </c>
      <c r="CA149" s="70">
        <v>355</v>
      </c>
      <c r="CB149" s="70">
        <v>5</v>
      </c>
      <c r="CC149" s="70">
        <v>193</v>
      </c>
      <c r="CD149" s="70">
        <v>11</v>
      </c>
      <c r="CE149" s="73">
        <v>51</v>
      </c>
    </row>
    <row r="150" spans="2:83" x14ac:dyDescent="0.3">
      <c r="B150" s="46">
        <v>29</v>
      </c>
      <c r="C150" s="47">
        <v>43298</v>
      </c>
      <c r="D150" s="48">
        <v>23</v>
      </c>
      <c r="E150" s="49">
        <v>1471</v>
      </c>
      <c r="F150" s="50">
        <v>261</v>
      </c>
      <c r="G150" s="51">
        <v>3.5920227920227918</v>
      </c>
      <c r="H150" s="52">
        <v>5.235880398671096</v>
      </c>
      <c r="I150" s="53">
        <v>1204</v>
      </c>
      <c r="J150" s="54">
        <v>1755</v>
      </c>
      <c r="K150" s="54">
        <v>6304</v>
      </c>
      <c r="L150" s="55">
        <v>5205.1000000000004</v>
      </c>
      <c r="M150" s="56">
        <v>430.5</v>
      </c>
      <c r="N150" s="57">
        <v>945.6</v>
      </c>
      <c r="O150" s="58">
        <v>517.29</v>
      </c>
      <c r="P150" s="59">
        <v>12.18658779408069</v>
      </c>
      <c r="Q150" s="60">
        <v>658.03</v>
      </c>
      <c r="R150" s="61">
        <v>9.5801103293162928</v>
      </c>
      <c r="S150" s="48"/>
      <c r="T150" s="50"/>
      <c r="U150" s="62">
        <v>0</v>
      </c>
      <c r="V150" s="63">
        <v>100</v>
      </c>
      <c r="W150" s="50">
        <v>42</v>
      </c>
      <c r="X150" s="48">
        <v>54</v>
      </c>
      <c r="Y150" s="63">
        <v>153</v>
      </c>
      <c r="Z150" s="63">
        <v>324</v>
      </c>
      <c r="AA150" s="64">
        <v>902.3</v>
      </c>
      <c r="AB150" s="65">
        <v>64.8</v>
      </c>
      <c r="AC150" s="66"/>
      <c r="AD150" s="67"/>
      <c r="AE150" s="68"/>
      <c r="AF150" s="48">
        <v>101</v>
      </c>
      <c r="AG150" s="63">
        <v>190</v>
      </c>
      <c r="AH150" s="63">
        <v>38</v>
      </c>
      <c r="AI150" s="63">
        <v>55</v>
      </c>
      <c r="AJ150" s="63">
        <v>40</v>
      </c>
      <c r="AK150" s="63">
        <v>180</v>
      </c>
      <c r="AL150" s="63">
        <v>88</v>
      </c>
      <c r="AM150" s="63">
        <v>61</v>
      </c>
      <c r="AN150" s="63">
        <v>241</v>
      </c>
      <c r="AO150" s="63">
        <v>104</v>
      </c>
      <c r="AP150" s="63">
        <v>129</v>
      </c>
      <c r="AQ150" s="63">
        <v>211</v>
      </c>
      <c r="AR150" s="63">
        <v>3</v>
      </c>
      <c r="AS150" s="63">
        <v>1</v>
      </c>
      <c r="AT150" s="63">
        <v>9</v>
      </c>
      <c r="AU150" s="63">
        <v>39</v>
      </c>
      <c r="AV150" s="63">
        <v>213</v>
      </c>
      <c r="AW150" s="50">
        <v>7</v>
      </c>
      <c r="AX150" s="69">
        <v>2484</v>
      </c>
      <c r="AY150" s="69">
        <v>16960</v>
      </c>
      <c r="AZ150" s="54">
        <v>1477</v>
      </c>
      <c r="BA150" s="54">
        <v>5118</v>
      </c>
      <c r="BB150" s="54">
        <v>46</v>
      </c>
      <c r="BC150" s="54">
        <v>130</v>
      </c>
      <c r="BD150" s="54">
        <v>682</v>
      </c>
      <c r="BE150" s="70">
        <v>1638</v>
      </c>
      <c r="BF150" s="63">
        <v>197</v>
      </c>
      <c r="BG150" s="71">
        <v>2517</v>
      </c>
      <c r="BH150" s="67"/>
      <c r="BI150" s="68"/>
      <c r="BJ150" s="72">
        <v>1612</v>
      </c>
      <c r="BK150" s="62"/>
      <c r="BL150" s="70">
        <v>1650</v>
      </c>
      <c r="BM150" s="70">
        <v>359</v>
      </c>
      <c r="BN150" s="70">
        <v>130</v>
      </c>
      <c r="BO150" s="70">
        <v>1109</v>
      </c>
      <c r="BP150" s="73">
        <v>14</v>
      </c>
      <c r="BQ150" s="74">
        <v>606</v>
      </c>
      <c r="BR150" s="54">
        <v>279</v>
      </c>
      <c r="BS150" s="75">
        <v>54</v>
      </c>
      <c r="BT150" s="76">
        <v>62.647554806070829</v>
      </c>
      <c r="BU150" s="77">
        <v>37.352445193929171</v>
      </c>
      <c r="BV150" s="78">
        <v>743</v>
      </c>
      <c r="BW150" s="79">
        <v>443</v>
      </c>
      <c r="BX150" s="69">
        <v>408</v>
      </c>
      <c r="BY150" s="70">
        <v>71</v>
      </c>
      <c r="BZ150" s="70">
        <v>211</v>
      </c>
      <c r="CA150" s="70">
        <v>264</v>
      </c>
      <c r="CB150" s="70">
        <v>13</v>
      </c>
      <c r="CC150" s="70">
        <v>209</v>
      </c>
      <c r="CD150" s="70">
        <v>10</v>
      </c>
      <c r="CE150" s="73">
        <v>0</v>
      </c>
    </row>
    <row r="151" spans="2:83" x14ac:dyDescent="0.3">
      <c r="B151" s="46">
        <v>29</v>
      </c>
      <c r="C151" s="47">
        <v>43299</v>
      </c>
      <c r="D151" s="48">
        <v>9</v>
      </c>
      <c r="E151" s="49">
        <v>1508</v>
      </c>
      <c r="F151" s="50">
        <v>242</v>
      </c>
      <c r="G151" s="51">
        <v>3.4263786242183056</v>
      </c>
      <c r="H151" s="52">
        <v>5.2822085889570554</v>
      </c>
      <c r="I151" s="53">
        <v>1141</v>
      </c>
      <c r="J151" s="54">
        <v>1759</v>
      </c>
      <c r="K151" s="54">
        <v>6027</v>
      </c>
      <c r="L151" s="55">
        <v>7145.4</v>
      </c>
      <c r="M151" s="56">
        <v>479.77199999999999</v>
      </c>
      <c r="N151" s="57">
        <v>904.05000000000007</v>
      </c>
      <c r="O151" s="58">
        <v>539</v>
      </c>
      <c r="P151" s="59">
        <v>11.181818181818182</v>
      </c>
      <c r="Q151" s="60">
        <v>682.27</v>
      </c>
      <c r="R151" s="61">
        <v>8.8337461708707696</v>
      </c>
      <c r="S151" s="48"/>
      <c r="T151" s="50"/>
      <c r="U151" s="62">
        <v>0</v>
      </c>
      <c r="V151" s="63">
        <v>57</v>
      </c>
      <c r="W151" s="50">
        <v>8</v>
      </c>
      <c r="X151" s="48">
        <v>32</v>
      </c>
      <c r="Y151" s="63">
        <v>50</v>
      </c>
      <c r="Z151" s="63">
        <v>345</v>
      </c>
      <c r="AA151" s="64">
        <v>283.3</v>
      </c>
      <c r="AB151" s="65">
        <v>16.873000000000001</v>
      </c>
      <c r="AC151" s="66"/>
      <c r="AD151" s="67"/>
      <c r="AE151" s="68"/>
      <c r="AF151" s="48">
        <v>116</v>
      </c>
      <c r="AG151" s="63">
        <v>147</v>
      </c>
      <c r="AH151" s="63">
        <v>41</v>
      </c>
      <c r="AI151" s="63">
        <v>66</v>
      </c>
      <c r="AJ151" s="63">
        <v>36</v>
      </c>
      <c r="AK151" s="63">
        <v>166</v>
      </c>
      <c r="AL151" s="63">
        <v>95</v>
      </c>
      <c r="AM151" s="63">
        <v>66</v>
      </c>
      <c r="AN151" s="63">
        <v>240</v>
      </c>
      <c r="AO151" s="63">
        <v>164</v>
      </c>
      <c r="AP151" s="63">
        <v>179</v>
      </c>
      <c r="AQ151" s="63">
        <v>165</v>
      </c>
      <c r="AR151" s="63">
        <v>5</v>
      </c>
      <c r="AS151" s="63">
        <v>1</v>
      </c>
      <c r="AT151" s="63">
        <v>7</v>
      </c>
      <c r="AU151" s="63">
        <v>88</v>
      </c>
      <c r="AV151" s="63">
        <v>136</v>
      </c>
      <c r="AW151" s="50">
        <v>18</v>
      </c>
      <c r="AX151" s="69">
        <v>4874</v>
      </c>
      <c r="AY151" s="69">
        <v>40326</v>
      </c>
      <c r="AZ151" s="54">
        <v>1361</v>
      </c>
      <c r="BA151" s="54">
        <v>9095</v>
      </c>
      <c r="BB151" s="54">
        <v>318</v>
      </c>
      <c r="BC151" s="54">
        <v>882</v>
      </c>
      <c r="BD151" s="54">
        <v>1015</v>
      </c>
      <c r="BE151" s="70">
        <v>1736</v>
      </c>
      <c r="BF151" s="63">
        <v>371</v>
      </c>
      <c r="BG151" s="71">
        <v>3122</v>
      </c>
      <c r="BH151" s="67"/>
      <c r="BI151" s="68"/>
      <c r="BJ151" s="72">
        <v>1573</v>
      </c>
      <c r="BK151" s="62"/>
      <c r="BL151" s="70">
        <v>2214</v>
      </c>
      <c r="BM151" s="70">
        <v>255</v>
      </c>
      <c r="BN151" s="70">
        <v>219</v>
      </c>
      <c r="BO151" s="70">
        <v>1075</v>
      </c>
      <c r="BP151" s="73">
        <v>24</v>
      </c>
      <c r="BQ151" s="74">
        <v>585</v>
      </c>
      <c r="BR151" s="54">
        <v>233</v>
      </c>
      <c r="BS151" s="75">
        <v>99</v>
      </c>
      <c r="BT151" s="76">
        <v>65.896980461811722</v>
      </c>
      <c r="BU151" s="77">
        <v>34.103019538188278</v>
      </c>
      <c r="BV151" s="78">
        <v>742</v>
      </c>
      <c r="BW151" s="79">
        <v>384</v>
      </c>
      <c r="BX151" s="69">
        <v>423</v>
      </c>
      <c r="BY151" s="70">
        <v>97</v>
      </c>
      <c r="BZ151" s="70">
        <v>182</v>
      </c>
      <c r="CA151" s="70">
        <v>222</v>
      </c>
      <c r="CB151" s="70">
        <v>8</v>
      </c>
      <c r="CC151" s="70">
        <v>168</v>
      </c>
      <c r="CD151" s="70">
        <v>6</v>
      </c>
      <c r="CE151" s="73">
        <v>20</v>
      </c>
    </row>
    <row r="152" spans="2:83" x14ac:dyDescent="0.3">
      <c r="B152" s="46">
        <v>29</v>
      </c>
      <c r="C152" s="47">
        <v>43300</v>
      </c>
      <c r="D152" s="48">
        <v>35</v>
      </c>
      <c r="E152" s="49">
        <v>1485</v>
      </c>
      <c r="F152" s="50">
        <v>286</v>
      </c>
      <c r="G152" s="51">
        <v>4.5027685492801774</v>
      </c>
      <c r="H152" s="52">
        <v>7.2802148612354518</v>
      </c>
      <c r="I152" s="53">
        <v>1117</v>
      </c>
      <c r="J152" s="54">
        <v>1806</v>
      </c>
      <c r="K152" s="54">
        <v>8132</v>
      </c>
      <c r="L152" s="55">
        <v>7992.4</v>
      </c>
      <c r="M152" s="56">
        <v>563.25300000000004</v>
      </c>
      <c r="N152" s="57">
        <v>1219.8</v>
      </c>
      <c r="O152" s="58">
        <v>537.23</v>
      </c>
      <c r="P152" s="59">
        <v>15.136905980678666</v>
      </c>
      <c r="Q152" s="60">
        <v>670.78</v>
      </c>
      <c r="R152" s="61">
        <v>12.123199856883032</v>
      </c>
      <c r="S152" s="48"/>
      <c r="T152" s="50"/>
      <c r="U152" s="62">
        <v>0</v>
      </c>
      <c r="V152" s="63">
        <v>42</v>
      </c>
      <c r="W152" s="50">
        <v>96</v>
      </c>
      <c r="X152" s="48">
        <v>26</v>
      </c>
      <c r="Y152" s="63">
        <v>157</v>
      </c>
      <c r="Z152" s="63">
        <v>165</v>
      </c>
      <c r="AA152" s="64">
        <v>760.1</v>
      </c>
      <c r="AB152" s="65">
        <v>143.33600000000001</v>
      </c>
      <c r="AC152" s="66"/>
      <c r="AD152" s="67"/>
      <c r="AE152" s="68"/>
      <c r="AF152" s="48">
        <v>118</v>
      </c>
      <c r="AG152" s="63">
        <v>189</v>
      </c>
      <c r="AH152" s="63">
        <v>39</v>
      </c>
      <c r="AI152" s="63">
        <v>60</v>
      </c>
      <c r="AJ152" s="63">
        <v>35</v>
      </c>
      <c r="AK152" s="63">
        <v>176</v>
      </c>
      <c r="AL152" s="63">
        <v>70</v>
      </c>
      <c r="AM152" s="63">
        <v>72</v>
      </c>
      <c r="AN152" s="63">
        <v>300</v>
      </c>
      <c r="AO152" s="63">
        <v>135</v>
      </c>
      <c r="AP152" s="63">
        <v>172</v>
      </c>
      <c r="AQ152" s="63">
        <v>95</v>
      </c>
      <c r="AR152" s="63">
        <v>2</v>
      </c>
      <c r="AS152" s="63">
        <v>2</v>
      </c>
      <c r="AT152" s="63">
        <v>2</v>
      </c>
      <c r="AU152" s="63">
        <v>33</v>
      </c>
      <c r="AV152" s="63">
        <v>235</v>
      </c>
      <c r="AW152" s="50">
        <v>16</v>
      </c>
      <c r="AX152" s="69">
        <v>3778</v>
      </c>
      <c r="AY152" s="69">
        <v>23595</v>
      </c>
      <c r="AZ152" s="54">
        <v>653</v>
      </c>
      <c r="BA152" s="54">
        <v>5235</v>
      </c>
      <c r="BB152" s="54">
        <v>207</v>
      </c>
      <c r="BC152" s="54">
        <v>511</v>
      </c>
      <c r="BD152" s="54">
        <v>1044</v>
      </c>
      <c r="BE152" s="70">
        <v>1009</v>
      </c>
      <c r="BF152" s="63">
        <v>202</v>
      </c>
      <c r="BG152" s="71">
        <v>2255</v>
      </c>
      <c r="BH152" s="67"/>
      <c r="BI152" s="68"/>
      <c r="BJ152" s="72">
        <v>1109</v>
      </c>
      <c r="BK152" s="62"/>
      <c r="BL152" s="70">
        <v>1669</v>
      </c>
      <c r="BM152" s="70">
        <v>151</v>
      </c>
      <c r="BN152" s="70">
        <v>99</v>
      </c>
      <c r="BO152" s="70">
        <v>844</v>
      </c>
      <c r="BP152" s="73">
        <v>15</v>
      </c>
      <c r="BQ152" s="74">
        <v>551</v>
      </c>
      <c r="BR152" s="54">
        <v>288</v>
      </c>
      <c r="BS152" s="75">
        <v>172</v>
      </c>
      <c r="BT152" s="76">
        <v>71.026339691189833</v>
      </c>
      <c r="BU152" s="77">
        <v>28.973660308810171</v>
      </c>
      <c r="BV152" s="78">
        <v>782</v>
      </c>
      <c r="BW152" s="79">
        <v>319</v>
      </c>
      <c r="BX152" s="69">
        <v>471</v>
      </c>
      <c r="BY152" s="70">
        <v>114</v>
      </c>
      <c r="BZ152" s="70">
        <v>193</v>
      </c>
      <c r="CA152" s="70">
        <v>197</v>
      </c>
      <c r="CB152" s="70">
        <v>6</v>
      </c>
      <c r="CC152" s="70">
        <v>104</v>
      </c>
      <c r="CD152" s="70">
        <v>16</v>
      </c>
      <c r="CE152" s="73">
        <v>0</v>
      </c>
    </row>
    <row r="153" spans="2:83" x14ac:dyDescent="0.3">
      <c r="B153" s="46">
        <v>29</v>
      </c>
      <c r="C153" s="47">
        <v>43301</v>
      </c>
      <c r="D153" s="48">
        <v>22</v>
      </c>
      <c r="E153" s="49">
        <v>1855</v>
      </c>
      <c r="F153" s="50">
        <v>233</v>
      </c>
      <c r="G153" s="51">
        <v>3.0955352856457035</v>
      </c>
      <c r="H153" s="52">
        <v>5.183279742765273</v>
      </c>
      <c r="I153" s="53">
        <v>1244</v>
      </c>
      <c r="J153" s="54">
        <v>2083</v>
      </c>
      <c r="K153" s="54">
        <v>6448</v>
      </c>
      <c r="L153" s="55">
        <v>7567.4</v>
      </c>
      <c r="M153" s="56">
        <v>441.05399999999997</v>
      </c>
      <c r="N153" s="57">
        <v>967.2</v>
      </c>
      <c r="O153" s="58">
        <v>515.36</v>
      </c>
      <c r="P153" s="59">
        <v>12.511642347097174</v>
      </c>
      <c r="Q153" s="60">
        <v>657.41</v>
      </c>
      <c r="R153" s="61">
        <v>9.808186671939886</v>
      </c>
      <c r="S153" s="48"/>
      <c r="T153" s="50"/>
      <c r="U153" s="62">
        <v>0</v>
      </c>
      <c r="V153" s="63">
        <v>99</v>
      </c>
      <c r="W153" s="50">
        <v>36</v>
      </c>
      <c r="X153" s="48">
        <v>30</v>
      </c>
      <c r="Y153" s="63">
        <v>95</v>
      </c>
      <c r="Z153" s="63">
        <v>243</v>
      </c>
      <c r="AA153" s="64">
        <v>2528.1</v>
      </c>
      <c r="AB153" s="65">
        <v>38.61</v>
      </c>
      <c r="AC153" s="66"/>
      <c r="AD153" s="67"/>
      <c r="AE153" s="68"/>
      <c r="AF153" s="48">
        <v>89</v>
      </c>
      <c r="AG153" s="63">
        <v>185</v>
      </c>
      <c r="AH153" s="63">
        <v>39</v>
      </c>
      <c r="AI153" s="63">
        <v>63</v>
      </c>
      <c r="AJ153" s="63">
        <v>51</v>
      </c>
      <c r="AK153" s="63">
        <v>164</v>
      </c>
      <c r="AL153" s="63">
        <v>104</v>
      </c>
      <c r="AM153" s="63">
        <v>117</v>
      </c>
      <c r="AN153" s="63">
        <v>267</v>
      </c>
      <c r="AO153" s="63">
        <v>145</v>
      </c>
      <c r="AP153" s="63">
        <v>124</v>
      </c>
      <c r="AQ153" s="63">
        <v>484</v>
      </c>
      <c r="AR153" s="63">
        <v>8</v>
      </c>
      <c r="AS153" s="63">
        <v>0</v>
      </c>
      <c r="AT153" s="63">
        <v>1</v>
      </c>
      <c r="AU153" s="63">
        <v>87</v>
      </c>
      <c r="AV153" s="63">
        <v>129</v>
      </c>
      <c r="AW153" s="50">
        <v>17</v>
      </c>
      <c r="AX153" s="69">
        <v>2824</v>
      </c>
      <c r="AY153" s="69">
        <v>19385</v>
      </c>
      <c r="AZ153" s="54">
        <v>1151</v>
      </c>
      <c r="BA153" s="54">
        <v>4978</v>
      </c>
      <c r="BB153" s="54">
        <v>211</v>
      </c>
      <c r="BC153" s="54">
        <v>372</v>
      </c>
      <c r="BD153" s="54">
        <v>779</v>
      </c>
      <c r="BE153" s="70">
        <v>1549</v>
      </c>
      <c r="BF153" s="63">
        <v>292</v>
      </c>
      <c r="BG153" s="71">
        <v>2620</v>
      </c>
      <c r="BH153" s="67"/>
      <c r="BI153" s="68"/>
      <c r="BJ153" s="72">
        <v>1186</v>
      </c>
      <c r="BK153" s="62"/>
      <c r="BL153" s="70">
        <v>1664</v>
      </c>
      <c r="BM153" s="70">
        <v>100</v>
      </c>
      <c r="BN153" s="70">
        <v>122</v>
      </c>
      <c r="BO153" s="70">
        <v>945</v>
      </c>
      <c r="BP153" s="73">
        <v>19</v>
      </c>
      <c r="BQ153" s="74">
        <v>556</v>
      </c>
      <c r="BR153" s="54">
        <v>365</v>
      </c>
      <c r="BS153" s="75">
        <v>101</v>
      </c>
      <c r="BT153" s="76">
        <v>66.831275720164612</v>
      </c>
      <c r="BU153" s="77">
        <v>33.168724279835388</v>
      </c>
      <c r="BV153" s="78">
        <v>812</v>
      </c>
      <c r="BW153" s="79">
        <v>403</v>
      </c>
      <c r="BX153" s="69">
        <v>495</v>
      </c>
      <c r="BY153" s="70">
        <v>132</v>
      </c>
      <c r="BZ153" s="70">
        <v>236</v>
      </c>
      <c r="CA153" s="70">
        <v>185</v>
      </c>
      <c r="CB153" s="70">
        <v>36</v>
      </c>
      <c r="CC153" s="70">
        <v>123</v>
      </c>
      <c r="CD153" s="70">
        <v>8</v>
      </c>
      <c r="CE153" s="73">
        <v>0</v>
      </c>
    </row>
    <row r="154" spans="2:83" x14ac:dyDescent="0.3">
      <c r="B154" s="46">
        <v>30</v>
      </c>
      <c r="C154" s="47">
        <v>43304</v>
      </c>
      <c r="D154" s="48">
        <v>27</v>
      </c>
      <c r="E154" s="49">
        <v>1436</v>
      </c>
      <c r="F154" s="50">
        <v>171</v>
      </c>
      <c r="G154" s="51">
        <v>3.047735618115055</v>
      </c>
      <c r="H154" s="52">
        <v>3.9429928741092635</v>
      </c>
      <c r="I154" s="53">
        <v>1263</v>
      </c>
      <c r="J154" s="54">
        <v>1634</v>
      </c>
      <c r="K154" s="54">
        <v>4980</v>
      </c>
      <c r="L154" s="55">
        <v>3827.3</v>
      </c>
      <c r="M154" s="56">
        <v>266.32600000000002</v>
      </c>
      <c r="N154" s="57">
        <v>747.00000000000011</v>
      </c>
      <c r="O154" s="58">
        <v>485.39</v>
      </c>
      <c r="P154" s="59">
        <v>10.259791095819857</v>
      </c>
      <c r="Q154" s="60">
        <v>637.91</v>
      </c>
      <c r="R154" s="61">
        <v>7.8067438980420443</v>
      </c>
      <c r="S154" s="48"/>
      <c r="T154" s="50"/>
      <c r="U154" s="62">
        <v>0</v>
      </c>
      <c r="V154" s="63">
        <v>55</v>
      </c>
      <c r="W154" s="50">
        <v>75</v>
      </c>
      <c r="X154" s="48">
        <v>17</v>
      </c>
      <c r="Y154" s="63">
        <v>33</v>
      </c>
      <c r="Z154" s="63">
        <v>159</v>
      </c>
      <c r="AA154" s="64">
        <v>478.9</v>
      </c>
      <c r="AB154" s="65">
        <v>20.919</v>
      </c>
      <c r="AC154" s="66"/>
      <c r="AD154" s="67"/>
      <c r="AE154" s="68"/>
      <c r="AF154" s="48">
        <v>130</v>
      </c>
      <c r="AG154" s="63">
        <v>261</v>
      </c>
      <c r="AH154" s="63">
        <v>45</v>
      </c>
      <c r="AI154" s="63">
        <v>62</v>
      </c>
      <c r="AJ154" s="63">
        <v>35</v>
      </c>
      <c r="AK154" s="63">
        <v>243</v>
      </c>
      <c r="AL154" s="63">
        <v>109</v>
      </c>
      <c r="AM154" s="63">
        <v>71</v>
      </c>
      <c r="AN154" s="63">
        <v>167</v>
      </c>
      <c r="AO154" s="63">
        <v>140</v>
      </c>
      <c r="AP154" s="63">
        <v>86</v>
      </c>
      <c r="AQ154" s="63">
        <v>75</v>
      </c>
      <c r="AR154" s="63">
        <v>6</v>
      </c>
      <c r="AS154" s="63">
        <v>0</v>
      </c>
      <c r="AT154" s="63">
        <v>5</v>
      </c>
      <c r="AU154" s="63">
        <v>34</v>
      </c>
      <c r="AV154" s="63">
        <v>128</v>
      </c>
      <c r="AW154" s="50">
        <v>7</v>
      </c>
      <c r="AX154" s="69">
        <v>2851</v>
      </c>
      <c r="AY154" s="69">
        <v>14675</v>
      </c>
      <c r="AZ154" s="54">
        <v>940</v>
      </c>
      <c r="BA154" s="54">
        <v>3680</v>
      </c>
      <c r="BB154" s="54">
        <v>82</v>
      </c>
      <c r="BC154" s="54">
        <v>173</v>
      </c>
      <c r="BD154" s="54">
        <v>794</v>
      </c>
      <c r="BE154" s="70">
        <v>1052</v>
      </c>
      <c r="BF154" s="63">
        <v>304</v>
      </c>
      <c r="BG154" s="71">
        <v>2150</v>
      </c>
      <c r="BH154" s="67"/>
      <c r="BI154" s="68"/>
      <c r="BJ154" s="72">
        <v>1418</v>
      </c>
      <c r="BK154" s="62"/>
      <c r="BL154" s="70">
        <v>1438</v>
      </c>
      <c r="BM154" s="70">
        <v>181</v>
      </c>
      <c r="BN154" s="70">
        <v>95</v>
      </c>
      <c r="BO154" s="70">
        <v>1119</v>
      </c>
      <c r="BP154" s="73">
        <v>23</v>
      </c>
      <c r="BQ154" s="74">
        <v>829</v>
      </c>
      <c r="BR154" s="54">
        <v>212</v>
      </c>
      <c r="BS154" s="75">
        <v>37</v>
      </c>
      <c r="BT154" s="76">
        <v>78.474980142970608</v>
      </c>
      <c r="BU154" s="77">
        <v>21.525019857029388</v>
      </c>
      <c r="BV154" s="78">
        <v>988</v>
      </c>
      <c r="BW154" s="79">
        <v>271</v>
      </c>
      <c r="BX154" s="69">
        <v>565</v>
      </c>
      <c r="BY154" s="70">
        <v>119</v>
      </c>
      <c r="BZ154" s="70">
        <v>114</v>
      </c>
      <c r="CA154" s="70">
        <v>304</v>
      </c>
      <c r="CB154" s="70">
        <v>6</v>
      </c>
      <c r="CC154" s="70">
        <v>141</v>
      </c>
      <c r="CD154" s="70">
        <v>3</v>
      </c>
      <c r="CE154" s="73">
        <v>7</v>
      </c>
    </row>
    <row r="155" spans="2:83" x14ac:dyDescent="0.3">
      <c r="B155" s="46">
        <v>30</v>
      </c>
      <c r="C155" s="47">
        <v>43305</v>
      </c>
      <c r="D155" s="48">
        <v>30</v>
      </c>
      <c r="E155" s="49">
        <v>1147</v>
      </c>
      <c r="F155" s="50">
        <v>384</v>
      </c>
      <c r="G155" s="51">
        <v>3.5855221012171685</v>
      </c>
      <c r="H155" s="52">
        <v>5.812045690550363</v>
      </c>
      <c r="I155" s="53">
        <v>963</v>
      </c>
      <c r="J155" s="54">
        <v>1561</v>
      </c>
      <c r="K155" s="54">
        <v>5597</v>
      </c>
      <c r="L155" s="55">
        <v>6182.6</v>
      </c>
      <c r="M155" s="56">
        <v>600.81299999999999</v>
      </c>
      <c r="N155" s="57">
        <v>839.55000000000007</v>
      </c>
      <c r="O155" s="58">
        <v>503.20000000000005</v>
      </c>
      <c r="P155" s="59">
        <v>11.122813990461049</v>
      </c>
      <c r="Q155" s="60">
        <v>668.94</v>
      </c>
      <c r="R155" s="61">
        <v>8.3669686369480072</v>
      </c>
      <c r="S155" s="48"/>
      <c r="T155" s="50"/>
      <c r="U155" s="62">
        <v>0</v>
      </c>
      <c r="V155" s="63">
        <v>82</v>
      </c>
      <c r="W155" s="50">
        <v>124</v>
      </c>
      <c r="X155" s="48">
        <v>41</v>
      </c>
      <c r="Y155" s="63">
        <v>154</v>
      </c>
      <c r="Z155" s="63">
        <v>289</v>
      </c>
      <c r="AA155" s="64">
        <v>804.4</v>
      </c>
      <c r="AB155" s="65">
        <v>115.255</v>
      </c>
      <c r="AC155" s="66"/>
      <c r="AD155" s="67"/>
      <c r="AE155" s="68"/>
      <c r="AF155" s="48">
        <v>93</v>
      </c>
      <c r="AG155" s="63">
        <v>171</v>
      </c>
      <c r="AH155" s="63">
        <v>39</v>
      </c>
      <c r="AI155" s="63">
        <v>54</v>
      </c>
      <c r="AJ155" s="63">
        <v>36</v>
      </c>
      <c r="AK155" s="63">
        <v>124</v>
      </c>
      <c r="AL155" s="63">
        <v>83</v>
      </c>
      <c r="AM155" s="63">
        <v>50</v>
      </c>
      <c r="AN155" s="63">
        <v>164</v>
      </c>
      <c r="AO155" s="63">
        <v>122</v>
      </c>
      <c r="AP155" s="63">
        <v>126</v>
      </c>
      <c r="AQ155" s="63">
        <v>67</v>
      </c>
      <c r="AR155" s="63">
        <v>2</v>
      </c>
      <c r="AS155" s="63">
        <v>1</v>
      </c>
      <c r="AT155" s="63">
        <v>7</v>
      </c>
      <c r="AU155" s="63">
        <v>46</v>
      </c>
      <c r="AV155" s="63">
        <v>323</v>
      </c>
      <c r="AW155" s="50">
        <v>15</v>
      </c>
      <c r="AX155" s="69">
        <v>2609</v>
      </c>
      <c r="AY155" s="69">
        <v>19311</v>
      </c>
      <c r="AZ155" s="54">
        <v>1038</v>
      </c>
      <c r="BA155" s="54">
        <v>3490</v>
      </c>
      <c r="BB155" s="54">
        <v>122</v>
      </c>
      <c r="BC155" s="54">
        <v>224</v>
      </c>
      <c r="BD155" s="54">
        <v>705</v>
      </c>
      <c r="BE155" s="70">
        <v>1214</v>
      </c>
      <c r="BF155" s="63">
        <v>178</v>
      </c>
      <c r="BG155" s="71">
        <v>2097</v>
      </c>
      <c r="BH155" s="67"/>
      <c r="BI155" s="68"/>
      <c r="BJ155" s="72">
        <v>1512</v>
      </c>
      <c r="BK155" s="62"/>
      <c r="BL155" s="70">
        <v>1460</v>
      </c>
      <c r="BM155" s="70">
        <v>410</v>
      </c>
      <c r="BN155" s="70">
        <v>133</v>
      </c>
      <c r="BO155" s="70">
        <v>962</v>
      </c>
      <c r="BP155" s="73">
        <v>7</v>
      </c>
      <c r="BQ155" s="74">
        <v>534</v>
      </c>
      <c r="BR155" s="54">
        <v>214</v>
      </c>
      <c r="BS155" s="75">
        <v>70</v>
      </c>
      <c r="BT155" s="76">
        <v>70.166320166320162</v>
      </c>
      <c r="BU155" s="77">
        <v>29.833679833679835</v>
      </c>
      <c r="BV155" s="78">
        <v>675</v>
      </c>
      <c r="BW155" s="79">
        <v>287</v>
      </c>
      <c r="BX155" s="69">
        <v>399</v>
      </c>
      <c r="BY155" s="70">
        <v>84</v>
      </c>
      <c r="BZ155" s="70">
        <v>131</v>
      </c>
      <c r="CA155" s="70">
        <v>192</v>
      </c>
      <c r="CB155" s="70">
        <v>6</v>
      </c>
      <c r="CC155" s="70">
        <v>127</v>
      </c>
      <c r="CD155" s="70">
        <v>11</v>
      </c>
      <c r="CE155" s="73">
        <v>12</v>
      </c>
    </row>
    <row r="156" spans="2:83" x14ac:dyDescent="0.3">
      <c r="B156" s="46">
        <v>30</v>
      </c>
      <c r="C156" s="47">
        <v>43306</v>
      </c>
      <c r="D156" s="48">
        <v>17</v>
      </c>
      <c r="E156" s="49">
        <v>1345</v>
      </c>
      <c r="F156" s="50">
        <v>334</v>
      </c>
      <c r="G156" s="51">
        <v>4.3979952830188678</v>
      </c>
      <c r="H156" s="52">
        <v>6.5776014109347445</v>
      </c>
      <c r="I156" s="53">
        <v>1134</v>
      </c>
      <c r="J156" s="54">
        <v>1696</v>
      </c>
      <c r="K156" s="54">
        <v>7459</v>
      </c>
      <c r="L156" s="55">
        <v>6258.5</v>
      </c>
      <c r="M156" s="56">
        <v>622.13599999999997</v>
      </c>
      <c r="N156" s="57">
        <v>1118.8499999999999</v>
      </c>
      <c r="O156" s="58">
        <v>552.34</v>
      </c>
      <c r="P156" s="59">
        <v>13.504363254517145</v>
      </c>
      <c r="Q156" s="60">
        <v>718.78000000000009</v>
      </c>
      <c r="R156" s="61">
        <v>10.377305990706473</v>
      </c>
      <c r="S156" s="48"/>
      <c r="T156" s="50"/>
      <c r="U156" s="62">
        <v>0</v>
      </c>
      <c r="V156" s="63">
        <v>99</v>
      </c>
      <c r="W156" s="50">
        <v>59</v>
      </c>
      <c r="X156" s="48">
        <v>45</v>
      </c>
      <c r="Y156" s="63">
        <v>99</v>
      </c>
      <c r="Z156" s="63">
        <v>368</v>
      </c>
      <c r="AA156" s="64">
        <v>872.6</v>
      </c>
      <c r="AB156" s="65">
        <v>39.65</v>
      </c>
      <c r="AC156" s="66"/>
      <c r="AD156" s="67"/>
      <c r="AE156" s="68"/>
      <c r="AF156" s="48">
        <v>97</v>
      </c>
      <c r="AG156" s="63">
        <v>128</v>
      </c>
      <c r="AH156" s="63">
        <v>38</v>
      </c>
      <c r="AI156" s="63">
        <v>84</v>
      </c>
      <c r="AJ156" s="63">
        <v>109</v>
      </c>
      <c r="AK156" s="63">
        <v>115</v>
      </c>
      <c r="AL156" s="63">
        <v>108</v>
      </c>
      <c r="AM156" s="63">
        <v>93</v>
      </c>
      <c r="AN156" s="63">
        <v>270</v>
      </c>
      <c r="AO156" s="63">
        <v>109</v>
      </c>
      <c r="AP156" s="63">
        <v>99</v>
      </c>
      <c r="AQ156" s="63">
        <v>84</v>
      </c>
      <c r="AR156" s="63">
        <v>4</v>
      </c>
      <c r="AS156" s="63">
        <v>1</v>
      </c>
      <c r="AT156" s="63">
        <v>4</v>
      </c>
      <c r="AU156" s="63">
        <v>57</v>
      </c>
      <c r="AV156" s="63">
        <v>266</v>
      </c>
      <c r="AW156" s="50">
        <v>11</v>
      </c>
      <c r="AX156" s="69">
        <v>5358</v>
      </c>
      <c r="AY156" s="69">
        <v>24663</v>
      </c>
      <c r="AZ156" s="54">
        <v>1826</v>
      </c>
      <c r="BA156" s="54">
        <v>9943</v>
      </c>
      <c r="BB156" s="54">
        <v>536</v>
      </c>
      <c r="BC156" s="54">
        <v>248</v>
      </c>
      <c r="BD156" s="54">
        <v>1231</v>
      </c>
      <c r="BE156" s="70">
        <v>2148</v>
      </c>
      <c r="BF156" s="63">
        <v>289</v>
      </c>
      <c r="BG156" s="71">
        <v>3668</v>
      </c>
      <c r="BH156" s="67"/>
      <c r="BI156" s="68"/>
      <c r="BJ156" s="72">
        <v>1899</v>
      </c>
      <c r="BK156" s="62"/>
      <c r="BL156" s="70">
        <v>2232</v>
      </c>
      <c r="BM156" s="70">
        <v>266</v>
      </c>
      <c r="BN156" s="70">
        <v>299</v>
      </c>
      <c r="BO156" s="70">
        <v>1315</v>
      </c>
      <c r="BP156" s="73">
        <v>19</v>
      </c>
      <c r="BQ156" s="74">
        <v>579</v>
      </c>
      <c r="BR156" s="54">
        <v>348</v>
      </c>
      <c r="BS156" s="75">
        <v>88</v>
      </c>
      <c r="BT156" s="76">
        <v>72.751322751322746</v>
      </c>
      <c r="BU156" s="77">
        <v>27.24867724867725</v>
      </c>
      <c r="BV156" s="78">
        <v>825</v>
      </c>
      <c r="BW156" s="79">
        <v>309</v>
      </c>
      <c r="BX156" s="69">
        <v>535</v>
      </c>
      <c r="BY156" s="70">
        <v>143</v>
      </c>
      <c r="BZ156" s="70">
        <v>193</v>
      </c>
      <c r="CA156" s="70">
        <v>147</v>
      </c>
      <c r="CB156" s="70">
        <v>5</v>
      </c>
      <c r="CC156" s="70">
        <v>88</v>
      </c>
      <c r="CD156" s="70">
        <v>3</v>
      </c>
      <c r="CE156" s="73">
        <v>20</v>
      </c>
    </row>
    <row r="157" spans="2:83" x14ac:dyDescent="0.3">
      <c r="B157" s="46">
        <v>30</v>
      </c>
      <c r="C157" s="47">
        <v>43307</v>
      </c>
      <c r="D157" s="48">
        <v>75</v>
      </c>
      <c r="E157" s="49">
        <v>904</v>
      </c>
      <c r="F157" s="50">
        <v>344</v>
      </c>
      <c r="G157" s="51">
        <v>3.2985638699924413</v>
      </c>
      <c r="H157" s="52">
        <v>5.7195281782437748</v>
      </c>
      <c r="I157" s="53">
        <v>763</v>
      </c>
      <c r="J157" s="54">
        <v>1323</v>
      </c>
      <c r="K157" s="54">
        <v>4364</v>
      </c>
      <c r="L157" s="55">
        <v>6721.4</v>
      </c>
      <c r="M157" s="56">
        <v>544.43299999999999</v>
      </c>
      <c r="N157" s="57">
        <v>654.6</v>
      </c>
      <c r="O157" s="58">
        <v>436.05</v>
      </c>
      <c r="P157" s="59">
        <v>10.008026602453846</v>
      </c>
      <c r="Q157" s="60">
        <v>593.81999999999994</v>
      </c>
      <c r="R157" s="61">
        <v>7.349028325081675</v>
      </c>
      <c r="S157" s="48"/>
      <c r="T157" s="50"/>
      <c r="U157" s="62">
        <v>0</v>
      </c>
      <c r="V157" s="63">
        <v>87</v>
      </c>
      <c r="W157" s="50">
        <v>185</v>
      </c>
      <c r="X157" s="48">
        <v>52</v>
      </c>
      <c r="Y157" s="63">
        <v>166</v>
      </c>
      <c r="Z157" s="63">
        <v>199</v>
      </c>
      <c r="AA157" s="64">
        <v>2125.3000000000002</v>
      </c>
      <c r="AB157" s="65">
        <v>152.017</v>
      </c>
      <c r="AC157" s="66"/>
      <c r="AD157" s="67"/>
      <c r="AE157" s="68"/>
      <c r="AF157" s="48">
        <v>52</v>
      </c>
      <c r="AG157" s="63">
        <v>115</v>
      </c>
      <c r="AH157" s="63">
        <v>35</v>
      </c>
      <c r="AI157" s="63">
        <v>54</v>
      </c>
      <c r="AJ157" s="63">
        <v>25</v>
      </c>
      <c r="AK157" s="63">
        <v>145</v>
      </c>
      <c r="AL157" s="63">
        <v>69</v>
      </c>
      <c r="AM157" s="63">
        <v>70</v>
      </c>
      <c r="AN157" s="63">
        <v>142</v>
      </c>
      <c r="AO157" s="63">
        <v>56</v>
      </c>
      <c r="AP157" s="63">
        <v>61</v>
      </c>
      <c r="AQ157" s="63">
        <v>75</v>
      </c>
      <c r="AR157" s="63">
        <v>0</v>
      </c>
      <c r="AS157" s="63">
        <v>0</v>
      </c>
      <c r="AT157" s="63">
        <v>4</v>
      </c>
      <c r="AU157" s="63">
        <v>50</v>
      </c>
      <c r="AV157" s="63">
        <v>286</v>
      </c>
      <c r="AW157" s="50">
        <v>7</v>
      </c>
      <c r="AX157" s="69">
        <v>2350</v>
      </c>
      <c r="AY157" s="69">
        <v>13331</v>
      </c>
      <c r="AZ157" s="54">
        <v>1324</v>
      </c>
      <c r="BA157" s="54">
        <v>6121</v>
      </c>
      <c r="BB157" s="54">
        <v>328</v>
      </c>
      <c r="BC157" s="54">
        <v>602</v>
      </c>
      <c r="BD157" s="54">
        <v>670</v>
      </c>
      <c r="BE157" s="70">
        <v>942</v>
      </c>
      <c r="BF157" s="63">
        <v>128</v>
      </c>
      <c r="BG157" s="71">
        <v>1740</v>
      </c>
      <c r="BH157" s="67"/>
      <c r="BI157" s="68"/>
      <c r="BJ157" s="72">
        <v>1613</v>
      </c>
      <c r="BK157" s="62"/>
      <c r="BL157" s="70">
        <v>1176</v>
      </c>
      <c r="BM157" s="70">
        <v>488</v>
      </c>
      <c r="BN157" s="70">
        <v>268</v>
      </c>
      <c r="BO157" s="70">
        <v>836</v>
      </c>
      <c r="BP157" s="73">
        <v>21</v>
      </c>
      <c r="BQ157" s="74">
        <v>408</v>
      </c>
      <c r="BR157" s="54">
        <v>169</v>
      </c>
      <c r="BS157" s="75">
        <v>41</v>
      </c>
      <c r="BT157" s="76">
        <v>71.559633027522935</v>
      </c>
      <c r="BU157" s="77">
        <v>28.440366972477065</v>
      </c>
      <c r="BV157" s="78">
        <v>546</v>
      </c>
      <c r="BW157" s="79">
        <v>217</v>
      </c>
      <c r="BX157" s="69">
        <v>309</v>
      </c>
      <c r="BY157" s="70">
        <v>75</v>
      </c>
      <c r="BZ157" s="70">
        <v>96</v>
      </c>
      <c r="CA157" s="70">
        <v>162</v>
      </c>
      <c r="CB157" s="70">
        <v>4</v>
      </c>
      <c r="CC157" s="70">
        <v>85</v>
      </c>
      <c r="CD157" s="70">
        <v>10</v>
      </c>
      <c r="CE157" s="73">
        <v>22</v>
      </c>
    </row>
    <row r="158" spans="2:83" x14ac:dyDescent="0.3">
      <c r="B158" s="46">
        <v>30</v>
      </c>
      <c r="C158" s="47">
        <v>43308</v>
      </c>
      <c r="D158" s="48">
        <v>24</v>
      </c>
      <c r="E158" s="49">
        <v>1182</v>
      </c>
      <c r="F158" s="50">
        <v>282</v>
      </c>
      <c r="G158" s="51">
        <v>3.9791666666666665</v>
      </c>
      <c r="H158" s="52">
        <v>6.6979638009049776</v>
      </c>
      <c r="I158" s="53">
        <v>884</v>
      </c>
      <c r="J158" s="54">
        <v>1488</v>
      </c>
      <c r="K158" s="54">
        <v>5921</v>
      </c>
      <c r="L158" s="55">
        <v>6750.9</v>
      </c>
      <c r="M158" s="56">
        <v>452.53800000000001</v>
      </c>
      <c r="N158" s="57">
        <v>888.15000000000009</v>
      </c>
      <c r="O158" s="58">
        <v>455.32</v>
      </c>
      <c r="P158" s="59">
        <v>13.004041113941843</v>
      </c>
      <c r="Q158" s="60">
        <v>606.15</v>
      </c>
      <c r="R158" s="61">
        <v>9.768209189144601</v>
      </c>
      <c r="S158" s="48"/>
      <c r="T158" s="50"/>
      <c r="U158" s="62">
        <v>0</v>
      </c>
      <c r="V158" s="63">
        <v>26</v>
      </c>
      <c r="W158" s="50">
        <v>67</v>
      </c>
      <c r="X158" s="48">
        <v>25</v>
      </c>
      <c r="Y158" s="63">
        <v>79</v>
      </c>
      <c r="Z158" s="63">
        <v>142</v>
      </c>
      <c r="AA158" s="64">
        <v>458.5</v>
      </c>
      <c r="AB158" s="65">
        <v>81.176000000000002</v>
      </c>
      <c r="AC158" s="66"/>
      <c r="AD158" s="67"/>
      <c r="AE158" s="68"/>
      <c r="AF158" s="48">
        <v>62</v>
      </c>
      <c r="AG158" s="63">
        <v>97</v>
      </c>
      <c r="AH158" s="63">
        <v>39</v>
      </c>
      <c r="AI158" s="63">
        <v>54</v>
      </c>
      <c r="AJ158" s="63">
        <v>36</v>
      </c>
      <c r="AK158" s="63">
        <v>107</v>
      </c>
      <c r="AL158" s="63">
        <v>70</v>
      </c>
      <c r="AM158" s="63">
        <v>95</v>
      </c>
      <c r="AN158" s="63">
        <v>212</v>
      </c>
      <c r="AO158" s="63">
        <v>108</v>
      </c>
      <c r="AP158" s="63">
        <v>164</v>
      </c>
      <c r="AQ158" s="63">
        <v>133</v>
      </c>
      <c r="AR158" s="63">
        <v>0</v>
      </c>
      <c r="AS158" s="63">
        <v>1</v>
      </c>
      <c r="AT158" s="63">
        <v>1</v>
      </c>
      <c r="AU158" s="63">
        <v>107</v>
      </c>
      <c r="AV158" s="63">
        <v>153</v>
      </c>
      <c r="AW158" s="50">
        <v>22</v>
      </c>
      <c r="AX158" s="69">
        <v>2465</v>
      </c>
      <c r="AY158" s="69">
        <v>14353</v>
      </c>
      <c r="AZ158" s="54">
        <v>1329</v>
      </c>
      <c r="BA158" s="54">
        <v>6265</v>
      </c>
      <c r="BB158" s="54">
        <v>330</v>
      </c>
      <c r="BC158" s="54">
        <v>606</v>
      </c>
      <c r="BD158" s="54">
        <v>671</v>
      </c>
      <c r="BE158" s="70">
        <v>1675</v>
      </c>
      <c r="BF158" s="63">
        <v>265</v>
      </c>
      <c r="BG158" s="71">
        <v>2611</v>
      </c>
      <c r="BH158" s="67"/>
      <c r="BI158" s="68"/>
      <c r="BJ158" s="72">
        <v>1720</v>
      </c>
      <c r="BK158" s="62"/>
      <c r="BL158" s="70">
        <v>1618</v>
      </c>
      <c r="BM158" s="70">
        <v>94</v>
      </c>
      <c r="BN158" s="70">
        <v>161</v>
      </c>
      <c r="BO158" s="70">
        <v>1453</v>
      </c>
      <c r="BP158" s="73">
        <v>12</v>
      </c>
      <c r="BQ158" s="74">
        <v>380</v>
      </c>
      <c r="BR158" s="54">
        <v>305</v>
      </c>
      <c r="BS158" s="75">
        <v>117</v>
      </c>
      <c r="BT158" s="76">
        <v>68.212669683257914</v>
      </c>
      <c r="BU158" s="77">
        <v>31.787330316742082</v>
      </c>
      <c r="BV158" s="78">
        <v>603</v>
      </c>
      <c r="BW158" s="79">
        <v>281</v>
      </c>
      <c r="BX158" s="69">
        <v>338</v>
      </c>
      <c r="BY158" s="70">
        <v>132</v>
      </c>
      <c r="BZ158" s="70">
        <v>180</v>
      </c>
      <c r="CA158" s="70">
        <v>133</v>
      </c>
      <c r="CB158" s="70">
        <v>10</v>
      </c>
      <c r="CC158" s="70">
        <v>67</v>
      </c>
      <c r="CD158" s="70">
        <v>2</v>
      </c>
      <c r="CE158" s="73">
        <v>22</v>
      </c>
    </row>
    <row r="159" spans="2:83" x14ac:dyDescent="0.3">
      <c r="B159" s="46">
        <v>31</v>
      </c>
      <c r="C159" s="47">
        <v>43311</v>
      </c>
      <c r="D159" s="48">
        <v>8</v>
      </c>
      <c r="E159" s="49">
        <v>1571</v>
      </c>
      <c r="F159" s="50">
        <v>285</v>
      </c>
      <c r="G159" s="51">
        <v>2.1282188841201717</v>
      </c>
      <c r="H159" s="52">
        <v>2.9083577712609969</v>
      </c>
      <c r="I159" s="53">
        <v>1364</v>
      </c>
      <c r="J159" s="54">
        <v>1864</v>
      </c>
      <c r="K159" s="54">
        <v>3967</v>
      </c>
      <c r="L159" s="55">
        <v>5203.7</v>
      </c>
      <c r="M159" s="56">
        <v>419.16</v>
      </c>
      <c r="N159" s="57">
        <v>595.05000000000007</v>
      </c>
      <c r="O159" s="58">
        <v>495.21</v>
      </c>
      <c r="P159" s="59">
        <v>8.0107429171462616</v>
      </c>
      <c r="Q159" s="60">
        <v>627.82999999999993</v>
      </c>
      <c r="R159" s="61">
        <v>6.3185894270742091</v>
      </c>
      <c r="S159" s="48"/>
      <c r="T159" s="50"/>
      <c r="U159" s="62">
        <v>0</v>
      </c>
      <c r="V159" s="63">
        <v>86</v>
      </c>
      <c r="W159" s="50">
        <v>152</v>
      </c>
      <c r="X159" s="48">
        <v>41</v>
      </c>
      <c r="Y159" s="63">
        <v>142</v>
      </c>
      <c r="Z159" s="63">
        <v>308</v>
      </c>
      <c r="AA159" s="64">
        <v>5203.7</v>
      </c>
      <c r="AB159" s="65">
        <v>419.2</v>
      </c>
      <c r="AC159" s="66"/>
      <c r="AD159" s="67"/>
      <c r="AE159" s="68"/>
      <c r="AF159" s="48">
        <v>152</v>
      </c>
      <c r="AG159" s="63">
        <v>258</v>
      </c>
      <c r="AH159" s="63">
        <v>45</v>
      </c>
      <c r="AI159" s="63">
        <v>105</v>
      </c>
      <c r="AJ159" s="63">
        <v>48</v>
      </c>
      <c r="AK159" s="63">
        <v>216</v>
      </c>
      <c r="AL159" s="63">
        <v>115</v>
      </c>
      <c r="AM159" s="63">
        <v>87</v>
      </c>
      <c r="AN159" s="63">
        <v>210</v>
      </c>
      <c r="AO159" s="63">
        <v>111</v>
      </c>
      <c r="AP159" s="63">
        <v>109</v>
      </c>
      <c r="AQ159" s="63">
        <v>77</v>
      </c>
      <c r="AR159" s="63">
        <v>5</v>
      </c>
      <c r="AS159" s="63">
        <v>7</v>
      </c>
      <c r="AT159" s="63">
        <v>13</v>
      </c>
      <c r="AU159" s="63">
        <v>67</v>
      </c>
      <c r="AV159" s="63">
        <v>212</v>
      </c>
      <c r="AW159" s="50">
        <v>4</v>
      </c>
      <c r="AX159" s="69">
        <v>2353</v>
      </c>
      <c r="AY159" s="69">
        <v>12308</v>
      </c>
      <c r="AZ159" s="54">
        <v>1032</v>
      </c>
      <c r="BA159" s="54">
        <v>3324</v>
      </c>
      <c r="BB159" s="54">
        <v>319</v>
      </c>
      <c r="BC159" s="54">
        <v>113</v>
      </c>
      <c r="BD159" s="54">
        <v>778</v>
      </c>
      <c r="BE159" s="70">
        <v>994</v>
      </c>
      <c r="BF159" s="63">
        <v>432</v>
      </c>
      <c r="BG159" s="71">
        <v>2204</v>
      </c>
      <c r="BH159" s="67"/>
      <c r="BI159" s="68"/>
      <c r="BJ159" s="72">
        <v>1356</v>
      </c>
      <c r="BK159" s="62"/>
      <c r="BL159" s="70">
        <v>1612</v>
      </c>
      <c r="BM159" s="70">
        <v>274</v>
      </c>
      <c r="BN159" s="70">
        <v>135</v>
      </c>
      <c r="BO159" s="70">
        <v>929</v>
      </c>
      <c r="BP159" s="73">
        <v>18</v>
      </c>
      <c r="BQ159" s="74">
        <v>873</v>
      </c>
      <c r="BR159" s="54">
        <v>225</v>
      </c>
      <c r="BS159" s="75">
        <v>56</v>
      </c>
      <c r="BT159" s="76">
        <v>77.622890682318413</v>
      </c>
      <c r="BU159" s="77">
        <v>22.377109317681583</v>
      </c>
      <c r="BV159" s="78">
        <v>1058</v>
      </c>
      <c r="BW159" s="79">
        <v>305</v>
      </c>
      <c r="BX159" s="69">
        <v>644</v>
      </c>
      <c r="BY159" s="70">
        <v>98</v>
      </c>
      <c r="BZ159" s="70">
        <v>108</v>
      </c>
      <c r="CA159" s="70">
        <v>316</v>
      </c>
      <c r="CB159" s="70">
        <v>25</v>
      </c>
      <c r="CC159" s="70">
        <v>151</v>
      </c>
      <c r="CD159" s="70">
        <v>14</v>
      </c>
      <c r="CE159" s="73">
        <v>7</v>
      </c>
    </row>
    <row r="160" spans="2:83" x14ac:dyDescent="0.3">
      <c r="B160" s="46">
        <v>31</v>
      </c>
      <c r="C160" s="47">
        <v>43312</v>
      </c>
      <c r="D160" s="48">
        <v>21</v>
      </c>
      <c r="E160" s="49">
        <v>1187</v>
      </c>
      <c r="F160" s="50">
        <v>222</v>
      </c>
      <c r="G160" s="51">
        <v>3.6390820584144645</v>
      </c>
      <c r="H160" s="52">
        <v>5.3452502553626147</v>
      </c>
      <c r="I160" s="53">
        <v>979</v>
      </c>
      <c r="J160" s="54">
        <v>1438</v>
      </c>
      <c r="K160" s="54">
        <v>5233</v>
      </c>
      <c r="L160" s="55">
        <v>5142.1000000000004</v>
      </c>
      <c r="M160" s="56">
        <v>372.91</v>
      </c>
      <c r="N160" s="57">
        <v>784.94999999999993</v>
      </c>
      <c r="O160" s="58">
        <v>501.22</v>
      </c>
      <c r="P160" s="59">
        <v>10.440525118710346</v>
      </c>
      <c r="Q160" s="60">
        <v>619.43000000000006</v>
      </c>
      <c r="R160" s="61">
        <v>8.4480893724876083</v>
      </c>
      <c r="S160" s="48"/>
      <c r="T160" s="50"/>
      <c r="U160" s="62">
        <v>0</v>
      </c>
      <c r="V160" s="63">
        <v>77</v>
      </c>
      <c r="W160" s="50">
        <v>118</v>
      </c>
      <c r="X160" s="48">
        <v>52</v>
      </c>
      <c r="Y160" s="63">
        <v>213</v>
      </c>
      <c r="Z160" s="63">
        <v>341</v>
      </c>
      <c r="AA160" s="64">
        <v>867.8</v>
      </c>
      <c r="AB160" s="65">
        <v>147.631</v>
      </c>
      <c r="AC160" s="66"/>
      <c r="AD160" s="67"/>
      <c r="AE160" s="68"/>
      <c r="AF160" s="48">
        <v>67</v>
      </c>
      <c r="AG160" s="63">
        <v>147</v>
      </c>
      <c r="AH160" s="63">
        <v>48</v>
      </c>
      <c r="AI160" s="63">
        <v>57</v>
      </c>
      <c r="AJ160" s="63">
        <v>30</v>
      </c>
      <c r="AK160" s="63">
        <v>133</v>
      </c>
      <c r="AL160" s="63">
        <v>93</v>
      </c>
      <c r="AM160" s="63">
        <v>70</v>
      </c>
      <c r="AN160" s="63">
        <v>238</v>
      </c>
      <c r="AO160" s="63">
        <v>106</v>
      </c>
      <c r="AP160" s="63">
        <v>116</v>
      </c>
      <c r="AQ160" s="63">
        <v>64</v>
      </c>
      <c r="AR160" s="63">
        <v>1</v>
      </c>
      <c r="AS160" s="63">
        <v>4</v>
      </c>
      <c r="AT160" s="63">
        <v>8</v>
      </c>
      <c r="AU160" s="63">
        <v>37</v>
      </c>
      <c r="AV160" s="63">
        <v>179</v>
      </c>
      <c r="AW160" s="50">
        <v>3</v>
      </c>
      <c r="AX160" s="69">
        <v>2712</v>
      </c>
      <c r="AY160" s="69">
        <v>21511</v>
      </c>
      <c r="AZ160" s="54">
        <v>2069</v>
      </c>
      <c r="BA160" s="54">
        <v>8892</v>
      </c>
      <c r="BB160" s="54">
        <v>14</v>
      </c>
      <c r="BC160" s="54">
        <v>67</v>
      </c>
      <c r="BD160" s="54">
        <v>813</v>
      </c>
      <c r="BE160" s="70">
        <v>1630</v>
      </c>
      <c r="BF160" s="63">
        <v>258</v>
      </c>
      <c r="BG160" s="71">
        <v>2701</v>
      </c>
      <c r="BH160" s="67"/>
      <c r="BI160" s="68"/>
      <c r="BJ160" s="72">
        <v>2190</v>
      </c>
      <c r="BK160" s="62"/>
      <c r="BL160" s="70">
        <v>1407</v>
      </c>
      <c r="BM160" s="70">
        <v>165</v>
      </c>
      <c r="BN160" s="70">
        <v>126</v>
      </c>
      <c r="BO160" s="70">
        <v>1882</v>
      </c>
      <c r="BP160" s="73">
        <v>17</v>
      </c>
      <c r="BQ160" s="74">
        <v>519</v>
      </c>
      <c r="BR160" s="54">
        <v>200</v>
      </c>
      <c r="BS160" s="75">
        <v>108</v>
      </c>
      <c r="BT160" s="76">
        <v>74.350986500519213</v>
      </c>
      <c r="BU160" s="77">
        <v>25.649013499480787</v>
      </c>
      <c r="BV160" s="78">
        <v>716</v>
      </c>
      <c r="BW160" s="79">
        <v>247</v>
      </c>
      <c r="BX160" s="69">
        <v>393</v>
      </c>
      <c r="BY160" s="70">
        <v>98</v>
      </c>
      <c r="BZ160" s="70">
        <v>122</v>
      </c>
      <c r="CA160" s="70">
        <v>225</v>
      </c>
      <c r="CB160" s="70">
        <v>9</v>
      </c>
      <c r="CC160" s="70">
        <v>108</v>
      </c>
      <c r="CD160" s="70">
        <v>8</v>
      </c>
      <c r="CE160" s="73">
        <v>0</v>
      </c>
    </row>
    <row r="161" spans="2:83" x14ac:dyDescent="0.3">
      <c r="B161" s="46">
        <v>31</v>
      </c>
      <c r="C161" s="47">
        <v>43313</v>
      </c>
      <c r="D161" s="48">
        <v>22</v>
      </c>
      <c r="E161" s="49">
        <v>1282</v>
      </c>
      <c r="F161" s="50">
        <v>209</v>
      </c>
      <c r="G161" s="51">
        <v>3.6766819072501633</v>
      </c>
      <c r="H161" s="52">
        <v>5.8210961737331957</v>
      </c>
      <c r="I161" s="53">
        <v>967</v>
      </c>
      <c r="J161" s="54">
        <v>1531</v>
      </c>
      <c r="K161" s="54">
        <v>5629</v>
      </c>
      <c r="L161" s="55">
        <v>6871.6</v>
      </c>
      <c r="M161" s="56">
        <v>401.87200000000001</v>
      </c>
      <c r="N161" s="57">
        <v>844.34999999999991</v>
      </c>
      <c r="O161" s="58">
        <v>513.78</v>
      </c>
      <c r="P161" s="59">
        <v>10.956051228152129</v>
      </c>
      <c r="Q161" s="60">
        <v>667.38</v>
      </c>
      <c r="R161" s="61">
        <v>8.4344751116305545</v>
      </c>
      <c r="S161" s="48"/>
      <c r="T161" s="50"/>
      <c r="U161" s="62">
        <v>0</v>
      </c>
      <c r="V161" s="63">
        <v>77</v>
      </c>
      <c r="W161" s="50">
        <v>51</v>
      </c>
      <c r="X161" s="48">
        <v>38</v>
      </c>
      <c r="Y161" s="63">
        <v>158</v>
      </c>
      <c r="Z161" s="63">
        <v>174</v>
      </c>
      <c r="AA161" s="64">
        <v>1526.8</v>
      </c>
      <c r="AB161" s="65">
        <v>104.617</v>
      </c>
      <c r="AC161" s="66"/>
      <c r="AD161" s="67"/>
      <c r="AE161" s="68"/>
      <c r="AF161" s="48">
        <v>18</v>
      </c>
      <c r="AG161" s="63">
        <v>129</v>
      </c>
      <c r="AH161" s="63">
        <v>42</v>
      </c>
      <c r="AI161" s="63">
        <v>55</v>
      </c>
      <c r="AJ161" s="63">
        <v>48</v>
      </c>
      <c r="AK161" s="63">
        <v>134</v>
      </c>
      <c r="AL161" s="63">
        <v>89</v>
      </c>
      <c r="AM161" s="63">
        <v>78</v>
      </c>
      <c r="AN161" s="63">
        <v>198</v>
      </c>
      <c r="AO161" s="63">
        <v>114</v>
      </c>
      <c r="AP161" s="63">
        <v>148</v>
      </c>
      <c r="AQ161" s="63">
        <v>101</v>
      </c>
      <c r="AR161" s="63">
        <v>6</v>
      </c>
      <c r="AS161" s="63">
        <v>5</v>
      </c>
      <c r="AT161" s="63">
        <v>10</v>
      </c>
      <c r="AU161" s="63">
        <v>66</v>
      </c>
      <c r="AV161" s="63">
        <v>132</v>
      </c>
      <c r="AW161" s="50">
        <v>11</v>
      </c>
      <c r="AX161" s="69">
        <v>3474</v>
      </c>
      <c r="AY161" s="69">
        <v>18825</v>
      </c>
      <c r="AZ161" s="54">
        <v>1486</v>
      </c>
      <c r="BA161" s="54">
        <v>5383</v>
      </c>
      <c r="BB161" s="54">
        <v>280</v>
      </c>
      <c r="BC161" s="54">
        <v>836</v>
      </c>
      <c r="BD161" s="54">
        <v>856</v>
      </c>
      <c r="BE161" s="70">
        <v>1681</v>
      </c>
      <c r="BF161" s="63">
        <v>348</v>
      </c>
      <c r="BG161" s="71">
        <v>2885</v>
      </c>
      <c r="BH161" s="67"/>
      <c r="BI161" s="68"/>
      <c r="BJ161" s="72">
        <v>1200</v>
      </c>
      <c r="BK161" s="62"/>
      <c r="BL161" s="70">
        <v>1938</v>
      </c>
      <c r="BM161" s="70">
        <v>150</v>
      </c>
      <c r="BN161" s="70">
        <v>108</v>
      </c>
      <c r="BO161" s="70">
        <v>936</v>
      </c>
      <c r="BP161" s="73">
        <v>6</v>
      </c>
      <c r="BQ161" s="74">
        <v>493</v>
      </c>
      <c r="BR161" s="54">
        <v>270</v>
      </c>
      <c r="BS161" s="75">
        <v>66</v>
      </c>
      <c r="BT161" s="76">
        <v>69.394261424017003</v>
      </c>
      <c r="BU161" s="77">
        <v>30.605738575982997</v>
      </c>
      <c r="BV161" s="78">
        <v>653</v>
      </c>
      <c r="BW161" s="79">
        <v>288</v>
      </c>
      <c r="BX161" s="69">
        <v>361</v>
      </c>
      <c r="BY161" s="70">
        <v>107</v>
      </c>
      <c r="BZ161" s="70">
        <v>166</v>
      </c>
      <c r="CA161" s="70">
        <v>185</v>
      </c>
      <c r="CB161" s="70">
        <v>14</v>
      </c>
      <c r="CC161" s="70">
        <v>100</v>
      </c>
      <c r="CD161" s="70">
        <v>8</v>
      </c>
      <c r="CE161" s="73">
        <v>0</v>
      </c>
    </row>
    <row r="162" spans="2:83" x14ac:dyDescent="0.3">
      <c r="B162" s="46">
        <v>31</v>
      </c>
      <c r="C162" s="47">
        <v>43314</v>
      </c>
      <c r="D162" s="48">
        <v>59</v>
      </c>
      <c r="E162" s="49">
        <v>1281</v>
      </c>
      <c r="F162" s="50">
        <v>213</v>
      </c>
      <c r="G162" s="51">
        <v>3.8332260141661303</v>
      </c>
      <c r="H162" s="52">
        <v>6.8820809248554911</v>
      </c>
      <c r="I162" s="53">
        <v>865</v>
      </c>
      <c r="J162" s="54">
        <v>1553</v>
      </c>
      <c r="K162" s="54">
        <v>5953</v>
      </c>
      <c r="L162" s="55">
        <v>6652.7</v>
      </c>
      <c r="M162" s="56">
        <v>410.25799999999998</v>
      </c>
      <c r="N162" s="57">
        <v>892.95</v>
      </c>
      <c r="O162" s="58">
        <v>511.45</v>
      </c>
      <c r="P162" s="59">
        <v>11.639456447355558</v>
      </c>
      <c r="Q162" s="60">
        <v>659.56999999999994</v>
      </c>
      <c r="R162" s="61">
        <v>9.0255772700395713</v>
      </c>
      <c r="S162" s="48"/>
      <c r="T162" s="50"/>
      <c r="U162" s="62">
        <v>0</v>
      </c>
      <c r="V162" s="63">
        <v>26</v>
      </c>
      <c r="W162" s="50">
        <v>21</v>
      </c>
      <c r="X162" s="48">
        <v>24</v>
      </c>
      <c r="Y162" s="63">
        <v>38</v>
      </c>
      <c r="Z162" s="63">
        <v>181</v>
      </c>
      <c r="AA162" s="64">
        <v>269</v>
      </c>
      <c r="AB162" s="65">
        <v>19.404</v>
      </c>
      <c r="AC162" s="66"/>
      <c r="AD162" s="67"/>
      <c r="AE162" s="68"/>
      <c r="AF162" s="48">
        <v>95</v>
      </c>
      <c r="AG162" s="63">
        <v>114</v>
      </c>
      <c r="AH162" s="63">
        <v>28</v>
      </c>
      <c r="AI162" s="63">
        <v>53</v>
      </c>
      <c r="AJ162" s="63">
        <v>25</v>
      </c>
      <c r="AK162" s="63">
        <v>92</v>
      </c>
      <c r="AL162" s="63">
        <v>62</v>
      </c>
      <c r="AM162" s="63">
        <v>66</v>
      </c>
      <c r="AN162" s="63">
        <v>251</v>
      </c>
      <c r="AO162" s="63">
        <v>144</v>
      </c>
      <c r="AP162" s="63">
        <v>109</v>
      </c>
      <c r="AQ162" s="63">
        <v>201</v>
      </c>
      <c r="AR162" s="63">
        <v>8</v>
      </c>
      <c r="AS162" s="63">
        <v>2</v>
      </c>
      <c r="AT162" s="63">
        <v>13</v>
      </c>
      <c r="AU162" s="63">
        <v>39</v>
      </c>
      <c r="AV162" s="63">
        <v>146</v>
      </c>
      <c r="AW162" s="50">
        <v>28</v>
      </c>
      <c r="AX162" s="69">
        <v>3115</v>
      </c>
      <c r="AY162" s="69">
        <v>16509</v>
      </c>
      <c r="AZ162" s="54">
        <v>1773</v>
      </c>
      <c r="BA162" s="54">
        <v>9052</v>
      </c>
      <c r="BB162" s="54">
        <v>144</v>
      </c>
      <c r="BC162" s="54">
        <v>457</v>
      </c>
      <c r="BD162" s="54">
        <v>729</v>
      </c>
      <c r="BE162" s="70">
        <v>1889</v>
      </c>
      <c r="BF162" s="63">
        <v>342</v>
      </c>
      <c r="BG162" s="71">
        <v>2960</v>
      </c>
      <c r="BH162" s="67"/>
      <c r="BI162" s="68"/>
      <c r="BJ162" s="72">
        <v>1429</v>
      </c>
      <c r="BK162" s="62"/>
      <c r="BL162" s="70">
        <v>2120</v>
      </c>
      <c r="BM162" s="70">
        <v>266</v>
      </c>
      <c r="BN162" s="70">
        <v>146</v>
      </c>
      <c r="BO162" s="70">
        <v>1005</v>
      </c>
      <c r="BP162" s="73">
        <v>12</v>
      </c>
      <c r="BQ162" s="74">
        <v>446</v>
      </c>
      <c r="BR162" s="54">
        <v>200</v>
      </c>
      <c r="BS162" s="75">
        <v>103</v>
      </c>
      <c r="BT162" s="76">
        <v>69.431279620853076</v>
      </c>
      <c r="BU162" s="77">
        <v>30.568720379146921</v>
      </c>
      <c r="BV162" s="78">
        <v>586</v>
      </c>
      <c r="BW162" s="79">
        <v>258</v>
      </c>
      <c r="BX162" s="69">
        <v>385</v>
      </c>
      <c r="BY162" s="70">
        <v>65</v>
      </c>
      <c r="BZ162" s="70">
        <v>167</v>
      </c>
      <c r="CA162" s="70">
        <v>136</v>
      </c>
      <c r="CB162" s="70">
        <v>7</v>
      </c>
      <c r="CC162" s="70">
        <v>81</v>
      </c>
      <c r="CD162" s="70">
        <v>3</v>
      </c>
      <c r="CE162" s="73">
        <v>0</v>
      </c>
    </row>
    <row r="163" spans="2:83" x14ac:dyDescent="0.3">
      <c r="B163" s="46">
        <v>31</v>
      </c>
      <c r="C163" s="47">
        <v>43315</v>
      </c>
      <c r="D163" s="48">
        <v>63</v>
      </c>
      <c r="E163" s="49">
        <v>1489</v>
      </c>
      <c r="F163" s="50">
        <v>174</v>
      </c>
      <c r="G163" s="51">
        <v>3.3783314020857476</v>
      </c>
      <c r="H163" s="52">
        <v>5.825174825174825</v>
      </c>
      <c r="I163" s="53">
        <v>1001</v>
      </c>
      <c r="J163" s="54">
        <v>1726</v>
      </c>
      <c r="K163" s="54">
        <v>5831</v>
      </c>
      <c r="L163" s="55">
        <v>1044</v>
      </c>
      <c r="M163" s="56">
        <v>347.73500000000001</v>
      </c>
      <c r="N163" s="57">
        <v>874.65000000000009</v>
      </c>
      <c r="O163" s="58">
        <v>496</v>
      </c>
      <c r="P163" s="59">
        <v>11.756048387096774</v>
      </c>
      <c r="Q163" s="60">
        <v>646.72</v>
      </c>
      <c r="R163" s="61">
        <v>9.0162666996536363</v>
      </c>
      <c r="S163" s="48"/>
      <c r="T163" s="50"/>
      <c r="U163" s="62">
        <v>0</v>
      </c>
      <c r="V163" s="63">
        <v>132</v>
      </c>
      <c r="W163" s="50">
        <v>34</v>
      </c>
      <c r="X163" s="48">
        <v>25</v>
      </c>
      <c r="Y163" s="63">
        <v>103</v>
      </c>
      <c r="Z163" s="63">
        <v>635</v>
      </c>
      <c r="AA163" s="64">
        <v>636.70000000000005</v>
      </c>
      <c r="AB163" s="65">
        <v>29.021000000000001</v>
      </c>
      <c r="AC163" s="66"/>
      <c r="AD163" s="67"/>
      <c r="AE163" s="68"/>
      <c r="AF163" s="48">
        <v>98</v>
      </c>
      <c r="AG163" s="63">
        <v>184</v>
      </c>
      <c r="AH163" s="63">
        <v>33</v>
      </c>
      <c r="AI163" s="63">
        <v>49</v>
      </c>
      <c r="AJ163" s="63">
        <v>42</v>
      </c>
      <c r="AK163" s="63">
        <v>117</v>
      </c>
      <c r="AL163" s="63">
        <v>127</v>
      </c>
      <c r="AM163" s="63">
        <v>110</v>
      </c>
      <c r="AN163" s="63">
        <v>291</v>
      </c>
      <c r="AO163" s="63">
        <v>85</v>
      </c>
      <c r="AP163" s="63">
        <v>119</v>
      </c>
      <c r="AQ163" s="63">
        <v>193</v>
      </c>
      <c r="AR163" s="63">
        <v>3</v>
      </c>
      <c r="AS163" s="63">
        <v>3</v>
      </c>
      <c r="AT163" s="63">
        <v>10</v>
      </c>
      <c r="AU163" s="63">
        <v>33</v>
      </c>
      <c r="AV163" s="63">
        <v>100</v>
      </c>
      <c r="AW163" s="50">
        <v>39</v>
      </c>
      <c r="AX163" s="69">
        <v>2696</v>
      </c>
      <c r="AY163" s="69">
        <v>13942</v>
      </c>
      <c r="AZ163" s="54">
        <v>698</v>
      </c>
      <c r="BA163" s="54">
        <v>2068</v>
      </c>
      <c r="BB163" s="54">
        <v>436</v>
      </c>
      <c r="BC163" s="54">
        <v>1069</v>
      </c>
      <c r="BD163" s="54">
        <v>828</v>
      </c>
      <c r="BE163" s="70">
        <v>1375</v>
      </c>
      <c r="BF163" s="63">
        <v>277</v>
      </c>
      <c r="BG163" s="71">
        <v>2480</v>
      </c>
      <c r="BH163" s="67"/>
      <c r="BI163" s="68"/>
      <c r="BJ163" s="72">
        <v>1058</v>
      </c>
      <c r="BK163" s="62"/>
      <c r="BL163" s="70">
        <v>1556</v>
      </c>
      <c r="BM163" s="70">
        <v>150</v>
      </c>
      <c r="BN163" s="70">
        <v>24</v>
      </c>
      <c r="BO163" s="70">
        <v>882</v>
      </c>
      <c r="BP163" s="73">
        <v>2</v>
      </c>
      <c r="BQ163" s="74">
        <v>499</v>
      </c>
      <c r="BR163" s="54">
        <v>232</v>
      </c>
      <c r="BS163" s="75">
        <v>149</v>
      </c>
      <c r="BT163" s="76">
        <v>75.553319919517108</v>
      </c>
      <c r="BU163" s="77">
        <v>24.446680080482896</v>
      </c>
      <c r="BV163" s="78">
        <v>751</v>
      </c>
      <c r="BW163" s="79">
        <v>243</v>
      </c>
      <c r="BX163" s="69">
        <v>463</v>
      </c>
      <c r="BY163" s="70">
        <v>122</v>
      </c>
      <c r="BZ163" s="70">
        <v>128</v>
      </c>
      <c r="CA163" s="70">
        <v>166</v>
      </c>
      <c r="CB163" s="70">
        <v>6</v>
      </c>
      <c r="CC163" s="70">
        <v>108</v>
      </c>
      <c r="CD163" s="70">
        <v>1</v>
      </c>
      <c r="CE163" s="73">
        <v>0</v>
      </c>
    </row>
    <row r="164" spans="2:83" x14ac:dyDescent="0.3">
      <c r="B164" s="46">
        <v>32</v>
      </c>
      <c r="C164" s="47">
        <v>43318</v>
      </c>
      <c r="D164" s="48">
        <v>26</v>
      </c>
      <c r="E164" s="49">
        <v>1780</v>
      </c>
      <c r="F164" s="50">
        <v>221</v>
      </c>
      <c r="G164" s="51">
        <v>2.8289661743687469</v>
      </c>
      <c r="H164" s="52">
        <v>3.9665998663994655</v>
      </c>
      <c r="I164" s="53">
        <v>1497</v>
      </c>
      <c r="J164" s="54">
        <v>2099</v>
      </c>
      <c r="K164" s="54">
        <v>5938</v>
      </c>
      <c r="L164" s="55">
        <v>5372.6</v>
      </c>
      <c r="M164" s="56">
        <v>463.33699999999999</v>
      </c>
      <c r="N164" s="57">
        <v>890.69999999999993</v>
      </c>
      <c r="O164" s="58">
        <v>516.23</v>
      </c>
      <c r="P164" s="59">
        <v>11.502624799023691</v>
      </c>
      <c r="Q164" s="60">
        <v>661.28000000000009</v>
      </c>
      <c r="R164" s="61">
        <v>8.9795548028066765</v>
      </c>
      <c r="S164" s="48"/>
      <c r="T164" s="50"/>
      <c r="U164" s="62">
        <v>0</v>
      </c>
      <c r="V164" s="63">
        <v>100</v>
      </c>
      <c r="W164" s="50">
        <v>48</v>
      </c>
      <c r="X164" s="48">
        <v>49</v>
      </c>
      <c r="Y164" s="63">
        <v>207</v>
      </c>
      <c r="Z164" s="63">
        <v>521</v>
      </c>
      <c r="AA164" s="64">
        <v>1444.9</v>
      </c>
      <c r="AB164" s="65">
        <v>87.679000000000002</v>
      </c>
      <c r="AC164" s="66"/>
      <c r="AD164" s="67"/>
      <c r="AE164" s="68"/>
      <c r="AF164" s="48">
        <v>161</v>
      </c>
      <c r="AG164" s="63">
        <v>234</v>
      </c>
      <c r="AH164" s="63">
        <v>48</v>
      </c>
      <c r="AI164" s="63">
        <v>101</v>
      </c>
      <c r="AJ164" s="63">
        <v>52</v>
      </c>
      <c r="AK164" s="63">
        <v>193</v>
      </c>
      <c r="AL164" s="63">
        <v>133</v>
      </c>
      <c r="AM164" s="63">
        <v>132</v>
      </c>
      <c r="AN164" s="63">
        <v>286</v>
      </c>
      <c r="AO164" s="63">
        <v>109</v>
      </c>
      <c r="AP164" s="63">
        <v>118</v>
      </c>
      <c r="AQ164" s="63">
        <v>154</v>
      </c>
      <c r="AR164" s="63">
        <v>10</v>
      </c>
      <c r="AS164" s="63">
        <v>19</v>
      </c>
      <c r="AT164" s="63">
        <v>19</v>
      </c>
      <c r="AU164" s="63">
        <v>64</v>
      </c>
      <c r="AV164" s="63">
        <v>154</v>
      </c>
      <c r="AW164" s="50">
        <v>2</v>
      </c>
      <c r="AX164" s="69">
        <v>4226</v>
      </c>
      <c r="AY164" s="69">
        <v>20609</v>
      </c>
      <c r="AZ164" s="54">
        <v>1032</v>
      </c>
      <c r="BA164" s="54">
        <v>2423</v>
      </c>
      <c r="BB164" s="54">
        <v>575</v>
      </c>
      <c r="BC164" s="54">
        <v>1150</v>
      </c>
      <c r="BD164" s="54">
        <v>1125</v>
      </c>
      <c r="BE164" s="70">
        <v>1270</v>
      </c>
      <c r="BF164" s="63">
        <v>467</v>
      </c>
      <c r="BG164" s="71">
        <v>2862</v>
      </c>
      <c r="BH164" s="67"/>
      <c r="BI164" s="68"/>
      <c r="BJ164" s="72">
        <v>1442</v>
      </c>
      <c r="BK164" s="62"/>
      <c r="BL164" s="70">
        <v>1885</v>
      </c>
      <c r="BM164" s="70">
        <v>114</v>
      </c>
      <c r="BN164" s="70">
        <v>189</v>
      </c>
      <c r="BO164" s="70">
        <v>1131</v>
      </c>
      <c r="BP164" s="73">
        <v>8</v>
      </c>
      <c r="BQ164" s="74">
        <v>878</v>
      </c>
      <c r="BR164" s="54">
        <v>253</v>
      </c>
      <c r="BS164" s="75">
        <v>64</v>
      </c>
      <c r="BT164" s="76">
        <v>75.958904109589042</v>
      </c>
      <c r="BU164" s="77">
        <v>24.041095890410958</v>
      </c>
      <c r="BV164" s="78">
        <v>1109</v>
      </c>
      <c r="BW164" s="79">
        <v>351</v>
      </c>
      <c r="BX164" s="69">
        <v>620</v>
      </c>
      <c r="BY164" s="70">
        <v>141</v>
      </c>
      <c r="BZ164" s="70">
        <v>117</v>
      </c>
      <c r="CA164" s="70">
        <v>348</v>
      </c>
      <c r="CB164" s="70">
        <v>13</v>
      </c>
      <c r="CC164" s="70">
        <v>215</v>
      </c>
      <c r="CD164" s="70">
        <v>6</v>
      </c>
      <c r="CE164" s="73">
        <v>0</v>
      </c>
    </row>
    <row r="165" spans="2:83" x14ac:dyDescent="0.3">
      <c r="B165" s="46">
        <v>32</v>
      </c>
      <c r="C165" s="47">
        <v>43319</v>
      </c>
      <c r="D165" s="48">
        <v>4</v>
      </c>
      <c r="E165" s="49">
        <v>1199</v>
      </c>
      <c r="F165" s="50">
        <v>338</v>
      </c>
      <c r="G165" s="51">
        <v>4.5770953294945613</v>
      </c>
      <c r="H165" s="52">
        <v>7.2777212614445572</v>
      </c>
      <c r="I165" s="53">
        <v>983</v>
      </c>
      <c r="J165" s="54">
        <v>1563</v>
      </c>
      <c r="K165" s="54">
        <v>7154</v>
      </c>
      <c r="L165" s="55">
        <v>9925.9</v>
      </c>
      <c r="M165" s="56">
        <v>569.66399999999999</v>
      </c>
      <c r="N165" s="57">
        <v>1073.0999999999999</v>
      </c>
      <c r="O165" s="58">
        <v>495.16</v>
      </c>
      <c r="P165" s="59">
        <v>14.447855238710719</v>
      </c>
      <c r="Q165" s="60">
        <v>639.70000000000005</v>
      </c>
      <c r="R165" s="61">
        <v>11.183367203376582</v>
      </c>
      <c r="S165" s="48"/>
      <c r="T165" s="50"/>
      <c r="U165" s="62">
        <v>0</v>
      </c>
      <c r="V165" s="63">
        <v>66</v>
      </c>
      <c r="W165" s="50">
        <v>153</v>
      </c>
      <c r="X165" s="48">
        <v>45</v>
      </c>
      <c r="Y165" s="63">
        <v>220</v>
      </c>
      <c r="Z165" s="63">
        <v>154</v>
      </c>
      <c r="AA165" s="64">
        <v>5701.8</v>
      </c>
      <c r="AB165" s="65">
        <v>217.18799999999999</v>
      </c>
      <c r="AC165" s="66"/>
      <c r="AD165" s="67"/>
      <c r="AE165" s="68"/>
      <c r="AF165" s="48">
        <v>74</v>
      </c>
      <c r="AG165" s="63">
        <v>118</v>
      </c>
      <c r="AH165" s="63">
        <v>24</v>
      </c>
      <c r="AI165" s="63">
        <v>60</v>
      </c>
      <c r="AJ165" s="63">
        <v>37</v>
      </c>
      <c r="AK165" s="63">
        <v>155</v>
      </c>
      <c r="AL165" s="63">
        <v>75</v>
      </c>
      <c r="AM165" s="63">
        <v>73</v>
      </c>
      <c r="AN165" s="63">
        <v>191</v>
      </c>
      <c r="AO165" s="63">
        <v>98</v>
      </c>
      <c r="AP165" s="63">
        <v>111</v>
      </c>
      <c r="AQ165" s="63">
        <v>128</v>
      </c>
      <c r="AR165" s="63">
        <v>7</v>
      </c>
      <c r="AS165" s="63">
        <v>0</v>
      </c>
      <c r="AT165" s="63">
        <v>16</v>
      </c>
      <c r="AU165" s="63">
        <v>105</v>
      </c>
      <c r="AV165" s="63">
        <v>228</v>
      </c>
      <c r="AW165" s="50">
        <v>4</v>
      </c>
      <c r="AX165" s="69">
        <v>2611</v>
      </c>
      <c r="AY165" s="69">
        <v>19341</v>
      </c>
      <c r="AZ165" s="54">
        <v>1165</v>
      </c>
      <c r="BA165" s="54">
        <v>3208</v>
      </c>
      <c r="BB165" s="54">
        <v>71</v>
      </c>
      <c r="BC165" s="54">
        <v>159</v>
      </c>
      <c r="BD165" s="54">
        <v>742</v>
      </c>
      <c r="BE165" s="70">
        <v>1997</v>
      </c>
      <c r="BF165" s="63">
        <v>141</v>
      </c>
      <c r="BG165" s="71">
        <v>2880</v>
      </c>
      <c r="BH165" s="67"/>
      <c r="BI165" s="68"/>
      <c r="BJ165" s="72">
        <v>1409</v>
      </c>
      <c r="BK165" s="62"/>
      <c r="BL165" s="70">
        <v>1845</v>
      </c>
      <c r="BM165" s="70">
        <v>221</v>
      </c>
      <c r="BN165" s="70">
        <v>211</v>
      </c>
      <c r="BO165" s="70">
        <v>956</v>
      </c>
      <c r="BP165" s="73">
        <v>21</v>
      </c>
      <c r="BQ165" s="74">
        <v>470</v>
      </c>
      <c r="BR165" s="54">
        <v>246</v>
      </c>
      <c r="BS165" s="75">
        <v>103</v>
      </c>
      <c r="BT165" s="76">
        <v>67.0807453416149</v>
      </c>
      <c r="BU165" s="77">
        <v>32.919254658385093</v>
      </c>
      <c r="BV165" s="78">
        <v>648</v>
      </c>
      <c r="BW165" s="79">
        <v>318</v>
      </c>
      <c r="BX165" s="69">
        <v>301</v>
      </c>
      <c r="BY165" s="70">
        <v>120</v>
      </c>
      <c r="BZ165" s="70">
        <v>160</v>
      </c>
      <c r="CA165" s="70">
        <v>227</v>
      </c>
      <c r="CB165" s="70">
        <v>10</v>
      </c>
      <c r="CC165" s="70">
        <v>143</v>
      </c>
      <c r="CD165" s="70">
        <v>5</v>
      </c>
      <c r="CE165" s="73">
        <v>0</v>
      </c>
    </row>
    <row r="166" spans="2:83" x14ac:dyDescent="0.3">
      <c r="B166" s="46">
        <v>32</v>
      </c>
      <c r="C166" s="47">
        <v>43320</v>
      </c>
      <c r="D166" s="48">
        <v>39</v>
      </c>
      <c r="E166" s="49">
        <v>1322</v>
      </c>
      <c r="F166" s="50">
        <v>188</v>
      </c>
      <c r="G166" s="51">
        <v>4.7046332046332049</v>
      </c>
      <c r="H166" s="52">
        <v>7.1049562682215743</v>
      </c>
      <c r="I166" s="53">
        <v>1029</v>
      </c>
      <c r="J166" s="54">
        <v>1554</v>
      </c>
      <c r="K166" s="54">
        <v>7311</v>
      </c>
      <c r="L166" s="55">
        <v>6417.3</v>
      </c>
      <c r="M166" s="56">
        <v>379.767</v>
      </c>
      <c r="N166" s="57">
        <v>1096.6500000000001</v>
      </c>
      <c r="O166" s="58">
        <v>570.47</v>
      </c>
      <c r="P166" s="59">
        <v>12.815748417971147</v>
      </c>
      <c r="Q166" s="60">
        <v>717.16000000000008</v>
      </c>
      <c r="R166" s="61">
        <v>10.19437782363768</v>
      </c>
      <c r="S166" s="48"/>
      <c r="T166" s="50"/>
      <c r="U166" s="62">
        <v>0</v>
      </c>
      <c r="V166" s="63">
        <v>74</v>
      </c>
      <c r="W166" s="50">
        <v>59</v>
      </c>
      <c r="X166" s="48">
        <v>24</v>
      </c>
      <c r="Y166" s="63">
        <v>129</v>
      </c>
      <c r="Z166" s="63">
        <v>486</v>
      </c>
      <c r="AA166" s="64">
        <v>736.3</v>
      </c>
      <c r="AB166" s="65">
        <v>73.784999999999997</v>
      </c>
      <c r="AC166" s="66"/>
      <c r="AD166" s="67"/>
      <c r="AE166" s="68"/>
      <c r="AF166" s="48">
        <v>83</v>
      </c>
      <c r="AG166" s="63">
        <v>159</v>
      </c>
      <c r="AH166" s="63">
        <v>28</v>
      </c>
      <c r="AI166" s="63">
        <v>78</v>
      </c>
      <c r="AJ166" s="63">
        <v>60</v>
      </c>
      <c r="AK166" s="63">
        <v>117</v>
      </c>
      <c r="AL166" s="63">
        <v>121</v>
      </c>
      <c r="AM166" s="63">
        <v>77</v>
      </c>
      <c r="AN166" s="63">
        <v>234</v>
      </c>
      <c r="AO166" s="63">
        <v>120</v>
      </c>
      <c r="AP166" s="63">
        <v>101</v>
      </c>
      <c r="AQ166" s="63">
        <v>93</v>
      </c>
      <c r="AR166" s="63">
        <v>11</v>
      </c>
      <c r="AS166" s="63">
        <v>1</v>
      </c>
      <c r="AT166" s="63">
        <v>8</v>
      </c>
      <c r="AU166" s="63">
        <v>59</v>
      </c>
      <c r="AV166" s="63">
        <v>117</v>
      </c>
      <c r="AW166" s="50">
        <v>11</v>
      </c>
      <c r="AX166" s="69">
        <v>5273</v>
      </c>
      <c r="AY166" s="69">
        <v>34545</v>
      </c>
      <c r="AZ166" s="54">
        <v>1323</v>
      </c>
      <c r="BA166" s="54">
        <v>4668</v>
      </c>
      <c r="BB166" s="54">
        <v>219</v>
      </c>
      <c r="BC166" s="54">
        <v>540</v>
      </c>
      <c r="BD166" s="54">
        <v>1214</v>
      </c>
      <c r="BE166" s="70">
        <v>1707</v>
      </c>
      <c r="BF166" s="63">
        <v>298</v>
      </c>
      <c r="BG166" s="71">
        <v>3219</v>
      </c>
      <c r="BH166" s="67"/>
      <c r="BI166" s="68"/>
      <c r="BJ166" s="72">
        <v>1365</v>
      </c>
      <c r="BK166" s="62"/>
      <c r="BL166" s="70">
        <v>1256</v>
      </c>
      <c r="BM166" s="70">
        <v>149</v>
      </c>
      <c r="BN166" s="70">
        <v>127</v>
      </c>
      <c r="BO166" s="70">
        <v>1070</v>
      </c>
      <c r="BP166" s="73">
        <v>19</v>
      </c>
      <c r="BQ166" s="74">
        <v>551</v>
      </c>
      <c r="BR166" s="54">
        <v>277</v>
      </c>
      <c r="BS166" s="75">
        <v>100</v>
      </c>
      <c r="BT166" s="76">
        <v>72.745098039215691</v>
      </c>
      <c r="BU166" s="77">
        <v>27.254901960784313</v>
      </c>
      <c r="BV166" s="78">
        <v>742</v>
      </c>
      <c r="BW166" s="79">
        <v>278</v>
      </c>
      <c r="BX166" s="69">
        <v>440</v>
      </c>
      <c r="BY166" s="70">
        <v>127</v>
      </c>
      <c r="BZ166" s="70">
        <v>178</v>
      </c>
      <c r="CA166" s="70">
        <v>175</v>
      </c>
      <c r="CB166" s="70">
        <v>6</v>
      </c>
      <c r="CC166" s="70">
        <v>91</v>
      </c>
      <c r="CD166" s="70">
        <v>3</v>
      </c>
      <c r="CE166" s="73">
        <v>0</v>
      </c>
    </row>
    <row r="167" spans="2:83" x14ac:dyDescent="0.3">
      <c r="B167" s="46">
        <v>32</v>
      </c>
      <c r="C167" s="47">
        <v>43321</v>
      </c>
      <c r="D167" s="48">
        <v>20</v>
      </c>
      <c r="E167" s="49">
        <v>1379</v>
      </c>
      <c r="F167" s="50">
        <v>249</v>
      </c>
      <c r="G167" s="51">
        <v>4.7965367965367962</v>
      </c>
      <c r="H167" s="52">
        <v>7.9385875127942684</v>
      </c>
      <c r="I167" s="53">
        <v>977</v>
      </c>
      <c r="J167" s="54">
        <v>1617</v>
      </c>
      <c r="K167" s="54">
        <v>7756</v>
      </c>
      <c r="L167" s="55">
        <v>6703</v>
      </c>
      <c r="M167" s="56">
        <v>437.16500000000002</v>
      </c>
      <c r="N167" s="57">
        <v>1163.4000000000001</v>
      </c>
      <c r="O167" s="58">
        <v>551.18000000000006</v>
      </c>
      <c r="P167" s="59">
        <v>14.071628143256286</v>
      </c>
      <c r="Q167" s="60">
        <v>695.95000000000016</v>
      </c>
      <c r="R167" s="61">
        <v>11.144478770026581</v>
      </c>
      <c r="S167" s="48"/>
      <c r="T167" s="50"/>
      <c r="U167" s="62">
        <v>0</v>
      </c>
      <c r="V167" s="63">
        <v>101</v>
      </c>
      <c r="W167" s="50">
        <v>65</v>
      </c>
      <c r="X167" s="48">
        <v>56</v>
      </c>
      <c r="Y167" s="63">
        <v>137</v>
      </c>
      <c r="Z167" s="63">
        <v>459</v>
      </c>
      <c r="AA167" s="64">
        <v>1343.9</v>
      </c>
      <c r="AB167" s="65">
        <v>60.746000000000002</v>
      </c>
      <c r="AC167" s="66"/>
      <c r="AD167" s="67"/>
      <c r="AE167" s="68"/>
      <c r="AF167" s="48">
        <v>77</v>
      </c>
      <c r="AG167" s="63">
        <v>106</v>
      </c>
      <c r="AH167" s="63">
        <v>25</v>
      </c>
      <c r="AI167" s="63">
        <v>43</v>
      </c>
      <c r="AJ167" s="63">
        <v>49</v>
      </c>
      <c r="AK167" s="63">
        <v>126</v>
      </c>
      <c r="AL167" s="63">
        <v>105</v>
      </c>
      <c r="AM167" s="63">
        <v>96</v>
      </c>
      <c r="AN167" s="63">
        <v>171</v>
      </c>
      <c r="AO167" s="63">
        <v>134</v>
      </c>
      <c r="AP167" s="63">
        <v>175</v>
      </c>
      <c r="AQ167" s="63">
        <v>226</v>
      </c>
      <c r="AR167" s="63">
        <v>5</v>
      </c>
      <c r="AS167" s="63">
        <v>1</v>
      </c>
      <c r="AT167" s="63">
        <v>1</v>
      </c>
      <c r="AU167" s="63">
        <v>70</v>
      </c>
      <c r="AV167" s="63">
        <v>174</v>
      </c>
      <c r="AW167" s="50">
        <v>5</v>
      </c>
      <c r="AX167" s="69">
        <v>1942</v>
      </c>
      <c r="AY167" s="69">
        <v>10229</v>
      </c>
      <c r="AZ167" s="54">
        <v>601</v>
      </c>
      <c r="BA167" s="54">
        <v>1497</v>
      </c>
      <c r="BB167" s="54">
        <v>132</v>
      </c>
      <c r="BC167" s="54">
        <v>272</v>
      </c>
      <c r="BD167" s="54">
        <v>590</v>
      </c>
      <c r="BE167" s="70">
        <v>1099</v>
      </c>
      <c r="BF167" s="63">
        <v>128</v>
      </c>
      <c r="BG167" s="71">
        <v>1817</v>
      </c>
      <c r="BH167" s="67"/>
      <c r="BI167" s="68"/>
      <c r="BJ167" s="72">
        <v>1468</v>
      </c>
      <c r="BK167" s="62"/>
      <c r="BL167" s="70">
        <v>1263</v>
      </c>
      <c r="BM167" s="70">
        <v>151</v>
      </c>
      <c r="BN167" s="70">
        <v>157</v>
      </c>
      <c r="BO167" s="70">
        <v>1141</v>
      </c>
      <c r="BP167" s="73">
        <v>19</v>
      </c>
      <c r="BQ167" s="74">
        <v>425</v>
      </c>
      <c r="BR167" s="54">
        <v>286</v>
      </c>
      <c r="BS167" s="75">
        <v>61</v>
      </c>
      <c r="BT167" s="76">
        <v>62.512980269989619</v>
      </c>
      <c r="BU167" s="77">
        <v>37.487019730010381</v>
      </c>
      <c r="BV167" s="78">
        <v>602</v>
      </c>
      <c r="BW167" s="79">
        <v>361</v>
      </c>
      <c r="BX167" s="69">
        <v>297</v>
      </c>
      <c r="BY167" s="70">
        <v>120</v>
      </c>
      <c r="BZ167" s="70">
        <v>215</v>
      </c>
      <c r="CA167" s="70">
        <v>185</v>
      </c>
      <c r="CB167" s="70">
        <v>10</v>
      </c>
      <c r="CC167" s="70">
        <v>125</v>
      </c>
      <c r="CD167" s="70">
        <v>11</v>
      </c>
      <c r="CE167" s="73">
        <v>0</v>
      </c>
    </row>
    <row r="168" spans="2:83" x14ac:dyDescent="0.3">
      <c r="B168" s="46">
        <v>32</v>
      </c>
      <c r="C168" s="47">
        <v>43322</v>
      </c>
      <c r="D168" s="48">
        <v>8</v>
      </c>
      <c r="E168" s="49">
        <v>1010</v>
      </c>
      <c r="F168" s="50">
        <v>209</v>
      </c>
      <c r="G168" s="51">
        <v>3.9455406471981056</v>
      </c>
      <c r="H168" s="52">
        <v>6.5261096605744129</v>
      </c>
      <c r="I168" s="53">
        <v>766</v>
      </c>
      <c r="J168" s="54">
        <v>1267</v>
      </c>
      <c r="K168" s="54">
        <v>4999</v>
      </c>
      <c r="L168" s="55">
        <v>4515.3</v>
      </c>
      <c r="M168" s="56">
        <v>427.50400000000002</v>
      </c>
      <c r="N168" s="57">
        <v>749.84999999999991</v>
      </c>
      <c r="O168" s="58">
        <v>423.65</v>
      </c>
      <c r="P168" s="59">
        <v>11.799834769267084</v>
      </c>
      <c r="Q168" s="60">
        <v>555.91</v>
      </c>
      <c r="R168" s="61">
        <v>8.9924628087280318</v>
      </c>
      <c r="S168" s="48"/>
      <c r="T168" s="50"/>
      <c r="U168" s="62">
        <v>0</v>
      </c>
      <c r="V168" s="63">
        <v>33</v>
      </c>
      <c r="W168" s="50">
        <v>103</v>
      </c>
      <c r="X168" s="48">
        <v>33</v>
      </c>
      <c r="Y168" s="63">
        <v>172</v>
      </c>
      <c r="Z168" s="63">
        <v>197</v>
      </c>
      <c r="AA168" s="64">
        <v>2328.8000000000002</v>
      </c>
      <c r="AB168" s="65">
        <v>180.285</v>
      </c>
      <c r="AC168" s="66"/>
      <c r="AD168" s="67"/>
      <c r="AE168" s="68"/>
      <c r="AF168" s="48">
        <v>63</v>
      </c>
      <c r="AG168" s="63">
        <v>82</v>
      </c>
      <c r="AH168" s="63">
        <v>18</v>
      </c>
      <c r="AI168" s="63">
        <v>37</v>
      </c>
      <c r="AJ168" s="63">
        <v>32</v>
      </c>
      <c r="AK168" s="63">
        <v>76</v>
      </c>
      <c r="AL168" s="63">
        <v>63</v>
      </c>
      <c r="AM168" s="63">
        <v>62</v>
      </c>
      <c r="AN168" s="63">
        <v>172</v>
      </c>
      <c r="AO168" s="63">
        <v>152</v>
      </c>
      <c r="AP168" s="63">
        <v>129</v>
      </c>
      <c r="AQ168" s="63">
        <v>97</v>
      </c>
      <c r="AR168" s="63">
        <v>5</v>
      </c>
      <c r="AS168" s="63">
        <v>3</v>
      </c>
      <c r="AT168" s="63">
        <v>4</v>
      </c>
      <c r="AU168" s="63">
        <v>55</v>
      </c>
      <c r="AV168" s="63">
        <v>145</v>
      </c>
      <c r="AW168" s="50">
        <v>9</v>
      </c>
      <c r="AX168" s="69">
        <v>2628</v>
      </c>
      <c r="AY168" s="69">
        <v>10418</v>
      </c>
      <c r="AZ168" s="54">
        <v>1149</v>
      </c>
      <c r="BA168" s="54">
        <v>1999</v>
      </c>
      <c r="BB168" s="54">
        <v>421</v>
      </c>
      <c r="BC168" s="54">
        <v>789</v>
      </c>
      <c r="BD168" s="54">
        <v>619</v>
      </c>
      <c r="BE168" s="70">
        <v>1523</v>
      </c>
      <c r="BF168" s="63">
        <v>220</v>
      </c>
      <c r="BG168" s="71">
        <v>2362</v>
      </c>
      <c r="BH168" s="67"/>
      <c r="BI168" s="68"/>
      <c r="BJ168" s="72">
        <v>946</v>
      </c>
      <c r="BK168" s="62"/>
      <c r="BL168" s="70">
        <v>1449</v>
      </c>
      <c r="BM168" s="70">
        <v>49</v>
      </c>
      <c r="BN168" s="70">
        <v>119</v>
      </c>
      <c r="BO168" s="70">
        <v>755</v>
      </c>
      <c r="BP168" s="73">
        <v>23</v>
      </c>
      <c r="BQ168" s="74">
        <v>322</v>
      </c>
      <c r="BR168" s="54">
        <v>269</v>
      </c>
      <c r="BS168" s="75">
        <v>30</v>
      </c>
      <c r="BT168" s="76">
        <v>60.719041278295606</v>
      </c>
      <c r="BU168" s="77">
        <v>39.280958721704394</v>
      </c>
      <c r="BV168" s="78">
        <v>456</v>
      </c>
      <c r="BW168" s="79">
        <v>295</v>
      </c>
      <c r="BX168" s="69">
        <v>258</v>
      </c>
      <c r="BY168" s="70">
        <v>96</v>
      </c>
      <c r="BZ168" s="70">
        <v>158</v>
      </c>
      <c r="CA168" s="70">
        <v>102</v>
      </c>
      <c r="CB168" s="70">
        <v>3</v>
      </c>
      <c r="CC168" s="70">
        <v>129</v>
      </c>
      <c r="CD168" s="70">
        <v>5</v>
      </c>
      <c r="CE168" s="73">
        <v>0</v>
      </c>
    </row>
    <row r="169" spans="2:83" x14ac:dyDescent="0.3">
      <c r="B169" s="46">
        <v>33</v>
      </c>
      <c r="C169" s="47">
        <v>43325</v>
      </c>
      <c r="D169" s="48">
        <v>56</v>
      </c>
      <c r="E169" s="49">
        <v>1382</v>
      </c>
      <c r="F169" s="50">
        <v>174</v>
      </c>
      <c r="G169" s="51">
        <v>3.5818527918781724</v>
      </c>
      <c r="H169" s="52">
        <v>4.9648197009674586</v>
      </c>
      <c r="I169" s="53">
        <v>1137</v>
      </c>
      <c r="J169" s="54">
        <v>1576</v>
      </c>
      <c r="K169" s="54">
        <v>5645</v>
      </c>
      <c r="L169" s="55">
        <v>4709.8999999999996</v>
      </c>
      <c r="M169" s="56">
        <v>310.69099999999997</v>
      </c>
      <c r="N169" s="57">
        <v>846.74999999999989</v>
      </c>
      <c r="O169" s="58">
        <v>488.99</v>
      </c>
      <c r="P169" s="59">
        <v>11.54420335794188</v>
      </c>
      <c r="Q169" s="60">
        <v>646.9</v>
      </c>
      <c r="R169" s="61">
        <v>8.7262328025970017</v>
      </c>
      <c r="S169" s="48"/>
      <c r="T169" s="50"/>
      <c r="U169" s="62">
        <v>0</v>
      </c>
      <c r="V169" s="63">
        <v>105</v>
      </c>
      <c r="W169" s="50">
        <v>33</v>
      </c>
      <c r="X169" s="48">
        <v>41</v>
      </c>
      <c r="Y169" s="63">
        <v>130</v>
      </c>
      <c r="Z169" s="63">
        <v>446</v>
      </c>
      <c r="AA169" s="64">
        <v>652.29999999999995</v>
      </c>
      <c r="AB169" s="65">
        <v>36.006</v>
      </c>
      <c r="AC169" s="66"/>
      <c r="AD169" s="67"/>
      <c r="AE169" s="68"/>
      <c r="AF169" s="48">
        <v>83</v>
      </c>
      <c r="AG169" s="63">
        <v>144</v>
      </c>
      <c r="AH169" s="63">
        <v>36</v>
      </c>
      <c r="AI169" s="63">
        <v>67</v>
      </c>
      <c r="AJ169" s="63">
        <v>56</v>
      </c>
      <c r="AK169" s="63">
        <v>128</v>
      </c>
      <c r="AL169" s="63">
        <v>118</v>
      </c>
      <c r="AM169" s="63">
        <v>93</v>
      </c>
      <c r="AN169" s="63">
        <v>189</v>
      </c>
      <c r="AO169" s="63">
        <v>82</v>
      </c>
      <c r="AP169" s="63">
        <v>123</v>
      </c>
      <c r="AQ169" s="63">
        <v>202</v>
      </c>
      <c r="AR169" s="63">
        <v>9</v>
      </c>
      <c r="AS169" s="63">
        <v>3</v>
      </c>
      <c r="AT169" s="63">
        <v>1</v>
      </c>
      <c r="AU169" s="63">
        <v>49</v>
      </c>
      <c r="AV169" s="63">
        <v>118</v>
      </c>
      <c r="AW169" s="50">
        <v>7</v>
      </c>
      <c r="AX169" s="69">
        <v>3223</v>
      </c>
      <c r="AY169" s="69">
        <v>14432</v>
      </c>
      <c r="AZ169" s="54">
        <v>1092</v>
      </c>
      <c r="BA169" s="54">
        <v>3401</v>
      </c>
      <c r="BB169" s="54">
        <v>85</v>
      </c>
      <c r="BC169" s="54">
        <v>174</v>
      </c>
      <c r="BD169" s="54">
        <v>831</v>
      </c>
      <c r="BE169" s="70">
        <v>1346</v>
      </c>
      <c r="BF169" s="63">
        <v>163</v>
      </c>
      <c r="BG169" s="71">
        <v>2340</v>
      </c>
      <c r="BH169" s="67"/>
      <c r="BI169" s="68"/>
      <c r="BJ169" s="72">
        <v>1357</v>
      </c>
      <c r="BK169" s="62"/>
      <c r="BL169" s="70">
        <v>1784</v>
      </c>
      <c r="BM169" s="70">
        <v>326</v>
      </c>
      <c r="BN169" s="70">
        <v>89</v>
      </c>
      <c r="BO169" s="70">
        <v>931</v>
      </c>
      <c r="BP169" s="73">
        <v>11</v>
      </c>
      <c r="BQ169" s="74">
        <v>545</v>
      </c>
      <c r="BR169" s="54">
        <v>273</v>
      </c>
      <c r="BS169" s="75">
        <v>57</v>
      </c>
      <c r="BT169" s="76">
        <v>64.753363228699556</v>
      </c>
      <c r="BU169" s="77">
        <v>35.246636771300452</v>
      </c>
      <c r="BV169" s="78">
        <v>722</v>
      </c>
      <c r="BW169" s="79">
        <v>393</v>
      </c>
      <c r="BX169" s="69">
        <v>398</v>
      </c>
      <c r="BY169" s="70">
        <v>126</v>
      </c>
      <c r="BZ169" s="70">
        <v>162</v>
      </c>
      <c r="CA169" s="70">
        <v>198</v>
      </c>
      <c r="CB169" s="70">
        <v>2</v>
      </c>
      <c r="CC169" s="70">
        <v>148</v>
      </c>
      <c r="CD169" s="70">
        <v>4</v>
      </c>
      <c r="CE169" s="73">
        <v>77</v>
      </c>
    </row>
    <row r="170" spans="2:83" x14ac:dyDescent="0.3">
      <c r="B170" s="46">
        <v>33</v>
      </c>
      <c r="C170" s="47">
        <v>43326</v>
      </c>
      <c r="D170" s="48">
        <v>13</v>
      </c>
      <c r="E170" s="49">
        <v>1697</v>
      </c>
      <c r="F170" s="50">
        <v>240</v>
      </c>
      <c r="G170" s="51">
        <v>2.5170170170170172</v>
      </c>
      <c r="H170" s="52">
        <v>3.3150955833882665</v>
      </c>
      <c r="I170" s="53">
        <v>1517</v>
      </c>
      <c r="J170" s="54">
        <v>1998</v>
      </c>
      <c r="K170" s="54">
        <v>5029</v>
      </c>
      <c r="L170" s="55">
        <v>3835.1</v>
      </c>
      <c r="M170" s="56">
        <v>424.36900000000003</v>
      </c>
      <c r="N170" s="57">
        <v>754.35</v>
      </c>
      <c r="O170" s="58">
        <v>459.06</v>
      </c>
      <c r="P170" s="59">
        <v>10.954994989761687</v>
      </c>
      <c r="Q170" s="60">
        <v>605.59999999999991</v>
      </c>
      <c r="R170" s="61">
        <v>8.3041611624834886</v>
      </c>
      <c r="S170" s="48"/>
      <c r="T170" s="50"/>
      <c r="U170" s="62">
        <v>0</v>
      </c>
      <c r="V170" s="63">
        <v>41</v>
      </c>
      <c r="W170" s="50">
        <v>91</v>
      </c>
      <c r="X170" s="48">
        <v>31</v>
      </c>
      <c r="Y170" s="63">
        <v>169</v>
      </c>
      <c r="Z170" s="63">
        <v>213</v>
      </c>
      <c r="AA170" s="64">
        <v>633.20000000000005</v>
      </c>
      <c r="AB170" s="65">
        <v>96.677999999999997</v>
      </c>
      <c r="AC170" s="66"/>
      <c r="AD170" s="67"/>
      <c r="AE170" s="68"/>
      <c r="AF170" s="48">
        <v>147</v>
      </c>
      <c r="AG170" s="63">
        <v>311</v>
      </c>
      <c r="AH170" s="63">
        <v>65</v>
      </c>
      <c r="AI170" s="63">
        <v>97</v>
      </c>
      <c r="AJ170" s="63">
        <v>45</v>
      </c>
      <c r="AK170" s="63">
        <v>274</v>
      </c>
      <c r="AL170" s="63">
        <v>103</v>
      </c>
      <c r="AM170" s="63">
        <v>93</v>
      </c>
      <c r="AN170" s="63">
        <v>176</v>
      </c>
      <c r="AO170" s="63">
        <v>125</v>
      </c>
      <c r="AP170" s="63">
        <v>87</v>
      </c>
      <c r="AQ170" s="63">
        <v>123</v>
      </c>
      <c r="AR170" s="63">
        <v>7</v>
      </c>
      <c r="AS170" s="63">
        <v>5</v>
      </c>
      <c r="AT170" s="63">
        <v>17</v>
      </c>
      <c r="AU170" s="63">
        <v>50</v>
      </c>
      <c r="AV170" s="63">
        <v>182</v>
      </c>
      <c r="AW170" s="50">
        <v>8</v>
      </c>
      <c r="AX170" s="69">
        <v>2478</v>
      </c>
      <c r="AY170" s="69">
        <v>12041</v>
      </c>
      <c r="AZ170" s="54">
        <v>424</v>
      </c>
      <c r="BA170" s="54">
        <v>816</v>
      </c>
      <c r="BB170" s="54">
        <v>42</v>
      </c>
      <c r="BC170" s="54">
        <v>43</v>
      </c>
      <c r="BD170" s="54">
        <v>989</v>
      </c>
      <c r="BE170" s="70">
        <v>426</v>
      </c>
      <c r="BF170" s="63">
        <v>77</v>
      </c>
      <c r="BG170" s="71">
        <v>1492</v>
      </c>
      <c r="BH170" s="67"/>
      <c r="BI170" s="68"/>
      <c r="BJ170" s="72">
        <v>1275</v>
      </c>
      <c r="BK170" s="62"/>
      <c r="BL170" s="70">
        <v>1382</v>
      </c>
      <c r="BM170" s="70">
        <v>233</v>
      </c>
      <c r="BN170" s="70">
        <v>193</v>
      </c>
      <c r="BO170" s="70">
        <v>840</v>
      </c>
      <c r="BP170" s="73">
        <v>9</v>
      </c>
      <c r="BQ170" s="74">
        <v>1019</v>
      </c>
      <c r="BR170" s="54">
        <v>151</v>
      </c>
      <c r="BS170" s="75">
        <v>75</v>
      </c>
      <c r="BT170" s="76">
        <v>78.006644518272424</v>
      </c>
      <c r="BU170" s="77">
        <v>21.993355481727576</v>
      </c>
      <c r="BV170" s="78">
        <v>1174</v>
      </c>
      <c r="BW170" s="79">
        <v>331</v>
      </c>
      <c r="BX170" s="69">
        <v>720</v>
      </c>
      <c r="BY170" s="70">
        <v>78</v>
      </c>
      <c r="BZ170" s="70">
        <v>87</v>
      </c>
      <c r="CA170" s="70">
        <v>376</v>
      </c>
      <c r="CB170" s="70">
        <v>7</v>
      </c>
      <c r="CC170" s="70">
        <v>230</v>
      </c>
      <c r="CD170" s="70">
        <v>7</v>
      </c>
      <c r="CE170" s="73">
        <v>0</v>
      </c>
    </row>
    <row r="171" spans="2:83" x14ac:dyDescent="0.3">
      <c r="B171" s="46">
        <v>33</v>
      </c>
      <c r="C171" s="47">
        <v>43327</v>
      </c>
      <c r="D171" s="48">
        <v>27</v>
      </c>
      <c r="E171" s="49">
        <v>1041</v>
      </c>
      <c r="F171" s="50">
        <v>173</v>
      </c>
      <c r="G171" s="51">
        <v>4.7899022801302928</v>
      </c>
      <c r="H171" s="52">
        <v>7.1995104039167686</v>
      </c>
      <c r="I171" s="53">
        <v>817</v>
      </c>
      <c r="J171" s="54">
        <v>1228</v>
      </c>
      <c r="K171" s="54">
        <v>5882</v>
      </c>
      <c r="L171" s="55">
        <v>4464.6000000000004</v>
      </c>
      <c r="M171" s="56">
        <v>315.58300000000003</v>
      </c>
      <c r="N171" s="57">
        <v>882.3</v>
      </c>
      <c r="O171" s="58">
        <v>510.82</v>
      </c>
      <c r="P171" s="59">
        <v>11.514819310128813</v>
      </c>
      <c r="Q171" s="60">
        <v>666.28</v>
      </c>
      <c r="R171" s="61">
        <v>8.8281203097796723</v>
      </c>
      <c r="S171" s="48"/>
      <c r="T171" s="50"/>
      <c r="U171" s="62">
        <v>0</v>
      </c>
      <c r="V171" s="63">
        <v>72</v>
      </c>
      <c r="W171" s="50">
        <v>78</v>
      </c>
      <c r="X171" s="48">
        <v>38</v>
      </c>
      <c r="Y171" s="63">
        <v>148</v>
      </c>
      <c r="Z171" s="63">
        <v>299</v>
      </c>
      <c r="AA171" s="64">
        <v>1114</v>
      </c>
      <c r="AB171" s="65">
        <v>100.598</v>
      </c>
      <c r="AC171" s="66"/>
      <c r="AD171" s="67"/>
      <c r="AE171" s="68"/>
      <c r="AF171" s="48">
        <v>69</v>
      </c>
      <c r="AG171" s="63">
        <v>108</v>
      </c>
      <c r="AH171" s="63">
        <v>24</v>
      </c>
      <c r="AI171" s="63">
        <v>39</v>
      </c>
      <c r="AJ171" s="63">
        <v>38</v>
      </c>
      <c r="AK171" s="63">
        <v>107</v>
      </c>
      <c r="AL171" s="63">
        <v>65</v>
      </c>
      <c r="AM171" s="63">
        <v>83</v>
      </c>
      <c r="AN171" s="63">
        <v>194</v>
      </c>
      <c r="AO171" s="63">
        <v>94</v>
      </c>
      <c r="AP171" s="63">
        <v>114</v>
      </c>
      <c r="AQ171" s="63">
        <v>97</v>
      </c>
      <c r="AR171" s="63">
        <v>3</v>
      </c>
      <c r="AS171" s="63">
        <v>1</v>
      </c>
      <c r="AT171" s="63">
        <v>4</v>
      </c>
      <c r="AU171" s="63">
        <v>67</v>
      </c>
      <c r="AV171" s="63">
        <v>92</v>
      </c>
      <c r="AW171" s="50">
        <v>13</v>
      </c>
      <c r="AX171" s="69">
        <v>3286</v>
      </c>
      <c r="AY171" s="69">
        <v>18532</v>
      </c>
      <c r="AZ171" s="54">
        <v>1652</v>
      </c>
      <c r="BA171" s="54">
        <v>9073</v>
      </c>
      <c r="BB171" s="54">
        <v>285</v>
      </c>
      <c r="BC171" s="54">
        <v>773</v>
      </c>
      <c r="BD171" s="54">
        <v>782</v>
      </c>
      <c r="BE171" s="70">
        <v>1661</v>
      </c>
      <c r="BF171" s="63">
        <v>266</v>
      </c>
      <c r="BG171" s="71">
        <v>2709</v>
      </c>
      <c r="BH171" s="67"/>
      <c r="BI171" s="68"/>
      <c r="BJ171" s="72">
        <v>1583</v>
      </c>
      <c r="BK171" s="62"/>
      <c r="BL171" s="70">
        <v>1776</v>
      </c>
      <c r="BM171" s="70">
        <v>166</v>
      </c>
      <c r="BN171" s="70">
        <v>120</v>
      </c>
      <c r="BO171" s="70">
        <v>1288</v>
      </c>
      <c r="BP171" s="73">
        <v>9</v>
      </c>
      <c r="BQ171" s="74">
        <v>388</v>
      </c>
      <c r="BR171" s="54">
        <v>217</v>
      </c>
      <c r="BS171" s="75">
        <v>79</v>
      </c>
      <c r="BT171" s="76">
        <v>66.419753086419746</v>
      </c>
      <c r="BU171" s="77">
        <v>33.580246913580247</v>
      </c>
      <c r="BV171" s="78">
        <v>538</v>
      </c>
      <c r="BW171" s="79">
        <v>272</v>
      </c>
      <c r="BX171" s="69">
        <v>279</v>
      </c>
      <c r="BY171" s="70">
        <v>110</v>
      </c>
      <c r="BZ171" s="70">
        <v>144</v>
      </c>
      <c r="CA171" s="70">
        <v>149</v>
      </c>
      <c r="CB171" s="70">
        <v>3</v>
      </c>
      <c r="CC171" s="70">
        <v>125</v>
      </c>
      <c r="CD171" s="70">
        <v>0</v>
      </c>
      <c r="CE171" s="73">
        <v>0</v>
      </c>
    </row>
    <row r="172" spans="2:83" x14ac:dyDescent="0.3">
      <c r="B172" s="46">
        <v>33</v>
      </c>
      <c r="C172" s="47">
        <v>43328</v>
      </c>
      <c r="D172" s="48">
        <v>17</v>
      </c>
      <c r="E172" s="49">
        <v>877</v>
      </c>
      <c r="F172" s="50">
        <v>273</v>
      </c>
      <c r="G172" s="51">
        <v>4.0423654015887029</v>
      </c>
      <c r="H172" s="52">
        <v>6.8872180451127818</v>
      </c>
      <c r="I172" s="53">
        <v>665</v>
      </c>
      <c r="J172" s="54">
        <v>1133</v>
      </c>
      <c r="K172" s="54">
        <v>4580</v>
      </c>
      <c r="L172" s="55">
        <v>3495.4</v>
      </c>
      <c r="M172" s="56">
        <v>427.64699999999999</v>
      </c>
      <c r="N172" s="57">
        <v>687</v>
      </c>
      <c r="O172" s="58">
        <v>454.49</v>
      </c>
      <c r="P172" s="59">
        <v>10.077229421989482</v>
      </c>
      <c r="Q172" s="60">
        <v>581.22</v>
      </c>
      <c r="R172" s="61">
        <v>7.879976600942844</v>
      </c>
      <c r="S172" s="48"/>
      <c r="T172" s="50"/>
      <c r="U172" s="62">
        <v>0</v>
      </c>
      <c r="V172" s="63">
        <v>13</v>
      </c>
      <c r="W172" s="50">
        <v>130</v>
      </c>
      <c r="X172" s="48">
        <v>14</v>
      </c>
      <c r="Y172" s="63">
        <v>128</v>
      </c>
      <c r="Z172" s="63">
        <v>73</v>
      </c>
      <c r="AA172" s="64">
        <v>562.4</v>
      </c>
      <c r="AB172" s="65">
        <v>163.41900000000001</v>
      </c>
      <c r="AC172" s="66"/>
      <c r="AD172" s="67"/>
      <c r="AE172" s="68"/>
      <c r="AF172" s="48">
        <v>40</v>
      </c>
      <c r="AG172" s="63">
        <v>93</v>
      </c>
      <c r="AH172" s="63">
        <v>24</v>
      </c>
      <c r="AI172" s="63">
        <v>28</v>
      </c>
      <c r="AJ172" s="63">
        <v>36</v>
      </c>
      <c r="AK172" s="63">
        <v>74</v>
      </c>
      <c r="AL172" s="63">
        <v>54</v>
      </c>
      <c r="AM172" s="63">
        <v>52</v>
      </c>
      <c r="AN172" s="63">
        <v>143</v>
      </c>
      <c r="AO172" s="63">
        <v>148</v>
      </c>
      <c r="AP172" s="63">
        <v>95</v>
      </c>
      <c r="AQ172" s="63">
        <v>70</v>
      </c>
      <c r="AR172" s="63">
        <v>2</v>
      </c>
      <c r="AS172" s="63">
        <v>3</v>
      </c>
      <c r="AT172" s="63">
        <v>10</v>
      </c>
      <c r="AU172" s="63">
        <v>98</v>
      </c>
      <c r="AV172" s="63">
        <v>155</v>
      </c>
      <c r="AW172" s="50">
        <v>20</v>
      </c>
      <c r="AX172" s="69">
        <v>2543</v>
      </c>
      <c r="AY172" s="69">
        <v>11800</v>
      </c>
      <c r="AZ172" s="54">
        <v>1332</v>
      </c>
      <c r="BA172" s="54">
        <v>4085</v>
      </c>
      <c r="BB172" s="54">
        <v>65</v>
      </c>
      <c r="BC172" s="54">
        <v>171</v>
      </c>
      <c r="BD172" s="54">
        <v>510</v>
      </c>
      <c r="BE172" s="70">
        <v>1298</v>
      </c>
      <c r="BF172" s="63">
        <v>103</v>
      </c>
      <c r="BG172" s="71">
        <v>1911</v>
      </c>
      <c r="BH172" s="67"/>
      <c r="BI172" s="68"/>
      <c r="BJ172" s="72">
        <v>1091</v>
      </c>
      <c r="BK172" s="62"/>
      <c r="BL172" s="70">
        <v>1298</v>
      </c>
      <c r="BM172" s="70">
        <v>79</v>
      </c>
      <c r="BN172" s="70">
        <v>163</v>
      </c>
      <c r="BO172" s="70">
        <v>849</v>
      </c>
      <c r="BP172" s="73">
        <v>0</v>
      </c>
      <c r="BQ172" s="74">
        <v>319</v>
      </c>
      <c r="BR172" s="54">
        <v>152</v>
      </c>
      <c r="BS172" s="75">
        <v>51</v>
      </c>
      <c r="BT172" s="76">
        <v>63.829787234042556</v>
      </c>
      <c r="BU172" s="77">
        <v>36.170212765957444</v>
      </c>
      <c r="BV172" s="78">
        <v>420</v>
      </c>
      <c r="BW172" s="79">
        <v>238</v>
      </c>
      <c r="BX172" s="69">
        <v>230</v>
      </c>
      <c r="BY172" s="70">
        <v>63</v>
      </c>
      <c r="BZ172" s="70">
        <v>101</v>
      </c>
      <c r="CA172" s="70">
        <v>127</v>
      </c>
      <c r="CB172" s="70">
        <v>5</v>
      </c>
      <c r="CC172" s="70">
        <v>130</v>
      </c>
      <c r="CD172" s="70">
        <v>2</v>
      </c>
      <c r="CE172" s="73">
        <v>0</v>
      </c>
    </row>
    <row r="173" spans="2:83" x14ac:dyDescent="0.3">
      <c r="B173" s="46">
        <v>33</v>
      </c>
      <c r="C173" s="47">
        <v>43329</v>
      </c>
      <c r="D173" s="48">
        <v>35</v>
      </c>
      <c r="E173" s="49">
        <v>1412</v>
      </c>
      <c r="F173" s="50">
        <v>241</v>
      </c>
      <c r="G173" s="51">
        <v>3.2002412545235224</v>
      </c>
      <c r="H173" s="52">
        <v>5.8955555555555552</v>
      </c>
      <c r="I173" s="53">
        <v>900</v>
      </c>
      <c r="J173" s="54">
        <v>1658</v>
      </c>
      <c r="K173" s="54">
        <v>5306</v>
      </c>
      <c r="L173" s="55">
        <v>3446.6</v>
      </c>
      <c r="M173" s="56">
        <v>349.68700000000001</v>
      </c>
      <c r="N173" s="57">
        <v>795.9</v>
      </c>
      <c r="O173" s="58">
        <v>513.19999999999993</v>
      </c>
      <c r="P173" s="59">
        <v>10.339049103663291</v>
      </c>
      <c r="Q173" s="60">
        <v>650.23</v>
      </c>
      <c r="R173" s="61">
        <v>8.1601894714178052</v>
      </c>
      <c r="S173" s="48"/>
      <c r="T173" s="50"/>
      <c r="U173" s="62">
        <v>0</v>
      </c>
      <c r="V173" s="63">
        <v>176</v>
      </c>
      <c r="W173" s="50">
        <v>183</v>
      </c>
      <c r="X173" s="48">
        <v>35</v>
      </c>
      <c r="Y173" s="63">
        <v>346</v>
      </c>
      <c r="Z173" s="63">
        <v>502</v>
      </c>
      <c r="AA173" s="64">
        <v>1322.5</v>
      </c>
      <c r="AB173" s="65">
        <v>165.56700000000001</v>
      </c>
      <c r="AC173" s="66"/>
      <c r="AD173" s="67"/>
      <c r="AE173" s="68"/>
      <c r="AF173" s="48">
        <v>66</v>
      </c>
      <c r="AG173" s="63">
        <v>116</v>
      </c>
      <c r="AH173" s="63">
        <v>35</v>
      </c>
      <c r="AI173" s="63">
        <v>56</v>
      </c>
      <c r="AJ173" s="63">
        <v>47</v>
      </c>
      <c r="AK173" s="63">
        <v>146</v>
      </c>
      <c r="AL173" s="63">
        <v>129</v>
      </c>
      <c r="AM173" s="63">
        <v>72</v>
      </c>
      <c r="AN173" s="63">
        <v>169</v>
      </c>
      <c r="AO173" s="63">
        <v>135</v>
      </c>
      <c r="AP173" s="63">
        <v>151</v>
      </c>
      <c r="AQ173" s="63">
        <v>237</v>
      </c>
      <c r="AR173" s="63">
        <v>5</v>
      </c>
      <c r="AS173" s="63">
        <v>4</v>
      </c>
      <c r="AT173" s="63">
        <v>8</v>
      </c>
      <c r="AU173" s="63">
        <v>22</v>
      </c>
      <c r="AV173" s="63">
        <v>216</v>
      </c>
      <c r="AW173" s="50">
        <v>3</v>
      </c>
      <c r="AX173" s="69">
        <v>3097</v>
      </c>
      <c r="AY173" s="69">
        <v>15808</v>
      </c>
      <c r="AZ173" s="54">
        <v>1331</v>
      </c>
      <c r="BA173" s="54">
        <v>3430</v>
      </c>
      <c r="BB173" s="54">
        <v>830</v>
      </c>
      <c r="BC173" s="54">
        <v>1330</v>
      </c>
      <c r="BD173" s="54">
        <v>898</v>
      </c>
      <c r="BE173" s="70">
        <v>1736</v>
      </c>
      <c r="BF173" s="63">
        <v>658</v>
      </c>
      <c r="BG173" s="71">
        <v>3292</v>
      </c>
      <c r="BH173" s="67"/>
      <c r="BI173" s="68"/>
      <c r="BJ173" s="72">
        <v>1508</v>
      </c>
      <c r="BK173" s="62"/>
      <c r="BL173" s="70">
        <v>1980</v>
      </c>
      <c r="BM173" s="70">
        <v>85</v>
      </c>
      <c r="BN173" s="70">
        <v>235</v>
      </c>
      <c r="BO173" s="70">
        <v>1173</v>
      </c>
      <c r="BP173" s="73">
        <v>15</v>
      </c>
      <c r="BQ173" s="74">
        <v>457</v>
      </c>
      <c r="BR173" s="54">
        <v>330</v>
      </c>
      <c r="BS173" s="75">
        <v>46</v>
      </c>
      <c r="BT173" s="76">
        <v>67.749160134378499</v>
      </c>
      <c r="BU173" s="77">
        <v>32.250839865621501</v>
      </c>
      <c r="BV173" s="78">
        <v>605</v>
      </c>
      <c r="BW173" s="79">
        <v>288</v>
      </c>
      <c r="BX173" s="69">
        <v>332</v>
      </c>
      <c r="BY173" s="70">
        <v>89</v>
      </c>
      <c r="BZ173" s="70">
        <v>199</v>
      </c>
      <c r="CA173" s="70">
        <v>184</v>
      </c>
      <c r="CB173" s="70">
        <v>6</v>
      </c>
      <c r="CC173" s="70">
        <v>79</v>
      </c>
      <c r="CD173" s="70">
        <v>4</v>
      </c>
      <c r="CE173" s="73">
        <v>0</v>
      </c>
    </row>
    <row r="174" spans="2:83" x14ac:dyDescent="0.3">
      <c r="B174" s="46">
        <v>34</v>
      </c>
      <c r="C174" s="47">
        <v>43332</v>
      </c>
      <c r="D174" s="48">
        <v>53</v>
      </c>
      <c r="E174" s="49">
        <v>2019</v>
      </c>
      <c r="F174" s="50">
        <v>264</v>
      </c>
      <c r="G174" s="51">
        <v>2.4285102739726026</v>
      </c>
      <c r="H174" s="52">
        <v>3.6861598440545809</v>
      </c>
      <c r="I174" s="53">
        <v>1539</v>
      </c>
      <c r="J174" s="54">
        <v>2336</v>
      </c>
      <c r="K174" s="54">
        <v>5673</v>
      </c>
      <c r="L174" s="55">
        <v>3546.9</v>
      </c>
      <c r="M174" s="56">
        <v>464.54300000000001</v>
      </c>
      <c r="N174" s="57">
        <v>850.95</v>
      </c>
      <c r="O174" s="58">
        <v>580.71</v>
      </c>
      <c r="P174" s="59">
        <v>9.7690757865371687</v>
      </c>
      <c r="Q174" s="60">
        <v>716.16</v>
      </c>
      <c r="R174" s="61">
        <v>7.9214142091152819</v>
      </c>
      <c r="S174" s="48"/>
      <c r="T174" s="50"/>
      <c r="U174" s="62">
        <v>0</v>
      </c>
      <c r="V174" s="63">
        <v>70</v>
      </c>
      <c r="W174" s="50">
        <v>100</v>
      </c>
      <c r="X174" s="48">
        <v>27</v>
      </c>
      <c r="Y174" s="63">
        <v>172</v>
      </c>
      <c r="Z174" s="63">
        <v>164</v>
      </c>
      <c r="AA174" s="64">
        <v>581.5</v>
      </c>
      <c r="AB174" s="65">
        <v>143.857</v>
      </c>
      <c r="AC174" s="66"/>
      <c r="AD174" s="67"/>
      <c r="AE174" s="68"/>
      <c r="AF174" s="48">
        <v>98</v>
      </c>
      <c r="AG174" s="63">
        <v>256</v>
      </c>
      <c r="AH174" s="63">
        <v>46</v>
      </c>
      <c r="AI174" s="63">
        <v>115</v>
      </c>
      <c r="AJ174" s="63">
        <v>54</v>
      </c>
      <c r="AK174" s="63">
        <v>245</v>
      </c>
      <c r="AL174" s="63">
        <v>149</v>
      </c>
      <c r="AM174" s="63">
        <v>126</v>
      </c>
      <c r="AN174" s="63">
        <v>277</v>
      </c>
      <c r="AO174" s="63">
        <v>141</v>
      </c>
      <c r="AP174" s="63">
        <v>138</v>
      </c>
      <c r="AQ174" s="63">
        <v>284</v>
      </c>
      <c r="AR174" s="63">
        <v>5</v>
      </c>
      <c r="AS174" s="63">
        <v>13</v>
      </c>
      <c r="AT174" s="63">
        <v>17</v>
      </c>
      <c r="AU174" s="63">
        <v>82</v>
      </c>
      <c r="AV174" s="63">
        <v>175</v>
      </c>
      <c r="AW174" s="50">
        <v>4</v>
      </c>
      <c r="AX174" s="69">
        <v>3241</v>
      </c>
      <c r="AY174" s="69">
        <v>17444</v>
      </c>
      <c r="AZ174" s="54">
        <v>394</v>
      </c>
      <c r="BA174" s="54">
        <v>1008</v>
      </c>
      <c r="BB174" s="54">
        <v>633</v>
      </c>
      <c r="BC174" s="54">
        <v>1306</v>
      </c>
      <c r="BD174" s="54">
        <v>1017</v>
      </c>
      <c r="BE174" s="70">
        <v>1078</v>
      </c>
      <c r="BF174" s="63">
        <v>570</v>
      </c>
      <c r="BG174" s="71">
        <v>2665</v>
      </c>
      <c r="BH174" s="67"/>
      <c r="BI174" s="68"/>
      <c r="BJ174" s="72">
        <v>1485</v>
      </c>
      <c r="BK174" s="62"/>
      <c r="BL174" s="70">
        <v>2500</v>
      </c>
      <c r="BM174" s="70">
        <v>270</v>
      </c>
      <c r="BN174" s="70">
        <v>135</v>
      </c>
      <c r="BO174" s="70">
        <v>1070</v>
      </c>
      <c r="BP174" s="73">
        <v>10</v>
      </c>
      <c r="BQ174" s="74">
        <v>911</v>
      </c>
      <c r="BR174" s="54">
        <v>347</v>
      </c>
      <c r="BS174" s="75">
        <v>42</v>
      </c>
      <c r="BT174" s="76">
        <v>70.784313725490193</v>
      </c>
      <c r="BU174" s="77">
        <v>29.215686274509803</v>
      </c>
      <c r="BV174" s="78">
        <v>1083</v>
      </c>
      <c r="BW174" s="79">
        <v>447</v>
      </c>
      <c r="BX174" s="69">
        <v>620</v>
      </c>
      <c r="BY174" s="70">
        <v>139</v>
      </c>
      <c r="BZ174" s="70">
        <v>210</v>
      </c>
      <c r="CA174" s="70">
        <v>324</v>
      </c>
      <c r="CB174" s="70">
        <v>6</v>
      </c>
      <c r="CC174" s="70">
        <v>225</v>
      </c>
      <c r="CD174" s="70">
        <v>6</v>
      </c>
      <c r="CE174" s="73">
        <v>0</v>
      </c>
    </row>
    <row r="175" spans="2:83" x14ac:dyDescent="0.3">
      <c r="B175" s="46">
        <v>34</v>
      </c>
      <c r="C175" s="47">
        <v>43333</v>
      </c>
      <c r="D175" s="48">
        <v>49</v>
      </c>
      <c r="E175" s="49">
        <v>1410</v>
      </c>
      <c r="F175" s="50">
        <v>323</v>
      </c>
      <c r="G175" s="51">
        <v>2.4001122334455669</v>
      </c>
      <c r="H175" s="52">
        <v>5.2414215686274508</v>
      </c>
      <c r="I175" s="53">
        <v>816</v>
      </c>
      <c r="J175" s="54">
        <v>1782</v>
      </c>
      <c r="K175" s="54">
        <v>4277</v>
      </c>
      <c r="L175" s="55">
        <v>7070</v>
      </c>
      <c r="M175" s="56">
        <v>519</v>
      </c>
      <c r="N175" s="57">
        <v>641.55000000000007</v>
      </c>
      <c r="O175" s="58">
        <v>585.02</v>
      </c>
      <c r="P175" s="59">
        <v>7.3108611671395849</v>
      </c>
      <c r="Q175" s="60">
        <v>744.18</v>
      </c>
      <c r="R175" s="61">
        <v>5.7472654465317534</v>
      </c>
      <c r="S175" s="48"/>
      <c r="T175" s="50"/>
      <c r="U175" s="62">
        <v>0</v>
      </c>
      <c r="V175" s="63">
        <v>43</v>
      </c>
      <c r="W175" s="50">
        <v>123</v>
      </c>
      <c r="X175" s="48">
        <v>29</v>
      </c>
      <c r="Y175" s="63">
        <v>123</v>
      </c>
      <c r="Z175" s="63">
        <v>86</v>
      </c>
      <c r="AA175" s="64">
        <v>453.1</v>
      </c>
      <c r="AB175" s="65">
        <v>124.797</v>
      </c>
      <c r="AC175" s="66"/>
      <c r="AD175" s="67"/>
      <c r="AE175" s="68"/>
      <c r="AF175" s="48">
        <v>46</v>
      </c>
      <c r="AG175" s="63">
        <v>106</v>
      </c>
      <c r="AH175" s="63">
        <v>21</v>
      </c>
      <c r="AI175" s="63">
        <v>46</v>
      </c>
      <c r="AJ175" s="63">
        <v>16</v>
      </c>
      <c r="AK175" s="63">
        <v>81</v>
      </c>
      <c r="AL175" s="63">
        <v>82</v>
      </c>
      <c r="AM175" s="63">
        <v>78</v>
      </c>
      <c r="AN175" s="63">
        <v>178</v>
      </c>
      <c r="AO175" s="63">
        <v>148</v>
      </c>
      <c r="AP175" s="63">
        <v>170</v>
      </c>
      <c r="AQ175" s="63">
        <v>396</v>
      </c>
      <c r="AR175" s="63">
        <v>2</v>
      </c>
      <c r="AS175" s="63">
        <v>3</v>
      </c>
      <c r="AT175" s="63">
        <v>6</v>
      </c>
      <c r="AU175" s="63">
        <v>41</v>
      </c>
      <c r="AV175" s="63">
        <v>253</v>
      </c>
      <c r="AW175" s="50">
        <v>11</v>
      </c>
      <c r="AX175" s="69">
        <v>2919</v>
      </c>
      <c r="AY175" s="69">
        <v>18019</v>
      </c>
      <c r="AZ175" s="54">
        <v>190</v>
      </c>
      <c r="BA175" s="54">
        <v>925</v>
      </c>
      <c r="BB175" s="54">
        <v>109</v>
      </c>
      <c r="BC175" s="54">
        <v>158</v>
      </c>
      <c r="BD175" s="54">
        <v>582</v>
      </c>
      <c r="BE175" s="70">
        <v>857</v>
      </c>
      <c r="BF175" s="63">
        <v>144</v>
      </c>
      <c r="BG175" s="71">
        <v>1583</v>
      </c>
      <c r="BH175" s="67"/>
      <c r="BI175" s="68"/>
      <c r="BJ175" s="72">
        <v>1318</v>
      </c>
      <c r="BK175" s="62"/>
      <c r="BL175" s="70">
        <v>2084</v>
      </c>
      <c r="BM175" s="70">
        <v>187</v>
      </c>
      <c r="BN175" s="70">
        <v>216</v>
      </c>
      <c r="BO175" s="70">
        <v>912</v>
      </c>
      <c r="BP175" s="73">
        <v>3</v>
      </c>
      <c r="BQ175" s="74">
        <v>334</v>
      </c>
      <c r="BR175" s="54">
        <v>211</v>
      </c>
      <c r="BS175" s="75">
        <v>94</v>
      </c>
      <c r="BT175" s="76">
        <v>56.625</v>
      </c>
      <c r="BU175" s="77">
        <v>43.375</v>
      </c>
      <c r="BV175" s="78">
        <v>453</v>
      </c>
      <c r="BW175" s="79">
        <v>347</v>
      </c>
      <c r="BX175" s="69">
        <v>296</v>
      </c>
      <c r="BY175" s="70">
        <v>32</v>
      </c>
      <c r="BZ175" s="70">
        <v>182</v>
      </c>
      <c r="CA175" s="70">
        <v>125</v>
      </c>
      <c r="CB175" s="70">
        <v>4</v>
      </c>
      <c r="CC175" s="70">
        <v>158</v>
      </c>
      <c r="CD175" s="70">
        <v>3</v>
      </c>
      <c r="CE175" s="73">
        <v>0</v>
      </c>
    </row>
    <row r="176" spans="2:83" x14ac:dyDescent="0.3">
      <c r="B176" s="46">
        <v>34</v>
      </c>
      <c r="C176" s="47">
        <v>43334</v>
      </c>
      <c r="D176" s="48">
        <v>44</v>
      </c>
      <c r="E176" s="49">
        <v>1376</v>
      </c>
      <c r="F176" s="50">
        <v>419</v>
      </c>
      <c r="G176" s="51">
        <v>3.7509516041326809</v>
      </c>
      <c r="H176" s="52">
        <v>7.0387755102040819</v>
      </c>
      <c r="I176" s="53">
        <v>980</v>
      </c>
      <c r="J176" s="54">
        <v>1839</v>
      </c>
      <c r="K176" s="54">
        <v>6898</v>
      </c>
      <c r="L176" s="55">
        <v>4785.1000000000004</v>
      </c>
      <c r="M176" s="56">
        <v>680.98500000000001</v>
      </c>
      <c r="N176" s="57">
        <v>1034.7</v>
      </c>
      <c r="O176" s="58">
        <v>623.59</v>
      </c>
      <c r="P176" s="59">
        <v>11.061755320001923</v>
      </c>
      <c r="Q176" s="60">
        <v>765.18000000000006</v>
      </c>
      <c r="R176" s="61">
        <v>9.0148723176246097</v>
      </c>
      <c r="S176" s="48"/>
      <c r="T176" s="50"/>
      <c r="U176" s="62">
        <v>0</v>
      </c>
      <c r="V176" s="63">
        <v>71</v>
      </c>
      <c r="W176" s="50">
        <v>103</v>
      </c>
      <c r="X176" s="48">
        <v>47</v>
      </c>
      <c r="Y176" s="63">
        <v>220</v>
      </c>
      <c r="Z176" s="63">
        <v>482</v>
      </c>
      <c r="AA176" s="64">
        <v>534.5</v>
      </c>
      <c r="AB176" s="65">
        <v>211.09700000000001</v>
      </c>
      <c r="AC176" s="66"/>
      <c r="AD176" s="67"/>
      <c r="AE176" s="68"/>
      <c r="AF176" s="48">
        <v>89</v>
      </c>
      <c r="AG176" s="63">
        <v>120</v>
      </c>
      <c r="AH176" s="63">
        <v>40</v>
      </c>
      <c r="AI176" s="63">
        <v>34</v>
      </c>
      <c r="AJ176" s="63">
        <v>29</v>
      </c>
      <c r="AK176" s="63">
        <v>98</v>
      </c>
      <c r="AL176" s="63">
        <v>97</v>
      </c>
      <c r="AM176" s="63">
        <v>83</v>
      </c>
      <c r="AN176" s="63">
        <v>228</v>
      </c>
      <c r="AO176" s="63">
        <v>124</v>
      </c>
      <c r="AP176" s="63">
        <v>159</v>
      </c>
      <c r="AQ176" s="63">
        <v>263</v>
      </c>
      <c r="AR176" s="63">
        <v>4</v>
      </c>
      <c r="AS176" s="63">
        <v>2</v>
      </c>
      <c r="AT176" s="63">
        <v>4</v>
      </c>
      <c r="AU176" s="63">
        <v>73</v>
      </c>
      <c r="AV176" s="63">
        <v>332</v>
      </c>
      <c r="AW176" s="50">
        <v>14</v>
      </c>
      <c r="AX176" s="69">
        <v>3556</v>
      </c>
      <c r="AY176" s="69">
        <v>22172</v>
      </c>
      <c r="AZ176" s="54">
        <v>600</v>
      </c>
      <c r="BA176" s="54">
        <v>1107</v>
      </c>
      <c r="BB176" s="54">
        <v>603</v>
      </c>
      <c r="BC176" s="54">
        <v>1055</v>
      </c>
      <c r="BD176" s="54">
        <v>835</v>
      </c>
      <c r="BE176" s="70">
        <v>905</v>
      </c>
      <c r="BF176" s="63">
        <v>426</v>
      </c>
      <c r="BG176" s="71">
        <v>2166</v>
      </c>
      <c r="BH176" s="67"/>
      <c r="BI176" s="68"/>
      <c r="BJ176" s="72">
        <v>1049</v>
      </c>
      <c r="BK176" s="62"/>
      <c r="BL176" s="70">
        <v>1640</v>
      </c>
      <c r="BM176" s="70">
        <v>83</v>
      </c>
      <c r="BN176" s="70">
        <v>225</v>
      </c>
      <c r="BO176" s="70">
        <v>725</v>
      </c>
      <c r="BP176" s="73">
        <v>16</v>
      </c>
      <c r="BQ176" s="74">
        <v>433</v>
      </c>
      <c r="BR176" s="54">
        <v>262</v>
      </c>
      <c r="BS176" s="75">
        <v>67</v>
      </c>
      <c r="BT176" s="76">
        <v>63.378803777544597</v>
      </c>
      <c r="BU176" s="77">
        <v>36.621196222455403</v>
      </c>
      <c r="BV176" s="78">
        <v>604</v>
      </c>
      <c r="BW176" s="79">
        <v>349</v>
      </c>
      <c r="BX176" s="69">
        <v>335</v>
      </c>
      <c r="BY176" s="70">
        <v>115</v>
      </c>
      <c r="BZ176" s="70">
        <v>189</v>
      </c>
      <c r="CA176" s="70">
        <v>154</v>
      </c>
      <c r="CB176" s="70">
        <v>7</v>
      </c>
      <c r="CC176" s="70">
        <v>148</v>
      </c>
      <c r="CD176" s="70">
        <v>5</v>
      </c>
      <c r="CE176" s="73">
        <v>0</v>
      </c>
    </row>
    <row r="177" spans="2:83" x14ac:dyDescent="0.3">
      <c r="B177" s="46">
        <v>34</v>
      </c>
      <c r="C177" s="47">
        <v>43335</v>
      </c>
      <c r="D177" s="48">
        <v>47</v>
      </c>
      <c r="E177" s="49">
        <v>1161</v>
      </c>
      <c r="F177" s="50">
        <v>368</v>
      </c>
      <c r="G177" s="51">
        <v>3.3185279187817258</v>
      </c>
      <c r="H177" s="52">
        <v>6.331719128329298</v>
      </c>
      <c r="I177" s="53">
        <v>826</v>
      </c>
      <c r="J177" s="54">
        <v>1576</v>
      </c>
      <c r="K177" s="54">
        <v>5230</v>
      </c>
      <c r="L177" s="55">
        <v>15244.8</v>
      </c>
      <c r="M177" s="56">
        <v>585.28200000000004</v>
      </c>
      <c r="N177" s="57">
        <v>784.50000000000011</v>
      </c>
      <c r="O177" s="58">
        <v>615.08999999999992</v>
      </c>
      <c r="P177" s="59">
        <v>8.5028207254222963</v>
      </c>
      <c r="Q177" s="60">
        <v>761.01999999999987</v>
      </c>
      <c r="R177" s="61">
        <v>6.8723555228509117</v>
      </c>
      <c r="S177" s="48"/>
      <c r="T177" s="50"/>
      <c r="U177" s="62">
        <v>0</v>
      </c>
      <c r="V177" s="63">
        <v>25</v>
      </c>
      <c r="W177" s="50">
        <v>92</v>
      </c>
      <c r="X177" s="48">
        <v>24</v>
      </c>
      <c r="Y177" s="63">
        <v>97</v>
      </c>
      <c r="Z177" s="63">
        <v>108</v>
      </c>
      <c r="AA177" s="64">
        <v>1205.0999999999999</v>
      </c>
      <c r="AB177" s="65">
        <v>93.525999999999996</v>
      </c>
      <c r="AC177" s="66"/>
      <c r="AD177" s="67"/>
      <c r="AE177" s="68"/>
      <c r="AF177" s="48">
        <v>53</v>
      </c>
      <c r="AG177" s="63">
        <v>113</v>
      </c>
      <c r="AH177" s="63">
        <v>34</v>
      </c>
      <c r="AI177" s="63">
        <v>36</v>
      </c>
      <c r="AJ177" s="63">
        <v>13</v>
      </c>
      <c r="AK177" s="63">
        <v>81</v>
      </c>
      <c r="AL177" s="63">
        <v>92</v>
      </c>
      <c r="AM177" s="63">
        <v>59</v>
      </c>
      <c r="AN177" s="63">
        <v>167</v>
      </c>
      <c r="AO177" s="63">
        <v>87</v>
      </c>
      <c r="AP177" s="63">
        <v>84</v>
      </c>
      <c r="AQ177" s="63">
        <v>329</v>
      </c>
      <c r="AR177" s="63">
        <v>3</v>
      </c>
      <c r="AS177" s="63">
        <v>3</v>
      </c>
      <c r="AT177" s="63">
        <v>5</v>
      </c>
      <c r="AU177" s="63">
        <v>121</v>
      </c>
      <c r="AV177" s="63">
        <v>222</v>
      </c>
      <c r="AW177" s="50">
        <v>25</v>
      </c>
      <c r="AX177" s="69">
        <v>4127</v>
      </c>
      <c r="AY177" s="69">
        <v>24141</v>
      </c>
      <c r="AZ177" s="54">
        <v>358</v>
      </c>
      <c r="BA177" s="54">
        <v>1414</v>
      </c>
      <c r="BB177" s="54">
        <v>606</v>
      </c>
      <c r="BC177" s="54">
        <v>1089</v>
      </c>
      <c r="BD177" s="54">
        <v>982</v>
      </c>
      <c r="BE177" s="70">
        <v>1112</v>
      </c>
      <c r="BF177" s="63">
        <v>411</v>
      </c>
      <c r="BG177" s="71">
        <v>2505</v>
      </c>
      <c r="BH177" s="67"/>
      <c r="BI177" s="68"/>
      <c r="BJ177" s="72">
        <v>1140</v>
      </c>
      <c r="BK177" s="62"/>
      <c r="BL177" s="70">
        <v>1848</v>
      </c>
      <c r="BM177" s="70">
        <v>146</v>
      </c>
      <c r="BN177" s="70">
        <v>153</v>
      </c>
      <c r="BO177" s="70">
        <v>799</v>
      </c>
      <c r="BP177" s="73">
        <v>42</v>
      </c>
      <c r="BQ177" s="74">
        <v>345</v>
      </c>
      <c r="BR177" s="54">
        <v>131</v>
      </c>
      <c r="BS177" s="75">
        <v>123</v>
      </c>
      <c r="BT177" s="76">
        <v>59.390862944162436</v>
      </c>
      <c r="BU177" s="77">
        <v>40.609137055837564</v>
      </c>
      <c r="BV177" s="78">
        <v>468</v>
      </c>
      <c r="BW177" s="79">
        <v>320</v>
      </c>
      <c r="BX177" s="69">
        <v>276</v>
      </c>
      <c r="BY177" s="70">
        <v>38</v>
      </c>
      <c r="BZ177" s="70">
        <v>119</v>
      </c>
      <c r="CA177" s="70">
        <v>154</v>
      </c>
      <c r="CB177" s="70">
        <v>11</v>
      </c>
      <c r="CC177" s="70">
        <v>183</v>
      </c>
      <c r="CD177" s="70">
        <v>7</v>
      </c>
      <c r="CE177" s="73">
        <v>0</v>
      </c>
    </row>
    <row r="178" spans="2:83" x14ac:dyDescent="0.3">
      <c r="B178" s="46">
        <v>34</v>
      </c>
      <c r="C178" s="47">
        <v>43336</v>
      </c>
      <c r="D178" s="48">
        <v>22</v>
      </c>
      <c r="E178" s="49">
        <v>1534</v>
      </c>
      <c r="F178" s="50">
        <v>319</v>
      </c>
      <c r="G178" s="51">
        <v>4.4522666666666666</v>
      </c>
      <c r="H178" s="52">
        <v>8.2084562438544744</v>
      </c>
      <c r="I178" s="53">
        <v>1017</v>
      </c>
      <c r="J178" s="54">
        <v>1875</v>
      </c>
      <c r="K178" s="54">
        <v>8348</v>
      </c>
      <c r="L178" s="55">
        <v>5751.1</v>
      </c>
      <c r="M178" s="56">
        <v>522.22500000000002</v>
      </c>
      <c r="N178" s="57">
        <v>1252.2</v>
      </c>
      <c r="O178" s="58">
        <v>602.82000000000005</v>
      </c>
      <c r="P178" s="59">
        <v>13.848246574433494</v>
      </c>
      <c r="Q178" s="60">
        <v>758.92000000000007</v>
      </c>
      <c r="R178" s="61">
        <v>10.999841880567121</v>
      </c>
      <c r="S178" s="48"/>
      <c r="T178" s="50"/>
      <c r="U178" s="62">
        <v>0</v>
      </c>
      <c r="V178" s="63">
        <v>67</v>
      </c>
      <c r="W178" s="50">
        <v>91</v>
      </c>
      <c r="X178" s="48">
        <v>22</v>
      </c>
      <c r="Y178" s="63">
        <v>115</v>
      </c>
      <c r="Z178" s="63">
        <v>128</v>
      </c>
      <c r="AA178" s="64">
        <v>302.3</v>
      </c>
      <c r="AB178" s="65">
        <v>68.114999999999995</v>
      </c>
      <c r="AC178" s="66"/>
      <c r="AD178" s="67"/>
      <c r="AE178" s="68"/>
      <c r="AF178" s="48">
        <v>92</v>
      </c>
      <c r="AG178" s="63">
        <v>206</v>
      </c>
      <c r="AH178" s="63">
        <v>39</v>
      </c>
      <c r="AI178" s="63">
        <v>36</v>
      </c>
      <c r="AJ178" s="63">
        <v>29</v>
      </c>
      <c r="AK178" s="63">
        <v>100</v>
      </c>
      <c r="AL178" s="63">
        <v>94</v>
      </c>
      <c r="AM178" s="63">
        <v>68</v>
      </c>
      <c r="AN178" s="63">
        <v>245</v>
      </c>
      <c r="AO178" s="63">
        <v>154</v>
      </c>
      <c r="AP178" s="63">
        <v>219</v>
      </c>
      <c r="AQ178" s="63">
        <v>241</v>
      </c>
      <c r="AR178" s="63">
        <v>4</v>
      </c>
      <c r="AS178" s="63">
        <v>0</v>
      </c>
      <c r="AT178" s="63">
        <v>3</v>
      </c>
      <c r="AU178" s="63">
        <v>97</v>
      </c>
      <c r="AV178" s="63">
        <v>203</v>
      </c>
      <c r="AW178" s="50">
        <v>16</v>
      </c>
      <c r="AX178" s="69">
        <v>4420</v>
      </c>
      <c r="AY178" s="69">
        <v>15862</v>
      </c>
      <c r="AZ178" s="54">
        <v>66</v>
      </c>
      <c r="BA178" s="54">
        <v>200</v>
      </c>
      <c r="BB178" s="54">
        <v>574</v>
      </c>
      <c r="BC178" s="54">
        <v>1262</v>
      </c>
      <c r="BD178" s="54">
        <v>790</v>
      </c>
      <c r="BE178" s="70">
        <v>791</v>
      </c>
      <c r="BF178" s="63">
        <v>307</v>
      </c>
      <c r="BG178" s="71">
        <v>1888</v>
      </c>
      <c r="BH178" s="67"/>
      <c r="BI178" s="68"/>
      <c r="BJ178" s="72">
        <v>1050</v>
      </c>
      <c r="BK178" s="62"/>
      <c r="BL178" s="70">
        <v>2044</v>
      </c>
      <c r="BM178" s="70">
        <v>105</v>
      </c>
      <c r="BN178" s="70">
        <v>91</v>
      </c>
      <c r="BO178" s="70">
        <v>849</v>
      </c>
      <c r="BP178" s="73">
        <v>5</v>
      </c>
      <c r="BQ178" s="74">
        <v>380</v>
      </c>
      <c r="BR178" s="54">
        <v>307</v>
      </c>
      <c r="BS178" s="75">
        <v>193</v>
      </c>
      <c r="BT178" s="76">
        <v>68.383838383838381</v>
      </c>
      <c r="BU178" s="77">
        <v>31.616161616161616</v>
      </c>
      <c r="BV178" s="78">
        <v>677</v>
      </c>
      <c r="BW178" s="79">
        <v>313</v>
      </c>
      <c r="BX178" s="69">
        <v>394</v>
      </c>
      <c r="BY178" s="70">
        <v>92</v>
      </c>
      <c r="BZ178" s="70">
        <v>211</v>
      </c>
      <c r="CA178" s="70">
        <v>191</v>
      </c>
      <c r="CB178" s="70">
        <v>7</v>
      </c>
      <c r="CC178" s="70">
        <v>91</v>
      </c>
      <c r="CD178" s="70">
        <v>4</v>
      </c>
      <c r="CE178" s="73">
        <v>0</v>
      </c>
    </row>
    <row r="179" spans="2:83" x14ac:dyDescent="0.3">
      <c r="B179" s="46">
        <v>35</v>
      </c>
      <c r="C179" s="47">
        <v>43339</v>
      </c>
      <c r="D179" s="48">
        <v>9</v>
      </c>
      <c r="E179" s="49">
        <v>2069</v>
      </c>
      <c r="F179" s="50">
        <v>240</v>
      </c>
      <c r="G179" s="51">
        <v>2.4065420560747666</v>
      </c>
      <c r="H179" s="52">
        <v>3.2297605473204105</v>
      </c>
      <c r="I179" s="53">
        <v>1754</v>
      </c>
      <c r="J179" s="54">
        <v>2354</v>
      </c>
      <c r="K179" s="54">
        <v>5665</v>
      </c>
      <c r="L179" s="55">
        <v>5802.3</v>
      </c>
      <c r="M179" s="56">
        <v>530.29399999999998</v>
      </c>
      <c r="N179" s="57">
        <v>849.75</v>
      </c>
      <c r="O179" s="58">
        <v>567.32000000000005</v>
      </c>
      <c r="P179" s="59">
        <v>9.9855460762885127</v>
      </c>
      <c r="Q179" s="60">
        <v>729.42</v>
      </c>
      <c r="R179" s="61">
        <v>7.7664445723999895</v>
      </c>
      <c r="S179" s="48"/>
      <c r="T179" s="50"/>
      <c r="U179" s="62">
        <v>0</v>
      </c>
      <c r="V179" s="63">
        <v>79</v>
      </c>
      <c r="W179" s="50">
        <v>132</v>
      </c>
      <c r="X179" s="48">
        <v>75</v>
      </c>
      <c r="Y179" s="63">
        <v>277</v>
      </c>
      <c r="Z179" s="63">
        <v>662</v>
      </c>
      <c r="AA179" s="64">
        <v>1962.1</v>
      </c>
      <c r="AB179" s="65">
        <v>293.84800000000001</v>
      </c>
      <c r="AC179" s="66"/>
      <c r="AD179" s="67"/>
      <c r="AE179" s="68"/>
      <c r="AF179" s="48">
        <v>178</v>
      </c>
      <c r="AG179" s="63">
        <v>316</v>
      </c>
      <c r="AH179" s="63">
        <v>54</v>
      </c>
      <c r="AI179" s="63">
        <v>93</v>
      </c>
      <c r="AJ179" s="63">
        <v>53</v>
      </c>
      <c r="AK179" s="63">
        <v>267</v>
      </c>
      <c r="AL179" s="63">
        <v>160</v>
      </c>
      <c r="AM179" s="63">
        <v>120</v>
      </c>
      <c r="AN179" s="63">
        <v>320</v>
      </c>
      <c r="AO179" s="63">
        <v>151</v>
      </c>
      <c r="AP179" s="63">
        <v>107</v>
      </c>
      <c r="AQ179" s="63">
        <v>221</v>
      </c>
      <c r="AR179" s="63">
        <v>12</v>
      </c>
      <c r="AS179" s="63">
        <v>3</v>
      </c>
      <c r="AT179" s="63">
        <v>3</v>
      </c>
      <c r="AU179" s="63">
        <v>43</v>
      </c>
      <c r="AV179" s="63">
        <v>182</v>
      </c>
      <c r="AW179" s="50">
        <v>14</v>
      </c>
      <c r="AX179" s="69">
        <v>3778</v>
      </c>
      <c r="AY179" s="69">
        <v>18746</v>
      </c>
      <c r="AZ179" s="54">
        <v>897</v>
      </c>
      <c r="BA179" s="54">
        <v>3334</v>
      </c>
      <c r="BB179" s="54">
        <v>500</v>
      </c>
      <c r="BC179" s="54">
        <v>1300</v>
      </c>
      <c r="BD179" s="54">
        <v>1025</v>
      </c>
      <c r="BE179" s="70">
        <v>1371</v>
      </c>
      <c r="BF179" s="63">
        <v>589</v>
      </c>
      <c r="BG179" s="71">
        <v>2985</v>
      </c>
      <c r="BH179" s="67"/>
      <c r="BI179" s="68"/>
      <c r="BJ179" s="72">
        <v>1268</v>
      </c>
      <c r="BK179" s="62"/>
      <c r="BL179" s="70">
        <v>1850</v>
      </c>
      <c r="BM179" s="70">
        <v>257</v>
      </c>
      <c r="BN179" s="70">
        <v>101</v>
      </c>
      <c r="BO179" s="70">
        <v>905</v>
      </c>
      <c r="BP179" s="73">
        <v>5</v>
      </c>
      <c r="BQ179" s="74">
        <v>1036</v>
      </c>
      <c r="BR179" s="54">
        <v>314</v>
      </c>
      <c r="BS179" s="75">
        <v>98</v>
      </c>
      <c r="BT179" s="76">
        <v>75.644699140401144</v>
      </c>
      <c r="BU179" s="77">
        <v>24.355300859598852</v>
      </c>
      <c r="BV179" s="78">
        <v>1320</v>
      </c>
      <c r="BW179" s="79">
        <v>425</v>
      </c>
      <c r="BX179" s="69">
        <v>773</v>
      </c>
      <c r="BY179" s="70">
        <v>183</v>
      </c>
      <c r="BZ179" s="70">
        <v>135</v>
      </c>
      <c r="CA179" s="70">
        <v>364</v>
      </c>
      <c r="CB179" s="70">
        <v>17</v>
      </c>
      <c r="CC179" s="70">
        <v>214</v>
      </c>
      <c r="CD179" s="70">
        <v>8</v>
      </c>
      <c r="CE179" s="73">
        <v>51</v>
      </c>
    </row>
    <row r="180" spans="2:83" x14ac:dyDescent="0.3">
      <c r="B180" s="46">
        <v>35</v>
      </c>
      <c r="C180" s="47">
        <v>43340</v>
      </c>
      <c r="D180" s="48">
        <v>18</v>
      </c>
      <c r="E180" s="49">
        <v>1259</v>
      </c>
      <c r="F180" s="50">
        <v>429</v>
      </c>
      <c r="G180" s="51">
        <v>4.2328445747800583</v>
      </c>
      <c r="H180" s="52">
        <v>7.5729275970619101</v>
      </c>
      <c r="I180" s="53">
        <v>953</v>
      </c>
      <c r="J180" s="54">
        <v>1705</v>
      </c>
      <c r="K180" s="54">
        <v>7217</v>
      </c>
      <c r="L180" s="55">
        <v>7380.1</v>
      </c>
      <c r="M180" s="56">
        <v>691.375</v>
      </c>
      <c r="N180" s="57">
        <v>1082.55</v>
      </c>
      <c r="O180" s="58">
        <v>612.30999999999995</v>
      </c>
      <c r="P180" s="59">
        <v>11.786513367411933</v>
      </c>
      <c r="Q180" s="60">
        <v>773.07</v>
      </c>
      <c r="R180" s="61">
        <v>9.3355064871227693</v>
      </c>
      <c r="S180" s="48"/>
      <c r="T180" s="50"/>
      <c r="U180" s="62">
        <v>0</v>
      </c>
      <c r="V180" s="63">
        <v>83</v>
      </c>
      <c r="W180" s="50">
        <v>240</v>
      </c>
      <c r="X180" s="48">
        <v>78</v>
      </c>
      <c r="Y180" s="63">
        <v>314</v>
      </c>
      <c r="Z180" s="63">
        <v>1294</v>
      </c>
      <c r="AA180" s="64">
        <v>2272.8000000000002</v>
      </c>
      <c r="AB180" s="65">
        <v>340.35199999999998</v>
      </c>
      <c r="AC180" s="66"/>
      <c r="AD180" s="67"/>
      <c r="AE180" s="68"/>
      <c r="AF180" s="48">
        <v>80</v>
      </c>
      <c r="AG180" s="63">
        <v>133</v>
      </c>
      <c r="AH180" s="63">
        <v>41</v>
      </c>
      <c r="AI180" s="63">
        <v>51</v>
      </c>
      <c r="AJ180" s="63">
        <v>43</v>
      </c>
      <c r="AK180" s="63">
        <v>97</v>
      </c>
      <c r="AL180" s="63">
        <v>91</v>
      </c>
      <c r="AM180" s="63">
        <v>61</v>
      </c>
      <c r="AN180" s="63">
        <v>209</v>
      </c>
      <c r="AO180" s="63">
        <v>115</v>
      </c>
      <c r="AP180" s="63">
        <v>122</v>
      </c>
      <c r="AQ180" s="63">
        <v>191</v>
      </c>
      <c r="AR180" s="63">
        <v>11</v>
      </c>
      <c r="AS180" s="63">
        <v>0</v>
      </c>
      <c r="AT180" s="63">
        <v>6</v>
      </c>
      <c r="AU180" s="63">
        <v>142</v>
      </c>
      <c r="AV180" s="63">
        <v>281</v>
      </c>
      <c r="AW180" s="50">
        <v>5</v>
      </c>
      <c r="AX180" s="69">
        <v>5089</v>
      </c>
      <c r="AY180" s="69">
        <v>26687</v>
      </c>
      <c r="AZ180" s="54">
        <v>413</v>
      </c>
      <c r="BA180" s="54">
        <v>990</v>
      </c>
      <c r="BB180" s="54">
        <v>326</v>
      </c>
      <c r="BC180" s="54">
        <v>653</v>
      </c>
      <c r="BD180" s="54">
        <v>1158</v>
      </c>
      <c r="BE180" s="70">
        <v>913</v>
      </c>
      <c r="BF180" s="63">
        <v>221</v>
      </c>
      <c r="BG180" s="71">
        <v>2292</v>
      </c>
      <c r="BH180" s="67"/>
      <c r="BI180" s="68"/>
      <c r="BJ180" s="72">
        <v>1662</v>
      </c>
      <c r="BK180" s="62"/>
      <c r="BL180" s="70">
        <v>1785</v>
      </c>
      <c r="BM180" s="70">
        <v>66</v>
      </c>
      <c r="BN180" s="70">
        <v>204</v>
      </c>
      <c r="BO180" s="70">
        <v>1345</v>
      </c>
      <c r="BP180" s="73">
        <v>47</v>
      </c>
      <c r="BQ180" s="74">
        <v>503</v>
      </c>
      <c r="BR180" s="54">
        <v>197</v>
      </c>
      <c r="BS180" s="75">
        <v>72</v>
      </c>
      <c r="BT180" s="76">
        <v>64.354322305229459</v>
      </c>
      <c r="BU180" s="77">
        <v>35.645677694770548</v>
      </c>
      <c r="BV180" s="78">
        <v>603</v>
      </c>
      <c r="BW180" s="79">
        <v>334</v>
      </c>
      <c r="BX180" s="69">
        <v>364</v>
      </c>
      <c r="BY180" s="70">
        <v>60</v>
      </c>
      <c r="BZ180" s="70">
        <v>155</v>
      </c>
      <c r="CA180" s="70">
        <v>179</v>
      </c>
      <c r="CB180" s="70">
        <v>11</v>
      </c>
      <c r="CC180" s="70">
        <v>142</v>
      </c>
      <c r="CD180" s="70">
        <v>6</v>
      </c>
      <c r="CE180" s="73">
        <v>20</v>
      </c>
    </row>
    <row r="181" spans="2:83" x14ac:dyDescent="0.3">
      <c r="B181" s="46">
        <v>35</v>
      </c>
      <c r="C181" s="47">
        <v>43341</v>
      </c>
      <c r="D181" s="48">
        <v>102</v>
      </c>
      <c r="E181" s="49">
        <v>1456</v>
      </c>
      <c r="F181" s="50">
        <v>319</v>
      </c>
      <c r="G181" s="51">
        <v>3.4742489270386265</v>
      </c>
      <c r="H181" s="52">
        <v>5.8342342342342342</v>
      </c>
      <c r="I181" s="53">
        <v>1110</v>
      </c>
      <c r="J181" s="54">
        <v>1864</v>
      </c>
      <c r="K181" s="54">
        <v>6476</v>
      </c>
      <c r="L181" s="55">
        <v>7589.8</v>
      </c>
      <c r="M181" s="56">
        <v>577.53</v>
      </c>
      <c r="N181" s="57">
        <v>971.4</v>
      </c>
      <c r="O181" s="58">
        <v>600.29</v>
      </c>
      <c r="P181" s="59">
        <v>10.78811907578004</v>
      </c>
      <c r="Q181" s="60">
        <v>747.2</v>
      </c>
      <c r="R181" s="61">
        <v>8.667023554603853</v>
      </c>
      <c r="S181" s="48"/>
      <c r="T181" s="50"/>
      <c r="U181" s="62">
        <v>0</v>
      </c>
      <c r="V181" s="63">
        <v>142</v>
      </c>
      <c r="W181" s="50">
        <v>156</v>
      </c>
      <c r="X181" s="48">
        <v>71</v>
      </c>
      <c r="Y181" s="63">
        <v>303</v>
      </c>
      <c r="Z181" s="63">
        <v>1023</v>
      </c>
      <c r="AA181" s="64">
        <v>3452.3</v>
      </c>
      <c r="AB181" s="65">
        <v>214.155</v>
      </c>
      <c r="AC181" s="66"/>
      <c r="AD181" s="67"/>
      <c r="AE181" s="68"/>
      <c r="AF181" s="48">
        <v>94</v>
      </c>
      <c r="AG181" s="63">
        <v>160</v>
      </c>
      <c r="AH181" s="63">
        <v>32</v>
      </c>
      <c r="AI181" s="63">
        <v>64</v>
      </c>
      <c r="AJ181" s="63">
        <v>34</v>
      </c>
      <c r="AK181" s="63">
        <v>153</v>
      </c>
      <c r="AL181" s="63">
        <v>91</v>
      </c>
      <c r="AM181" s="63">
        <v>82</v>
      </c>
      <c r="AN181" s="63">
        <v>248</v>
      </c>
      <c r="AO181" s="63">
        <v>148</v>
      </c>
      <c r="AP181" s="63">
        <v>102</v>
      </c>
      <c r="AQ181" s="63">
        <v>219</v>
      </c>
      <c r="AR181" s="63">
        <v>3</v>
      </c>
      <c r="AS181" s="63">
        <v>1</v>
      </c>
      <c r="AT181" s="63">
        <v>12</v>
      </c>
      <c r="AU181" s="63">
        <v>63</v>
      </c>
      <c r="AV181" s="63">
        <v>239</v>
      </c>
      <c r="AW181" s="50">
        <v>17</v>
      </c>
      <c r="AX181" s="69">
        <v>4593</v>
      </c>
      <c r="AY181" s="69">
        <v>26097</v>
      </c>
      <c r="AZ181" s="54">
        <v>487</v>
      </c>
      <c r="BA181" s="54">
        <v>1534</v>
      </c>
      <c r="BB181" s="54">
        <v>805</v>
      </c>
      <c r="BC181" s="54">
        <v>1570</v>
      </c>
      <c r="BD181" s="54">
        <v>1104</v>
      </c>
      <c r="BE181" s="70">
        <v>1041</v>
      </c>
      <c r="BF181" s="63">
        <v>625</v>
      </c>
      <c r="BG181" s="71">
        <v>2770</v>
      </c>
      <c r="BH181" s="67"/>
      <c r="BI181" s="68"/>
      <c r="BJ181" s="72">
        <v>1728</v>
      </c>
      <c r="BK181" s="62"/>
      <c r="BL181" s="70">
        <v>1922</v>
      </c>
      <c r="BM181" s="70">
        <v>137</v>
      </c>
      <c r="BN181" s="70">
        <v>153</v>
      </c>
      <c r="BO181" s="70">
        <v>1405</v>
      </c>
      <c r="BP181" s="73">
        <v>33</v>
      </c>
      <c r="BQ181" s="74">
        <v>513</v>
      </c>
      <c r="BR181" s="54">
        <v>232</v>
      </c>
      <c r="BS181" s="75">
        <v>93</v>
      </c>
      <c r="BT181" s="76">
        <v>64.695177434030938</v>
      </c>
      <c r="BU181" s="77">
        <v>35.304822565969062</v>
      </c>
      <c r="BV181" s="78">
        <v>711</v>
      </c>
      <c r="BW181" s="79">
        <v>388</v>
      </c>
      <c r="BX181" s="69">
        <v>389</v>
      </c>
      <c r="BY181" s="70">
        <v>90</v>
      </c>
      <c r="BZ181" s="70">
        <v>164</v>
      </c>
      <c r="CA181" s="70">
        <v>232</v>
      </c>
      <c r="CB181" s="70">
        <v>13</v>
      </c>
      <c r="CC181" s="70">
        <v>188</v>
      </c>
      <c r="CD181" s="70">
        <v>8</v>
      </c>
      <c r="CE181" s="73">
        <v>15</v>
      </c>
    </row>
    <row r="182" spans="2:83" x14ac:dyDescent="0.3">
      <c r="B182" s="46">
        <v>35</v>
      </c>
      <c r="C182" s="47">
        <v>43342</v>
      </c>
      <c r="D182" s="48">
        <v>48</v>
      </c>
      <c r="E182" s="49">
        <v>1180</v>
      </c>
      <c r="F182" s="50">
        <v>309</v>
      </c>
      <c r="G182" s="51">
        <v>4.9830176355323319</v>
      </c>
      <c r="H182" s="52">
        <v>8.8400926998841243</v>
      </c>
      <c r="I182" s="53">
        <v>863</v>
      </c>
      <c r="J182" s="54">
        <v>1531</v>
      </c>
      <c r="K182" s="54">
        <v>7629</v>
      </c>
      <c r="L182" s="55">
        <v>10124.299999999999</v>
      </c>
      <c r="M182" s="56">
        <v>542.35500000000002</v>
      </c>
      <c r="N182" s="57">
        <v>1144.3499999999999</v>
      </c>
      <c r="O182" s="58">
        <v>599.98</v>
      </c>
      <c r="P182" s="59">
        <v>12.715423847461581</v>
      </c>
      <c r="Q182" s="60">
        <v>732.87</v>
      </c>
      <c r="R182" s="61">
        <v>10.409758893118834</v>
      </c>
      <c r="S182" s="48"/>
      <c r="T182" s="50"/>
      <c r="U182" s="62">
        <v>0</v>
      </c>
      <c r="V182" s="63">
        <v>123</v>
      </c>
      <c r="W182" s="50">
        <v>117</v>
      </c>
      <c r="X182" s="48">
        <v>59</v>
      </c>
      <c r="Y182" s="63">
        <v>175</v>
      </c>
      <c r="Z182" s="63">
        <v>228</v>
      </c>
      <c r="AA182" s="64">
        <v>2164.9</v>
      </c>
      <c r="AB182" s="65">
        <v>100.985</v>
      </c>
      <c r="AC182" s="66"/>
      <c r="AD182" s="67"/>
      <c r="AE182" s="68"/>
      <c r="AF182" s="48">
        <v>47</v>
      </c>
      <c r="AG182" s="63">
        <v>98</v>
      </c>
      <c r="AH182" s="63">
        <v>25</v>
      </c>
      <c r="AI182" s="63">
        <v>42</v>
      </c>
      <c r="AJ182" s="63">
        <v>27</v>
      </c>
      <c r="AK182" s="63">
        <v>112</v>
      </c>
      <c r="AL182" s="63">
        <v>80</v>
      </c>
      <c r="AM182" s="63">
        <v>77</v>
      </c>
      <c r="AN182" s="63">
        <v>270</v>
      </c>
      <c r="AO182" s="63">
        <v>95</v>
      </c>
      <c r="AP182" s="63">
        <v>142</v>
      </c>
      <c r="AQ182" s="63">
        <v>148</v>
      </c>
      <c r="AR182" s="63">
        <v>1</v>
      </c>
      <c r="AS182" s="63">
        <v>1</v>
      </c>
      <c r="AT182" s="63">
        <v>13</v>
      </c>
      <c r="AU182" s="63">
        <v>91</v>
      </c>
      <c r="AV182" s="63">
        <v>203</v>
      </c>
      <c r="AW182" s="50">
        <v>16</v>
      </c>
      <c r="AX182" s="69">
        <v>2775</v>
      </c>
      <c r="AY182" s="69">
        <v>17829</v>
      </c>
      <c r="AZ182" s="54">
        <v>627</v>
      </c>
      <c r="BA182" s="54">
        <v>2194</v>
      </c>
      <c r="BB182" s="54">
        <v>307</v>
      </c>
      <c r="BC182" s="54">
        <v>864</v>
      </c>
      <c r="BD182" s="54">
        <v>1110</v>
      </c>
      <c r="BE182" s="70">
        <v>1640</v>
      </c>
      <c r="BF182" s="63">
        <v>471</v>
      </c>
      <c r="BG182" s="71">
        <v>3221</v>
      </c>
      <c r="BH182" s="67"/>
      <c r="BI182" s="68"/>
      <c r="BJ182" s="72">
        <v>1542</v>
      </c>
      <c r="BK182" s="62"/>
      <c r="BL182" s="70">
        <v>1822</v>
      </c>
      <c r="BM182" s="70">
        <v>101</v>
      </c>
      <c r="BN182" s="70">
        <v>119</v>
      </c>
      <c r="BO182" s="70">
        <v>1312</v>
      </c>
      <c r="BP182" s="73">
        <v>10</v>
      </c>
      <c r="BQ182" s="74">
        <v>378</v>
      </c>
      <c r="BR182" s="54">
        <v>233</v>
      </c>
      <c r="BS182" s="75">
        <v>108</v>
      </c>
      <c r="BT182" s="76">
        <v>65.429234338747094</v>
      </c>
      <c r="BU182" s="77">
        <v>34.570765661252899</v>
      </c>
      <c r="BV182" s="78">
        <v>564</v>
      </c>
      <c r="BW182" s="79">
        <v>298</v>
      </c>
      <c r="BX182" s="69">
        <v>280</v>
      </c>
      <c r="BY182" s="70">
        <v>106</v>
      </c>
      <c r="BZ182" s="70">
        <v>152</v>
      </c>
      <c r="CA182" s="70">
        <v>178</v>
      </c>
      <c r="CB182" s="70">
        <v>7</v>
      </c>
      <c r="CC182" s="70">
        <v>118</v>
      </c>
      <c r="CD182" s="70">
        <v>7</v>
      </c>
      <c r="CE182" s="73">
        <v>14</v>
      </c>
    </row>
    <row r="183" spans="2:83" x14ac:dyDescent="0.3">
      <c r="B183" s="46">
        <v>35</v>
      </c>
      <c r="C183" s="47">
        <v>43343</v>
      </c>
      <c r="D183" s="48">
        <v>37</v>
      </c>
      <c r="E183" s="49">
        <v>1926</v>
      </c>
      <c r="F183" s="50">
        <v>264</v>
      </c>
      <c r="G183" s="51">
        <v>3.8416779431664412</v>
      </c>
      <c r="H183" s="52">
        <v>6.4620637329286801</v>
      </c>
      <c r="I183" s="53">
        <v>1318</v>
      </c>
      <c r="J183" s="54">
        <v>2217</v>
      </c>
      <c r="K183" s="54">
        <v>8517</v>
      </c>
      <c r="L183" s="55">
        <v>7843.6</v>
      </c>
      <c r="M183" s="56">
        <v>488.851</v>
      </c>
      <c r="N183" s="57">
        <v>1277.55</v>
      </c>
      <c r="O183" s="58">
        <v>588.58000000000004</v>
      </c>
      <c r="P183" s="59">
        <v>14.47042033368446</v>
      </c>
      <c r="Q183" s="60">
        <v>726.86</v>
      </c>
      <c r="R183" s="61">
        <v>11.717524695264563</v>
      </c>
      <c r="S183" s="48"/>
      <c r="T183" s="50"/>
      <c r="U183" s="62">
        <v>0</v>
      </c>
      <c r="V183" s="63">
        <v>21</v>
      </c>
      <c r="W183" s="50">
        <v>52</v>
      </c>
      <c r="X183" s="48">
        <v>31</v>
      </c>
      <c r="Y183" s="63">
        <v>95</v>
      </c>
      <c r="Z183" s="63">
        <v>377</v>
      </c>
      <c r="AA183" s="64">
        <v>1183.0999999999999</v>
      </c>
      <c r="AB183" s="65">
        <v>70.495000000000005</v>
      </c>
      <c r="AC183" s="66"/>
      <c r="AD183" s="67"/>
      <c r="AE183" s="68"/>
      <c r="AF183" s="48">
        <v>149</v>
      </c>
      <c r="AG183" s="63">
        <v>206</v>
      </c>
      <c r="AH183" s="63">
        <v>65</v>
      </c>
      <c r="AI183" s="63">
        <v>54</v>
      </c>
      <c r="AJ183" s="63">
        <v>64</v>
      </c>
      <c r="AK183" s="63">
        <v>129</v>
      </c>
      <c r="AL183" s="63">
        <v>113</v>
      </c>
      <c r="AM183" s="63">
        <v>92</v>
      </c>
      <c r="AN183" s="63">
        <v>476</v>
      </c>
      <c r="AO183" s="63">
        <v>189</v>
      </c>
      <c r="AP183" s="63">
        <v>149</v>
      </c>
      <c r="AQ183" s="63">
        <v>207</v>
      </c>
      <c r="AR183" s="63">
        <v>7</v>
      </c>
      <c r="AS183" s="63">
        <v>2</v>
      </c>
      <c r="AT183" s="63">
        <v>6</v>
      </c>
      <c r="AU183" s="63">
        <v>112</v>
      </c>
      <c r="AV183" s="63">
        <v>133</v>
      </c>
      <c r="AW183" s="50">
        <v>15</v>
      </c>
      <c r="AX183" s="69">
        <v>5538</v>
      </c>
      <c r="AY183" s="69">
        <v>33449</v>
      </c>
      <c r="AZ183" s="54">
        <v>979</v>
      </c>
      <c r="BA183" s="54">
        <v>3275</v>
      </c>
      <c r="BB183" s="54">
        <v>585</v>
      </c>
      <c r="BC183" s="54">
        <v>1415</v>
      </c>
      <c r="BD183" s="54">
        <v>1379</v>
      </c>
      <c r="BE183" s="70">
        <v>1599</v>
      </c>
      <c r="BF183" s="63">
        <v>430</v>
      </c>
      <c r="BG183" s="71">
        <v>3408</v>
      </c>
      <c r="BH183" s="67"/>
      <c r="BI183" s="68"/>
      <c r="BJ183" s="72">
        <v>1535</v>
      </c>
      <c r="BK183" s="62"/>
      <c r="BL183" s="70">
        <v>2016</v>
      </c>
      <c r="BM183" s="70">
        <v>156</v>
      </c>
      <c r="BN183" s="70">
        <v>157</v>
      </c>
      <c r="BO183" s="70">
        <v>1213</v>
      </c>
      <c r="BP183" s="73">
        <v>9</v>
      </c>
      <c r="BQ183" s="74">
        <v>668</v>
      </c>
      <c r="BR183" s="54">
        <v>383</v>
      </c>
      <c r="BS183" s="75">
        <v>127</v>
      </c>
      <c r="BT183" s="76">
        <v>70.659590598938593</v>
      </c>
      <c r="BU183" s="77">
        <v>29.340409401061411</v>
      </c>
      <c r="BV183" s="78">
        <v>932</v>
      </c>
      <c r="BW183" s="79">
        <v>387</v>
      </c>
      <c r="BX183" s="69">
        <v>639</v>
      </c>
      <c r="BY183" s="70">
        <v>134</v>
      </c>
      <c r="BZ183" s="70">
        <v>252</v>
      </c>
      <c r="CA183" s="70">
        <v>159</v>
      </c>
      <c r="CB183" s="70">
        <v>19</v>
      </c>
      <c r="CC183" s="70">
        <v>86</v>
      </c>
      <c r="CD183" s="70">
        <v>4</v>
      </c>
      <c r="CE183" s="73">
        <v>26</v>
      </c>
    </row>
    <row r="184" spans="2:83" x14ac:dyDescent="0.3">
      <c r="B184" s="46">
        <v>36</v>
      </c>
      <c r="C184" s="47">
        <v>43346</v>
      </c>
      <c r="D184" s="48">
        <v>37</v>
      </c>
      <c r="E184" s="49">
        <v>1850</v>
      </c>
      <c r="F184" s="50">
        <v>260</v>
      </c>
      <c r="G184" s="51">
        <v>3.1685176243360695</v>
      </c>
      <c r="H184" s="52">
        <v>4.3342140026420077</v>
      </c>
      <c r="I184" s="53">
        <v>1514</v>
      </c>
      <c r="J184" s="54">
        <v>2071</v>
      </c>
      <c r="K184" s="54">
        <v>6562</v>
      </c>
      <c r="L184" s="55">
        <v>5734.4</v>
      </c>
      <c r="M184" s="56">
        <v>399.40899999999999</v>
      </c>
      <c r="N184" s="57">
        <v>984.30000000000007</v>
      </c>
      <c r="O184" s="58">
        <v>604.63</v>
      </c>
      <c r="P184" s="59">
        <v>10.85291831367944</v>
      </c>
      <c r="Q184" s="60">
        <v>733.12999999999988</v>
      </c>
      <c r="R184" s="61">
        <v>8.9506635930871763</v>
      </c>
      <c r="S184" s="48"/>
      <c r="T184" s="50"/>
      <c r="U184" s="62">
        <v>0</v>
      </c>
      <c r="V184" s="63">
        <v>44</v>
      </c>
      <c r="W184" s="50">
        <v>63</v>
      </c>
      <c r="X184" s="48">
        <v>35</v>
      </c>
      <c r="Y184" s="63">
        <v>85</v>
      </c>
      <c r="Z184" s="63">
        <v>151</v>
      </c>
      <c r="AA184" s="64">
        <v>1837</v>
      </c>
      <c r="AB184" s="65">
        <v>59.655000000000001</v>
      </c>
      <c r="AC184" s="66"/>
      <c r="AD184" s="67"/>
      <c r="AE184" s="68"/>
      <c r="AF184" s="48">
        <v>177</v>
      </c>
      <c r="AG184" s="63">
        <v>308</v>
      </c>
      <c r="AH184" s="63">
        <v>58</v>
      </c>
      <c r="AI184" s="63">
        <v>67</v>
      </c>
      <c r="AJ184" s="63">
        <v>64</v>
      </c>
      <c r="AK184" s="63">
        <v>206</v>
      </c>
      <c r="AL184" s="63">
        <v>133</v>
      </c>
      <c r="AM184" s="63">
        <v>89</v>
      </c>
      <c r="AN184" s="63">
        <v>259</v>
      </c>
      <c r="AO184" s="63">
        <v>98</v>
      </c>
      <c r="AP184" s="63">
        <v>161</v>
      </c>
      <c r="AQ184" s="63">
        <v>133</v>
      </c>
      <c r="AR184" s="63">
        <v>23</v>
      </c>
      <c r="AS184" s="63">
        <v>8</v>
      </c>
      <c r="AT184" s="63">
        <v>13</v>
      </c>
      <c r="AU184" s="63">
        <v>95</v>
      </c>
      <c r="AV184" s="63">
        <v>149</v>
      </c>
      <c r="AW184" s="50">
        <v>17</v>
      </c>
      <c r="AX184" s="69">
        <v>4845</v>
      </c>
      <c r="AY184" s="69">
        <v>27992</v>
      </c>
      <c r="AZ184" s="54">
        <v>1247</v>
      </c>
      <c r="BA184" s="54">
        <v>4885</v>
      </c>
      <c r="BB184" s="54">
        <v>754</v>
      </c>
      <c r="BC184" s="54">
        <v>1583</v>
      </c>
      <c r="BD184" s="54">
        <v>1340</v>
      </c>
      <c r="BE184" s="70">
        <v>1810</v>
      </c>
      <c r="BF184" s="63">
        <v>681</v>
      </c>
      <c r="BG184" s="71">
        <v>3831</v>
      </c>
      <c r="BH184" s="67"/>
      <c r="BI184" s="68"/>
      <c r="BJ184" s="72">
        <v>1915</v>
      </c>
      <c r="BK184" s="62"/>
      <c r="BL184" s="70">
        <v>2180</v>
      </c>
      <c r="BM184" s="70">
        <v>143</v>
      </c>
      <c r="BN184" s="70">
        <v>108</v>
      </c>
      <c r="BO184" s="70">
        <v>1644</v>
      </c>
      <c r="BP184" s="73">
        <v>20</v>
      </c>
      <c r="BQ184" s="74">
        <v>944</v>
      </c>
      <c r="BR184" s="54">
        <v>280</v>
      </c>
      <c r="BS184" s="75">
        <v>123</v>
      </c>
      <c r="BT184" s="76">
        <v>77.278731836195504</v>
      </c>
      <c r="BU184" s="77">
        <v>22.721268163804492</v>
      </c>
      <c r="BV184" s="78">
        <v>1170</v>
      </c>
      <c r="BW184" s="79">
        <v>344</v>
      </c>
      <c r="BX184" s="69">
        <v>739</v>
      </c>
      <c r="BY184" s="70">
        <v>107</v>
      </c>
      <c r="BZ184" s="70">
        <v>189</v>
      </c>
      <c r="CA184" s="70">
        <v>324</v>
      </c>
      <c r="CB184" s="70">
        <v>2</v>
      </c>
      <c r="CC184" s="70">
        <v>138</v>
      </c>
      <c r="CD184" s="70">
        <v>3</v>
      </c>
      <c r="CE184" s="73">
        <v>12</v>
      </c>
    </row>
    <row r="185" spans="2:83" x14ac:dyDescent="0.3">
      <c r="B185" s="46">
        <v>36</v>
      </c>
      <c r="C185" s="47">
        <v>43347</v>
      </c>
      <c r="D185" s="48">
        <v>42</v>
      </c>
      <c r="E185" s="49">
        <v>1472</v>
      </c>
      <c r="F185" s="50">
        <v>345</v>
      </c>
      <c r="G185" s="51">
        <v>4.9535135135135135</v>
      </c>
      <c r="H185" s="52">
        <v>8.1097345132743364</v>
      </c>
      <c r="I185" s="53">
        <v>1130</v>
      </c>
      <c r="J185" s="54">
        <v>1850</v>
      </c>
      <c r="K185" s="54">
        <v>9164</v>
      </c>
      <c r="L185" s="55">
        <v>8034</v>
      </c>
      <c r="M185" s="56">
        <v>601.08500000000004</v>
      </c>
      <c r="N185" s="57">
        <v>1374.6</v>
      </c>
      <c r="O185" s="58">
        <v>607.31999999999994</v>
      </c>
      <c r="P185" s="59">
        <v>15.089244549825464</v>
      </c>
      <c r="Q185" s="60">
        <v>736.95</v>
      </c>
      <c r="R185" s="61">
        <v>12.435036298256327</v>
      </c>
      <c r="S185" s="48"/>
      <c r="T185" s="50"/>
      <c r="U185" s="62">
        <v>0</v>
      </c>
      <c r="V185" s="63">
        <v>58</v>
      </c>
      <c r="W185" s="50">
        <v>81</v>
      </c>
      <c r="X185" s="48">
        <v>33</v>
      </c>
      <c r="Y185" s="63">
        <v>120</v>
      </c>
      <c r="Z185" s="63">
        <v>445</v>
      </c>
      <c r="AA185" s="64">
        <v>1255.4000000000001</v>
      </c>
      <c r="AB185" s="65">
        <v>101.111</v>
      </c>
      <c r="AC185" s="66"/>
      <c r="AD185" s="67"/>
      <c r="AE185" s="68"/>
      <c r="AF185" s="48">
        <v>82</v>
      </c>
      <c r="AG185" s="63">
        <v>164</v>
      </c>
      <c r="AH185" s="63">
        <v>41</v>
      </c>
      <c r="AI185" s="63">
        <v>58</v>
      </c>
      <c r="AJ185" s="63">
        <v>48</v>
      </c>
      <c r="AK185" s="63">
        <v>123</v>
      </c>
      <c r="AL185" s="63">
        <v>100</v>
      </c>
      <c r="AM185" s="63">
        <v>100</v>
      </c>
      <c r="AN185" s="63">
        <v>318</v>
      </c>
      <c r="AO185" s="63">
        <v>107</v>
      </c>
      <c r="AP185" s="63">
        <v>131</v>
      </c>
      <c r="AQ185" s="63">
        <v>120</v>
      </c>
      <c r="AR185" s="63">
        <v>8</v>
      </c>
      <c r="AS185" s="63">
        <v>5</v>
      </c>
      <c r="AT185" s="63">
        <v>16</v>
      </c>
      <c r="AU185" s="63">
        <v>116</v>
      </c>
      <c r="AV185" s="63">
        <v>218</v>
      </c>
      <c r="AW185" s="50">
        <v>10</v>
      </c>
      <c r="AX185" s="69">
        <v>4421</v>
      </c>
      <c r="AY185" s="69">
        <v>29908</v>
      </c>
      <c r="AZ185" s="54">
        <v>1628</v>
      </c>
      <c r="BA185" s="54">
        <v>5354</v>
      </c>
      <c r="BB185" s="54">
        <v>356</v>
      </c>
      <c r="BC185" s="54">
        <v>670</v>
      </c>
      <c r="BD185" s="54">
        <v>1078</v>
      </c>
      <c r="BE185" s="70">
        <v>2167</v>
      </c>
      <c r="BF185" s="63">
        <v>417</v>
      </c>
      <c r="BG185" s="71">
        <v>3662</v>
      </c>
      <c r="BH185" s="67"/>
      <c r="BI185" s="68"/>
      <c r="BJ185" s="72">
        <v>1825</v>
      </c>
      <c r="BK185" s="62"/>
      <c r="BL185" s="70">
        <v>2018</v>
      </c>
      <c r="BM185" s="70">
        <v>67</v>
      </c>
      <c r="BN185" s="70">
        <v>180</v>
      </c>
      <c r="BO185" s="70">
        <v>1559</v>
      </c>
      <c r="BP185" s="73">
        <v>19</v>
      </c>
      <c r="BQ185" s="74">
        <v>540</v>
      </c>
      <c r="BR185" s="54">
        <v>320</v>
      </c>
      <c r="BS185" s="75">
        <v>140</v>
      </c>
      <c r="BT185" s="76">
        <v>72.944297082228118</v>
      </c>
      <c r="BU185" s="77">
        <v>27.055702917771882</v>
      </c>
      <c r="BV185" s="78">
        <v>825</v>
      </c>
      <c r="BW185" s="79">
        <v>306</v>
      </c>
      <c r="BX185" s="69">
        <v>468</v>
      </c>
      <c r="BY185" s="70">
        <v>154</v>
      </c>
      <c r="BZ185" s="70">
        <v>183</v>
      </c>
      <c r="CA185" s="70">
        <v>203</v>
      </c>
      <c r="CB185" s="70">
        <v>5</v>
      </c>
      <c r="CC185" s="70">
        <v>94</v>
      </c>
      <c r="CD185" s="70">
        <v>9</v>
      </c>
      <c r="CE185" s="73">
        <v>15</v>
      </c>
    </row>
    <row r="186" spans="2:83" x14ac:dyDescent="0.3">
      <c r="B186" s="46">
        <v>36</v>
      </c>
      <c r="C186" s="47">
        <v>43348</v>
      </c>
      <c r="D186" s="48">
        <v>33</v>
      </c>
      <c r="E186" s="49">
        <v>1528</v>
      </c>
      <c r="F186" s="50">
        <v>178</v>
      </c>
      <c r="G186" s="51">
        <v>3.9026047565118911</v>
      </c>
      <c r="H186" s="52">
        <v>6.8035538005923</v>
      </c>
      <c r="I186" s="53">
        <v>1013</v>
      </c>
      <c r="J186" s="54">
        <v>1766</v>
      </c>
      <c r="K186" s="54">
        <v>6892</v>
      </c>
      <c r="L186" s="55">
        <v>4428.6000000000004</v>
      </c>
      <c r="M186" s="56">
        <v>416.56799999999998</v>
      </c>
      <c r="N186" s="57">
        <v>1033.8</v>
      </c>
      <c r="O186" s="58">
        <v>630.31000000000006</v>
      </c>
      <c r="P186" s="59">
        <v>10.934302168774094</v>
      </c>
      <c r="Q186" s="60">
        <v>764.05000000000007</v>
      </c>
      <c r="R186" s="61">
        <v>9.0203520711995289</v>
      </c>
      <c r="S186" s="48"/>
      <c r="T186" s="50"/>
      <c r="U186" s="62">
        <v>0</v>
      </c>
      <c r="V186" s="63">
        <v>80</v>
      </c>
      <c r="W186" s="50">
        <v>43</v>
      </c>
      <c r="X186" s="48">
        <v>47</v>
      </c>
      <c r="Y186" s="63">
        <v>109</v>
      </c>
      <c r="Z186" s="63">
        <v>430</v>
      </c>
      <c r="AA186" s="64">
        <v>434.5</v>
      </c>
      <c r="AB186" s="65">
        <v>40.330800000000004</v>
      </c>
      <c r="AC186" s="66"/>
      <c r="AD186" s="67"/>
      <c r="AE186" s="68"/>
      <c r="AF186" s="48">
        <v>66</v>
      </c>
      <c r="AG186" s="63">
        <v>124</v>
      </c>
      <c r="AH186" s="63">
        <v>35</v>
      </c>
      <c r="AI186" s="63">
        <v>46</v>
      </c>
      <c r="AJ186" s="63">
        <v>41</v>
      </c>
      <c r="AK186" s="63">
        <v>90</v>
      </c>
      <c r="AL186" s="63">
        <v>86</v>
      </c>
      <c r="AM186" s="63">
        <v>76</v>
      </c>
      <c r="AN186" s="63">
        <v>393</v>
      </c>
      <c r="AO186" s="63">
        <v>142</v>
      </c>
      <c r="AP186" s="63">
        <v>204</v>
      </c>
      <c r="AQ186" s="63">
        <v>152</v>
      </c>
      <c r="AR186" s="63">
        <v>8</v>
      </c>
      <c r="AS186" s="63">
        <v>4</v>
      </c>
      <c r="AT186" s="63">
        <v>5</v>
      </c>
      <c r="AU186" s="63">
        <v>73</v>
      </c>
      <c r="AV186" s="63">
        <v>94</v>
      </c>
      <c r="AW186" s="50">
        <v>11</v>
      </c>
      <c r="AX186" s="69">
        <v>4995</v>
      </c>
      <c r="AY186" s="69">
        <v>29021</v>
      </c>
      <c r="AZ186" s="54">
        <v>1021</v>
      </c>
      <c r="BA186" s="54">
        <v>4035</v>
      </c>
      <c r="BB186" s="54">
        <v>747</v>
      </c>
      <c r="BC186" s="54">
        <v>1564</v>
      </c>
      <c r="BD186" s="54">
        <v>1320</v>
      </c>
      <c r="BE186" s="70">
        <v>1749</v>
      </c>
      <c r="BF186" s="63">
        <v>573</v>
      </c>
      <c r="BG186" s="71">
        <v>3642</v>
      </c>
      <c r="BH186" s="67"/>
      <c r="BI186" s="68"/>
      <c r="BJ186" s="72">
        <v>1696</v>
      </c>
      <c r="BK186" s="62"/>
      <c r="BL186" s="70">
        <v>1947</v>
      </c>
      <c r="BM186" s="70">
        <v>325</v>
      </c>
      <c r="BN186" s="70">
        <v>88</v>
      </c>
      <c r="BO186" s="70">
        <v>1260</v>
      </c>
      <c r="BP186" s="73">
        <v>23</v>
      </c>
      <c r="BQ186" s="74">
        <v>412</v>
      </c>
      <c r="BR186" s="54">
        <v>267</v>
      </c>
      <c r="BS186" s="75">
        <v>108</v>
      </c>
      <c r="BT186" s="76">
        <v>62.051792828685258</v>
      </c>
      <c r="BU186" s="77">
        <v>37.948207171314742</v>
      </c>
      <c r="BV186" s="78">
        <v>623</v>
      </c>
      <c r="BW186" s="79">
        <v>381</v>
      </c>
      <c r="BX186" s="69">
        <v>320</v>
      </c>
      <c r="BY186" s="70">
        <v>104</v>
      </c>
      <c r="BZ186" s="70">
        <v>179</v>
      </c>
      <c r="CA186" s="70">
        <v>199</v>
      </c>
      <c r="CB186" s="70">
        <v>16</v>
      </c>
      <c r="CC186" s="70">
        <v>172</v>
      </c>
      <c r="CD186" s="70">
        <v>14</v>
      </c>
      <c r="CE186" s="73">
        <v>0</v>
      </c>
    </row>
    <row r="187" spans="2:83" x14ac:dyDescent="0.3">
      <c r="B187" s="46">
        <v>36</v>
      </c>
      <c r="C187" s="47">
        <v>43349</v>
      </c>
      <c r="D187" s="48">
        <v>28</v>
      </c>
      <c r="E187" s="49">
        <v>1368</v>
      </c>
      <c r="F187" s="50">
        <v>231</v>
      </c>
      <c r="G187" s="51">
        <v>5.3463653023824067</v>
      </c>
      <c r="H187" s="52">
        <v>9.0600414078674945</v>
      </c>
      <c r="I187" s="53">
        <v>966</v>
      </c>
      <c r="J187" s="54">
        <v>1637</v>
      </c>
      <c r="K187" s="54">
        <v>8752</v>
      </c>
      <c r="L187" s="55">
        <v>6422.2</v>
      </c>
      <c r="M187" s="56">
        <v>429.4</v>
      </c>
      <c r="N187" s="57">
        <v>1312.8000000000002</v>
      </c>
      <c r="O187" s="58">
        <v>614.41999999999996</v>
      </c>
      <c r="P187" s="59">
        <v>14.244327984115101</v>
      </c>
      <c r="Q187" s="60">
        <v>758.41</v>
      </c>
      <c r="R187" s="61">
        <v>11.539932226632033</v>
      </c>
      <c r="S187" s="48"/>
      <c r="T187" s="50"/>
      <c r="U187" s="62">
        <v>0</v>
      </c>
      <c r="V187" s="63">
        <v>35</v>
      </c>
      <c r="W187" s="50">
        <v>52</v>
      </c>
      <c r="X187" s="48">
        <v>33</v>
      </c>
      <c r="Y187" s="63">
        <v>115</v>
      </c>
      <c r="Z187" s="63">
        <v>467</v>
      </c>
      <c r="AA187" s="64">
        <v>1370.8</v>
      </c>
      <c r="AB187" s="65">
        <v>85.548000000000002</v>
      </c>
      <c r="AC187" s="66"/>
      <c r="AD187" s="67"/>
      <c r="AE187" s="68"/>
      <c r="AF187" s="48">
        <v>75</v>
      </c>
      <c r="AG187" s="63">
        <v>124</v>
      </c>
      <c r="AH187" s="63">
        <v>35</v>
      </c>
      <c r="AI187" s="63">
        <v>53</v>
      </c>
      <c r="AJ187" s="63">
        <v>47</v>
      </c>
      <c r="AK187" s="63">
        <v>89</v>
      </c>
      <c r="AL187" s="63">
        <v>74</v>
      </c>
      <c r="AM187" s="63">
        <v>66</v>
      </c>
      <c r="AN187" s="63">
        <v>317</v>
      </c>
      <c r="AO187" s="63">
        <v>138</v>
      </c>
      <c r="AP187" s="63">
        <v>176</v>
      </c>
      <c r="AQ187" s="63">
        <v>103</v>
      </c>
      <c r="AR187" s="63">
        <v>2</v>
      </c>
      <c r="AS187" s="63">
        <v>5</v>
      </c>
      <c r="AT187" s="63">
        <v>6</v>
      </c>
      <c r="AU187" s="63">
        <v>74</v>
      </c>
      <c r="AV187" s="63">
        <v>145</v>
      </c>
      <c r="AW187" s="50">
        <v>11</v>
      </c>
      <c r="AX187" s="69">
        <v>4621</v>
      </c>
      <c r="AY187" s="69">
        <v>24700</v>
      </c>
      <c r="AZ187" s="54">
        <v>1674</v>
      </c>
      <c r="BA187" s="54">
        <v>6945</v>
      </c>
      <c r="BB187" s="54">
        <v>668</v>
      </c>
      <c r="BC187" s="54">
        <v>1529</v>
      </c>
      <c r="BD187" s="54">
        <v>1092</v>
      </c>
      <c r="BE187" s="70">
        <v>2096</v>
      </c>
      <c r="BF187" s="63">
        <v>615</v>
      </c>
      <c r="BG187" s="71">
        <v>3803</v>
      </c>
      <c r="BH187" s="67"/>
      <c r="BI187" s="68"/>
      <c r="BJ187" s="72">
        <v>1529</v>
      </c>
      <c r="BK187" s="62"/>
      <c r="BL187" s="70">
        <v>2254</v>
      </c>
      <c r="BM187" s="70">
        <v>207</v>
      </c>
      <c r="BN187" s="70">
        <v>60</v>
      </c>
      <c r="BO187" s="70">
        <v>1252</v>
      </c>
      <c r="BP187" s="73">
        <v>10</v>
      </c>
      <c r="BQ187" s="74">
        <v>445</v>
      </c>
      <c r="BR187" s="54">
        <v>294</v>
      </c>
      <c r="BS187" s="75">
        <v>90</v>
      </c>
      <c r="BT187" s="76">
        <v>66.526315789473685</v>
      </c>
      <c r="BU187" s="77">
        <v>33.473684210526315</v>
      </c>
      <c r="BV187" s="78">
        <v>632</v>
      </c>
      <c r="BW187" s="79">
        <v>318</v>
      </c>
      <c r="BX187" s="69">
        <v>373</v>
      </c>
      <c r="BY187" s="70">
        <v>106</v>
      </c>
      <c r="BZ187" s="70">
        <v>193</v>
      </c>
      <c r="CA187" s="70">
        <v>153</v>
      </c>
      <c r="CB187" s="70">
        <v>8</v>
      </c>
      <c r="CC187" s="70">
        <v>105</v>
      </c>
      <c r="CD187" s="70">
        <v>4</v>
      </c>
      <c r="CE187" s="73">
        <v>8</v>
      </c>
    </row>
    <row r="188" spans="2:83" x14ac:dyDescent="0.3">
      <c r="B188" s="46">
        <v>36</v>
      </c>
      <c r="C188" s="47">
        <v>43350</v>
      </c>
      <c r="D188" s="48">
        <v>89</v>
      </c>
      <c r="E188" s="49">
        <v>1386</v>
      </c>
      <c r="F188" s="50">
        <v>169</v>
      </c>
      <c r="G188" s="51">
        <v>3.5587515299877599</v>
      </c>
      <c r="H188" s="52">
        <v>6.2059765208110989</v>
      </c>
      <c r="I188" s="53">
        <v>937</v>
      </c>
      <c r="J188" s="54">
        <v>1634</v>
      </c>
      <c r="K188" s="54">
        <v>5815</v>
      </c>
      <c r="L188" s="55">
        <v>4457.3999999999996</v>
      </c>
      <c r="M188" s="56">
        <v>400.452</v>
      </c>
      <c r="N188" s="57">
        <v>872.25000000000011</v>
      </c>
      <c r="O188" s="58">
        <v>551.09</v>
      </c>
      <c r="P188" s="59">
        <v>10.551815492932189</v>
      </c>
      <c r="Q188" s="60">
        <v>704.9</v>
      </c>
      <c r="R188" s="61">
        <v>8.2493970775996601</v>
      </c>
      <c r="S188" s="48"/>
      <c r="T188" s="50"/>
      <c r="U188" s="62">
        <v>0</v>
      </c>
      <c r="V188" s="63">
        <v>53</v>
      </c>
      <c r="W188" s="50">
        <v>57</v>
      </c>
      <c r="X188" s="48">
        <v>31</v>
      </c>
      <c r="Y188" s="63">
        <v>112</v>
      </c>
      <c r="Z188" s="63">
        <v>378</v>
      </c>
      <c r="AA188" s="64">
        <v>668.9</v>
      </c>
      <c r="AB188" s="65">
        <v>89.331000000000003</v>
      </c>
      <c r="AC188" s="66"/>
      <c r="AD188" s="67"/>
      <c r="AE188" s="68"/>
      <c r="AF188" s="48">
        <v>107</v>
      </c>
      <c r="AG188" s="63">
        <v>125</v>
      </c>
      <c r="AH188" s="63">
        <v>29</v>
      </c>
      <c r="AI188" s="63">
        <v>48</v>
      </c>
      <c r="AJ188" s="63">
        <v>33</v>
      </c>
      <c r="AK188" s="63">
        <v>127</v>
      </c>
      <c r="AL188" s="63">
        <v>85</v>
      </c>
      <c r="AM188" s="63">
        <v>51</v>
      </c>
      <c r="AN188" s="63">
        <v>300</v>
      </c>
      <c r="AO188" s="63">
        <v>93</v>
      </c>
      <c r="AP188" s="63">
        <v>206</v>
      </c>
      <c r="AQ188" s="63">
        <v>145</v>
      </c>
      <c r="AR188" s="63">
        <v>3</v>
      </c>
      <c r="AS188" s="63">
        <v>0</v>
      </c>
      <c r="AT188" s="63">
        <v>7</v>
      </c>
      <c r="AU188" s="63">
        <v>40</v>
      </c>
      <c r="AV188" s="63">
        <v>106</v>
      </c>
      <c r="AW188" s="50">
        <v>23</v>
      </c>
      <c r="AX188" s="69">
        <v>3247</v>
      </c>
      <c r="AY188" s="69">
        <v>22843</v>
      </c>
      <c r="AZ188" s="54">
        <v>1273</v>
      </c>
      <c r="BA188" s="54">
        <v>11484</v>
      </c>
      <c r="BB188" s="54">
        <v>457</v>
      </c>
      <c r="BC188" s="54">
        <v>1124</v>
      </c>
      <c r="BD188" s="54">
        <v>938</v>
      </c>
      <c r="BE188" s="70">
        <v>1810</v>
      </c>
      <c r="BF188" s="63">
        <v>532</v>
      </c>
      <c r="BG188" s="71">
        <v>3280</v>
      </c>
      <c r="BH188" s="67"/>
      <c r="BI188" s="68"/>
      <c r="BJ188" s="72">
        <v>1344</v>
      </c>
      <c r="BK188" s="62"/>
      <c r="BL188" s="70">
        <v>2106</v>
      </c>
      <c r="BM188" s="70">
        <v>334</v>
      </c>
      <c r="BN188" s="70">
        <v>71</v>
      </c>
      <c r="BO188" s="70">
        <v>928</v>
      </c>
      <c r="BP188" s="73">
        <v>11</v>
      </c>
      <c r="BQ188" s="74">
        <v>537</v>
      </c>
      <c r="BR188" s="54">
        <v>198</v>
      </c>
      <c r="BS188" s="75">
        <v>97</v>
      </c>
      <c r="BT188" s="76">
        <v>71.504802561366063</v>
      </c>
      <c r="BU188" s="77">
        <v>28.495197438633937</v>
      </c>
      <c r="BV188" s="78">
        <v>670</v>
      </c>
      <c r="BW188" s="79">
        <v>267</v>
      </c>
      <c r="BX188" s="69">
        <v>400</v>
      </c>
      <c r="BY188" s="70">
        <v>75</v>
      </c>
      <c r="BZ188" s="70">
        <v>168</v>
      </c>
      <c r="CA188" s="70">
        <v>195</v>
      </c>
      <c r="CB188" s="70">
        <v>6</v>
      </c>
      <c r="CC188" s="70">
        <v>71</v>
      </c>
      <c r="CD188" s="70">
        <v>7</v>
      </c>
      <c r="CE188" s="73">
        <v>15</v>
      </c>
    </row>
    <row r="189" spans="2:83" x14ac:dyDescent="0.3">
      <c r="B189" s="46">
        <v>37</v>
      </c>
      <c r="C189" s="47">
        <v>43353</v>
      </c>
      <c r="D189" s="48">
        <v>70</v>
      </c>
      <c r="E189" s="49">
        <v>1843</v>
      </c>
      <c r="F189" s="50">
        <v>269</v>
      </c>
      <c r="G189" s="51">
        <v>3.5814403093281779</v>
      </c>
      <c r="H189" s="52">
        <v>5.3309352517985609</v>
      </c>
      <c r="I189" s="53">
        <v>1390</v>
      </c>
      <c r="J189" s="54">
        <v>2069</v>
      </c>
      <c r="K189" s="54">
        <v>7410</v>
      </c>
      <c r="L189" s="55">
        <v>5533.4</v>
      </c>
      <c r="M189" s="56">
        <v>384.65899999999999</v>
      </c>
      <c r="N189" s="57">
        <v>1111.5</v>
      </c>
      <c r="O189" s="58">
        <v>567.85</v>
      </c>
      <c r="P189" s="59">
        <v>13.049220744915029</v>
      </c>
      <c r="Q189" s="60">
        <v>721.24</v>
      </c>
      <c r="R189" s="61">
        <v>10.273972602739725</v>
      </c>
      <c r="S189" s="48"/>
      <c r="T189" s="50"/>
      <c r="U189" s="62">
        <v>0</v>
      </c>
      <c r="V189" s="63">
        <v>19</v>
      </c>
      <c r="W189" s="50">
        <v>74</v>
      </c>
      <c r="X189" s="48">
        <v>25</v>
      </c>
      <c r="Y189" s="63">
        <v>58</v>
      </c>
      <c r="Z189" s="63">
        <v>122</v>
      </c>
      <c r="AA189" s="64">
        <v>612.5</v>
      </c>
      <c r="AB189" s="65">
        <v>54.091999999999999</v>
      </c>
      <c r="AC189" s="66"/>
      <c r="AD189" s="67"/>
      <c r="AE189" s="68"/>
      <c r="AF189" s="48">
        <v>121</v>
      </c>
      <c r="AG189" s="63">
        <v>225</v>
      </c>
      <c r="AH189" s="63">
        <v>39</v>
      </c>
      <c r="AI189" s="63">
        <v>76</v>
      </c>
      <c r="AJ189" s="63">
        <v>44</v>
      </c>
      <c r="AK189" s="63">
        <v>202</v>
      </c>
      <c r="AL189" s="63">
        <v>117</v>
      </c>
      <c r="AM189" s="63">
        <v>104</v>
      </c>
      <c r="AN189" s="63">
        <v>350</v>
      </c>
      <c r="AO189" s="63">
        <v>155</v>
      </c>
      <c r="AP189" s="63">
        <v>153</v>
      </c>
      <c r="AQ189" s="63">
        <v>159</v>
      </c>
      <c r="AR189" s="63">
        <v>12</v>
      </c>
      <c r="AS189" s="63">
        <v>9</v>
      </c>
      <c r="AT189" s="63">
        <v>41</v>
      </c>
      <c r="AU189" s="63">
        <v>74</v>
      </c>
      <c r="AV189" s="63">
        <v>186</v>
      </c>
      <c r="AW189" s="50">
        <v>9</v>
      </c>
      <c r="AX189" s="69">
        <v>2379</v>
      </c>
      <c r="AY189" s="69">
        <v>14630</v>
      </c>
      <c r="AZ189" s="54">
        <v>1508</v>
      </c>
      <c r="BA189" s="54">
        <v>4870</v>
      </c>
      <c r="BB189" s="54">
        <v>380</v>
      </c>
      <c r="BC189" s="54">
        <v>556</v>
      </c>
      <c r="BD189" s="54">
        <v>989</v>
      </c>
      <c r="BE189" s="70">
        <v>2179</v>
      </c>
      <c r="BF189" s="63">
        <v>568</v>
      </c>
      <c r="BG189" s="71">
        <v>3736</v>
      </c>
      <c r="BH189" s="67"/>
      <c r="BI189" s="68"/>
      <c r="BJ189" s="72">
        <v>1417</v>
      </c>
      <c r="BK189" s="62"/>
      <c r="BL189" s="70">
        <v>1975</v>
      </c>
      <c r="BM189" s="70">
        <v>192</v>
      </c>
      <c r="BN189" s="70">
        <v>203</v>
      </c>
      <c r="BO189" s="70">
        <v>1011</v>
      </c>
      <c r="BP189" s="73">
        <v>11</v>
      </c>
      <c r="BQ189" s="74">
        <v>743</v>
      </c>
      <c r="BR189" s="54">
        <v>386</v>
      </c>
      <c r="BS189" s="75">
        <v>102</v>
      </c>
      <c r="BT189" s="76">
        <v>69.949312092686455</v>
      </c>
      <c r="BU189" s="77">
        <v>30.050687907313542</v>
      </c>
      <c r="BV189" s="78">
        <v>966</v>
      </c>
      <c r="BW189" s="79">
        <v>415</v>
      </c>
      <c r="BX189" s="69">
        <v>538</v>
      </c>
      <c r="BY189" s="70">
        <v>146</v>
      </c>
      <c r="BZ189" s="70">
        <v>241</v>
      </c>
      <c r="CA189" s="70">
        <v>282</v>
      </c>
      <c r="CB189" s="70">
        <v>7</v>
      </c>
      <c r="CC189" s="70">
        <v>165</v>
      </c>
      <c r="CD189" s="70">
        <v>2</v>
      </c>
      <c r="CE189" s="73">
        <v>0</v>
      </c>
    </row>
    <row r="190" spans="2:83" x14ac:dyDescent="0.3">
      <c r="B190" s="46">
        <v>37</v>
      </c>
      <c r="C190" s="47">
        <v>43354</v>
      </c>
      <c r="D190" s="48">
        <v>18</v>
      </c>
      <c r="E190" s="49">
        <v>1290</v>
      </c>
      <c r="F190" s="50">
        <v>307</v>
      </c>
      <c r="G190" s="51">
        <v>3.5670407560543413</v>
      </c>
      <c r="H190" s="52">
        <v>6.1875</v>
      </c>
      <c r="I190" s="53">
        <v>976</v>
      </c>
      <c r="J190" s="54">
        <v>1693</v>
      </c>
      <c r="K190" s="54">
        <v>6039</v>
      </c>
      <c r="L190" s="55">
        <v>6834.8</v>
      </c>
      <c r="M190" s="56">
        <v>639.46900000000005</v>
      </c>
      <c r="N190" s="57">
        <v>905.84999999999991</v>
      </c>
      <c r="O190" s="58">
        <v>558.77</v>
      </c>
      <c r="P190" s="59">
        <v>10.807666839665695</v>
      </c>
      <c r="Q190" s="60">
        <v>721.18</v>
      </c>
      <c r="R190" s="61">
        <v>8.3737763110457859</v>
      </c>
      <c r="S190" s="48"/>
      <c r="T190" s="50"/>
      <c r="U190" s="62">
        <v>0</v>
      </c>
      <c r="V190" s="63">
        <v>172</v>
      </c>
      <c r="W190" s="50">
        <v>87</v>
      </c>
      <c r="X190" s="48">
        <v>69</v>
      </c>
      <c r="Y190" s="63">
        <v>297</v>
      </c>
      <c r="Z190" s="63">
        <v>473</v>
      </c>
      <c r="AA190" s="64">
        <v>3014</v>
      </c>
      <c r="AB190" s="65">
        <v>183.886</v>
      </c>
      <c r="AC190" s="66"/>
      <c r="AD190" s="67"/>
      <c r="AE190" s="68"/>
      <c r="AF190" s="48">
        <v>88</v>
      </c>
      <c r="AG190" s="63">
        <v>133</v>
      </c>
      <c r="AH190" s="63">
        <v>27</v>
      </c>
      <c r="AI190" s="63">
        <v>65</v>
      </c>
      <c r="AJ190" s="63">
        <v>29</v>
      </c>
      <c r="AK190" s="63">
        <v>142</v>
      </c>
      <c r="AL190" s="63">
        <v>91</v>
      </c>
      <c r="AM190" s="63">
        <v>74</v>
      </c>
      <c r="AN190" s="63">
        <v>188</v>
      </c>
      <c r="AO190" s="63">
        <v>147</v>
      </c>
      <c r="AP190" s="63">
        <v>128</v>
      </c>
      <c r="AQ190" s="63">
        <v>124</v>
      </c>
      <c r="AR190" s="63">
        <v>3</v>
      </c>
      <c r="AS190" s="63">
        <v>4</v>
      </c>
      <c r="AT190" s="63">
        <v>25</v>
      </c>
      <c r="AU190" s="63">
        <v>60</v>
      </c>
      <c r="AV190" s="63">
        <v>221</v>
      </c>
      <c r="AW190" s="50">
        <v>25</v>
      </c>
      <c r="AX190" s="69">
        <v>3013</v>
      </c>
      <c r="AY190" s="69">
        <v>19846</v>
      </c>
      <c r="AZ190" s="54">
        <v>1733</v>
      </c>
      <c r="BA190" s="54">
        <v>7510</v>
      </c>
      <c r="BB190" s="54">
        <v>158</v>
      </c>
      <c r="BC190" s="54">
        <v>268</v>
      </c>
      <c r="BD190" s="54">
        <v>774</v>
      </c>
      <c r="BE190" s="70">
        <v>1544</v>
      </c>
      <c r="BF190" s="63">
        <v>343</v>
      </c>
      <c r="BG190" s="71">
        <v>2661</v>
      </c>
      <c r="BH190" s="67"/>
      <c r="BI190" s="68"/>
      <c r="BJ190" s="72">
        <v>1462</v>
      </c>
      <c r="BK190" s="62"/>
      <c r="BL190" s="70">
        <v>1951</v>
      </c>
      <c r="BM190" s="70">
        <v>206</v>
      </c>
      <c r="BN190" s="70">
        <v>128</v>
      </c>
      <c r="BO190" s="70">
        <v>1100</v>
      </c>
      <c r="BP190" s="73">
        <v>28</v>
      </c>
      <c r="BQ190" s="74">
        <v>476</v>
      </c>
      <c r="BR190" s="54">
        <v>186</v>
      </c>
      <c r="BS190" s="75">
        <v>65</v>
      </c>
      <c r="BT190" s="76">
        <v>64.322647362978287</v>
      </c>
      <c r="BU190" s="77">
        <v>35.67735263702172</v>
      </c>
      <c r="BV190" s="78">
        <v>622</v>
      </c>
      <c r="BW190" s="79">
        <v>345</v>
      </c>
      <c r="BX190" s="69">
        <v>316</v>
      </c>
      <c r="BY190" s="70">
        <v>87</v>
      </c>
      <c r="BZ190" s="70">
        <v>140</v>
      </c>
      <c r="CA190" s="70">
        <v>219</v>
      </c>
      <c r="CB190" s="70">
        <v>11</v>
      </c>
      <c r="CC190" s="70">
        <v>186</v>
      </c>
      <c r="CD190" s="70">
        <v>8</v>
      </c>
      <c r="CE190" s="73">
        <v>0</v>
      </c>
    </row>
    <row r="191" spans="2:83" x14ac:dyDescent="0.3">
      <c r="B191" s="46">
        <v>37</v>
      </c>
      <c r="C191" s="47">
        <v>43355</v>
      </c>
      <c r="D191" s="48">
        <v>12</v>
      </c>
      <c r="E191" s="49">
        <v>1234</v>
      </c>
      <c r="F191" s="50">
        <v>241</v>
      </c>
      <c r="G191" s="51">
        <v>5.2812071330589845</v>
      </c>
      <c r="H191" s="52">
        <v>8.2884822389666315</v>
      </c>
      <c r="I191" s="53">
        <v>929</v>
      </c>
      <c r="J191" s="54">
        <v>1458</v>
      </c>
      <c r="K191" s="54">
        <v>7700</v>
      </c>
      <c r="L191" s="55">
        <v>5856.2</v>
      </c>
      <c r="M191" s="56">
        <v>382.05900000000003</v>
      </c>
      <c r="N191" s="57">
        <v>1155</v>
      </c>
      <c r="O191" s="58">
        <v>528.61</v>
      </c>
      <c r="P191" s="59">
        <v>14.566504606420612</v>
      </c>
      <c r="Q191" s="60">
        <v>684.05</v>
      </c>
      <c r="R191" s="61">
        <v>11.25648709889628</v>
      </c>
      <c r="S191" s="48"/>
      <c r="T191" s="50"/>
      <c r="U191" s="62">
        <v>0</v>
      </c>
      <c r="V191" s="63">
        <v>45</v>
      </c>
      <c r="W191" s="50">
        <v>53</v>
      </c>
      <c r="X191" s="48">
        <v>24</v>
      </c>
      <c r="Y191" s="63">
        <v>98</v>
      </c>
      <c r="Z191" s="63">
        <v>438</v>
      </c>
      <c r="AA191" s="64">
        <v>849.6</v>
      </c>
      <c r="AB191" s="65">
        <v>65.709000000000003</v>
      </c>
      <c r="AC191" s="66"/>
      <c r="AD191" s="67"/>
      <c r="AE191" s="68"/>
      <c r="AF191" s="48">
        <v>78</v>
      </c>
      <c r="AG191" s="63">
        <v>124</v>
      </c>
      <c r="AH191" s="63">
        <v>36</v>
      </c>
      <c r="AI191" s="63">
        <v>49</v>
      </c>
      <c r="AJ191" s="63">
        <v>42</v>
      </c>
      <c r="AK191" s="63">
        <v>112</v>
      </c>
      <c r="AL191" s="63">
        <v>85</v>
      </c>
      <c r="AM191" s="63">
        <v>86</v>
      </c>
      <c r="AN191" s="63">
        <v>270</v>
      </c>
      <c r="AO191" s="63">
        <v>97</v>
      </c>
      <c r="AP191" s="63">
        <v>121</v>
      </c>
      <c r="AQ191" s="63">
        <v>84</v>
      </c>
      <c r="AR191" s="63">
        <v>7</v>
      </c>
      <c r="AS191" s="63">
        <v>3</v>
      </c>
      <c r="AT191" s="63">
        <v>23</v>
      </c>
      <c r="AU191" s="63">
        <v>92</v>
      </c>
      <c r="AV191" s="63">
        <v>133</v>
      </c>
      <c r="AW191" s="50">
        <v>16</v>
      </c>
      <c r="AX191" s="69">
        <v>3879</v>
      </c>
      <c r="AY191" s="69">
        <v>25906</v>
      </c>
      <c r="AZ191" s="54">
        <v>1899</v>
      </c>
      <c r="BA191" s="54">
        <v>5890</v>
      </c>
      <c r="BB191" s="54">
        <v>367</v>
      </c>
      <c r="BC191" s="54">
        <v>836</v>
      </c>
      <c r="BD191" s="54">
        <v>938</v>
      </c>
      <c r="BE191" s="70">
        <v>2453</v>
      </c>
      <c r="BF191" s="63">
        <v>375</v>
      </c>
      <c r="BG191" s="71">
        <v>3766</v>
      </c>
      <c r="BH191" s="67"/>
      <c r="BI191" s="68"/>
      <c r="BJ191" s="72">
        <v>1261</v>
      </c>
      <c r="BK191" s="62"/>
      <c r="BL191" s="70">
        <v>1959</v>
      </c>
      <c r="BM191" s="70">
        <v>120</v>
      </c>
      <c r="BN191" s="70">
        <v>95</v>
      </c>
      <c r="BO191" s="70">
        <v>1034</v>
      </c>
      <c r="BP191" s="73">
        <v>12</v>
      </c>
      <c r="BQ191" s="74">
        <v>479</v>
      </c>
      <c r="BR191" s="54">
        <v>305</v>
      </c>
      <c r="BS191" s="75">
        <v>62</v>
      </c>
      <c r="BT191" s="76">
        <v>69.456521739130437</v>
      </c>
      <c r="BU191" s="77">
        <v>30.543478260869566</v>
      </c>
      <c r="BV191" s="78">
        <v>639</v>
      </c>
      <c r="BW191" s="79">
        <v>281</v>
      </c>
      <c r="BX191" s="69">
        <v>352</v>
      </c>
      <c r="BY191" s="70">
        <v>106</v>
      </c>
      <c r="BZ191" s="70">
        <v>192</v>
      </c>
      <c r="CA191" s="70">
        <v>181</v>
      </c>
      <c r="CB191" s="70">
        <v>5</v>
      </c>
      <c r="CC191" s="70">
        <v>81</v>
      </c>
      <c r="CD191" s="70">
        <v>3</v>
      </c>
      <c r="CE191" s="73">
        <v>0</v>
      </c>
    </row>
    <row r="192" spans="2:83" x14ac:dyDescent="0.3">
      <c r="B192" s="46">
        <v>37</v>
      </c>
      <c r="C192" s="47">
        <v>43356</v>
      </c>
      <c r="D192" s="48">
        <v>42</v>
      </c>
      <c r="E192" s="49">
        <v>1207</v>
      </c>
      <c r="F192" s="50">
        <v>268</v>
      </c>
      <c r="G192" s="51">
        <v>4.5108401084010836</v>
      </c>
      <c r="H192" s="52">
        <v>7.6353211009174311</v>
      </c>
      <c r="I192" s="53">
        <v>872</v>
      </c>
      <c r="J192" s="54">
        <v>1476</v>
      </c>
      <c r="K192" s="54">
        <v>6658</v>
      </c>
      <c r="L192" s="55">
        <v>5997.7</v>
      </c>
      <c r="M192" s="56">
        <v>416.089</v>
      </c>
      <c r="N192" s="57">
        <v>998.7</v>
      </c>
      <c r="O192" s="58">
        <v>552.32000000000005</v>
      </c>
      <c r="P192" s="59">
        <v>12.054606025492467</v>
      </c>
      <c r="Q192" s="60">
        <v>703.96</v>
      </c>
      <c r="R192" s="61">
        <v>9.457923745667367</v>
      </c>
      <c r="S192" s="48"/>
      <c r="T192" s="50"/>
      <c r="U192" s="62">
        <v>0</v>
      </c>
      <c r="V192" s="63">
        <v>43</v>
      </c>
      <c r="W192" s="50">
        <v>67</v>
      </c>
      <c r="X192" s="48">
        <v>45</v>
      </c>
      <c r="Y192" s="63">
        <v>107</v>
      </c>
      <c r="Z192" s="63">
        <v>270</v>
      </c>
      <c r="AA192" s="64">
        <v>668.4</v>
      </c>
      <c r="AB192" s="65">
        <v>71.408000000000001</v>
      </c>
      <c r="AC192" s="66"/>
      <c r="AD192" s="67"/>
      <c r="AE192" s="68"/>
      <c r="AF192" s="48">
        <v>70</v>
      </c>
      <c r="AG192" s="63">
        <v>102</v>
      </c>
      <c r="AH192" s="63">
        <v>25</v>
      </c>
      <c r="AI192" s="63">
        <v>44</v>
      </c>
      <c r="AJ192" s="63">
        <v>39</v>
      </c>
      <c r="AK192" s="63">
        <v>105</v>
      </c>
      <c r="AL192" s="63">
        <v>81</v>
      </c>
      <c r="AM192" s="63">
        <v>81</v>
      </c>
      <c r="AN192" s="63">
        <v>256</v>
      </c>
      <c r="AO192" s="63">
        <v>108</v>
      </c>
      <c r="AP192" s="63">
        <v>122</v>
      </c>
      <c r="AQ192" s="63">
        <v>113</v>
      </c>
      <c r="AR192" s="63">
        <v>11</v>
      </c>
      <c r="AS192" s="63">
        <v>5</v>
      </c>
      <c r="AT192" s="63">
        <v>6</v>
      </c>
      <c r="AU192" s="63">
        <v>74</v>
      </c>
      <c r="AV192" s="63">
        <v>190</v>
      </c>
      <c r="AW192" s="50">
        <v>4</v>
      </c>
      <c r="AX192" s="69">
        <v>3309</v>
      </c>
      <c r="AY192" s="69">
        <v>22068</v>
      </c>
      <c r="AZ192" s="54">
        <v>1882</v>
      </c>
      <c r="BA192" s="54">
        <v>8993</v>
      </c>
      <c r="BB192" s="54">
        <v>75</v>
      </c>
      <c r="BC192" s="54">
        <v>188</v>
      </c>
      <c r="BD192" s="54">
        <v>906</v>
      </c>
      <c r="BE192" s="70">
        <v>1840</v>
      </c>
      <c r="BF192" s="63">
        <v>265</v>
      </c>
      <c r="BG192" s="71">
        <v>3011</v>
      </c>
      <c r="BH192" s="67"/>
      <c r="BI192" s="68"/>
      <c r="BJ192" s="72">
        <v>1079</v>
      </c>
      <c r="BK192" s="62"/>
      <c r="BL192" s="70">
        <v>2235</v>
      </c>
      <c r="BM192" s="70">
        <v>215</v>
      </c>
      <c r="BN192" s="70">
        <v>93</v>
      </c>
      <c r="BO192" s="70">
        <v>757</v>
      </c>
      <c r="BP192" s="73">
        <v>14</v>
      </c>
      <c r="BQ192" s="74">
        <v>401</v>
      </c>
      <c r="BR192" s="54">
        <v>225</v>
      </c>
      <c r="BS192" s="75">
        <v>42</v>
      </c>
      <c r="BT192" s="76">
        <v>62.23776223776224</v>
      </c>
      <c r="BU192" s="77">
        <v>37.76223776223776</v>
      </c>
      <c r="BV192" s="78">
        <v>534</v>
      </c>
      <c r="BW192" s="79">
        <v>324</v>
      </c>
      <c r="BX192" s="69">
        <v>309</v>
      </c>
      <c r="BY192" s="70">
        <v>58</v>
      </c>
      <c r="BZ192" s="70">
        <v>191</v>
      </c>
      <c r="CA192" s="70">
        <v>167</v>
      </c>
      <c r="CB192" s="70">
        <v>10</v>
      </c>
      <c r="CC192" s="70">
        <v>115</v>
      </c>
      <c r="CD192" s="70">
        <v>8</v>
      </c>
      <c r="CE192" s="73">
        <v>0</v>
      </c>
    </row>
    <row r="193" spans="2:83" x14ac:dyDescent="0.3">
      <c r="B193" s="46">
        <v>37</v>
      </c>
      <c r="C193" s="47">
        <v>43357</v>
      </c>
      <c r="D193" s="48">
        <v>10</v>
      </c>
      <c r="E193" s="49">
        <v>1114</v>
      </c>
      <c r="F193" s="50">
        <v>162</v>
      </c>
      <c r="G193" s="51">
        <v>3.3996889580093312</v>
      </c>
      <c r="H193" s="52">
        <v>4.783369803063457</v>
      </c>
      <c r="I193" s="53">
        <v>914</v>
      </c>
      <c r="J193" s="54">
        <v>1286</v>
      </c>
      <c r="K193" s="54">
        <v>4372</v>
      </c>
      <c r="L193" s="55">
        <v>3078.5</v>
      </c>
      <c r="M193" s="56">
        <v>270</v>
      </c>
      <c r="N193" s="57">
        <v>655.8</v>
      </c>
      <c r="O193" s="58">
        <v>370.35</v>
      </c>
      <c r="P193" s="59">
        <v>11.805049277710273</v>
      </c>
      <c r="Q193" s="60">
        <v>488.93</v>
      </c>
      <c r="R193" s="61">
        <v>8.941975333892378</v>
      </c>
      <c r="S193" s="48"/>
      <c r="T193" s="50"/>
      <c r="U193" s="62">
        <v>0</v>
      </c>
      <c r="V193" s="63">
        <v>39</v>
      </c>
      <c r="W193" s="50">
        <v>53</v>
      </c>
      <c r="X193" s="48">
        <v>32</v>
      </c>
      <c r="Y193" s="63">
        <v>64</v>
      </c>
      <c r="Z193" s="63">
        <v>192</v>
      </c>
      <c r="AA193" s="64">
        <v>2766</v>
      </c>
      <c r="AB193" s="65">
        <v>31.004000000000001</v>
      </c>
      <c r="AC193" s="66"/>
      <c r="AD193" s="67"/>
      <c r="AE193" s="68"/>
      <c r="AF193" s="48">
        <v>114</v>
      </c>
      <c r="AG193" s="63">
        <v>147</v>
      </c>
      <c r="AH193" s="63">
        <v>42</v>
      </c>
      <c r="AI193" s="63">
        <v>49</v>
      </c>
      <c r="AJ193" s="63">
        <v>43</v>
      </c>
      <c r="AK193" s="63">
        <v>12</v>
      </c>
      <c r="AL193" s="63">
        <v>85</v>
      </c>
      <c r="AM193" s="63">
        <v>79</v>
      </c>
      <c r="AN193" s="63">
        <v>162</v>
      </c>
      <c r="AO193" s="63">
        <v>64</v>
      </c>
      <c r="AP193" s="63">
        <v>85</v>
      </c>
      <c r="AQ193" s="63">
        <v>69</v>
      </c>
      <c r="AR193" s="63">
        <v>18</v>
      </c>
      <c r="AS193" s="63">
        <v>0</v>
      </c>
      <c r="AT193" s="63">
        <v>11</v>
      </c>
      <c r="AU193" s="63">
        <v>47</v>
      </c>
      <c r="AV193" s="63">
        <v>99</v>
      </c>
      <c r="AW193" s="50">
        <v>16</v>
      </c>
      <c r="AX193" s="69">
        <v>2146</v>
      </c>
      <c r="AY193" s="69">
        <v>11977</v>
      </c>
      <c r="AZ193" s="54">
        <v>1602</v>
      </c>
      <c r="BA193" s="54">
        <v>6141</v>
      </c>
      <c r="BB193" s="54">
        <v>335</v>
      </c>
      <c r="BC193" s="54">
        <v>778</v>
      </c>
      <c r="BD193" s="54">
        <v>753</v>
      </c>
      <c r="BE193" s="70">
        <v>1245</v>
      </c>
      <c r="BF193" s="63">
        <v>349</v>
      </c>
      <c r="BG193" s="71">
        <v>2347</v>
      </c>
      <c r="BH193" s="67"/>
      <c r="BI193" s="68"/>
      <c r="BJ193" s="72">
        <v>559</v>
      </c>
      <c r="BK193" s="62"/>
      <c r="BL193" s="70">
        <v>1309</v>
      </c>
      <c r="BM193" s="70">
        <v>100</v>
      </c>
      <c r="BN193" s="70">
        <v>80</v>
      </c>
      <c r="BO193" s="70">
        <v>370</v>
      </c>
      <c r="BP193" s="73">
        <v>9</v>
      </c>
      <c r="BQ193" s="74">
        <v>579</v>
      </c>
      <c r="BR193" s="54">
        <v>178</v>
      </c>
      <c r="BS193" s="75">
        <v>42</v>
      </c>
      <c r="BT193" s="76">
        <v>78.390297684674749</v>
      </c>
      <c r="BU193" s="77">
        <v>21.609702315325247</v>
      </c>
      <c r="BV193" s="78">
        <v>711</v>
      </c>
      <c r="BW193" s="79">
        <v>196</v>
      </c>
      <c r="BX193" s="69">
        <v>410</v>
      </c>
      <c r="BY193" s="70">
        <v>84</v>
      </c>
      <c r="BZ193" s="70">
        <v>101</v>
      </c>
      <c r="CA193" s="70">
        <v>217</v>
      </c>
      <c r="CB193" s="70">
        <v>8</v>
      </c>
      <c r="CC193" s="70">
        <v>80</v>
      </c>
      <c r="CD193" s="70">
        <v>7</v>
      </c>
      <c r="CE193" s="73">
        <v>0</v>
      </c>
    </row>
    <row r="194" spans="2:83" x14ac:dyDescent="0.3">
      <c r="B194" s="46">
        <v>38</v>
      </c>
      <c r="C194" s="47">
        <v>43360</v>
      </c>
      <c r="D194" s="48">
        <v>0</v>
      </c>
      <c r="E194" s="49">
        <v>2533</v>
      </c>
      <c r="F194" s="50">
        <v>281</v>
      </c>
      <c r="G194" s="51">
        <v>2.7600841809891268</v>
      </c>
      <c r="H194" s="52">
        <v>3.7686781609195403</v>
      </c>
      <c r="I194" s="53">
        <v>2088</v>
      </c>
      <c r="J194" s="54">
        <v>2851</v>
      </c>
      <c r="K194" s="54">
        <v>7869</v>
      </c>
      <c r="L194" s="55">
        <v>7305.4</v>
      </c>
      <c r="M194" s="56">
        <v>606.71100000000001</v>
      </c>
      <c r="N194" s="57">
        <v>1180.3499999999999</v>
      </c>
      <c r="O194" s="58">
        <v>639.66</v>
      </c>
      <c r="P194" s="59">
        <v>12.301847856673859</v>
      </c>
      <c r="Q194" s="60">
        <v>810.31000000000006</v>
      </c>
      <c r="R194" s="61">
        <v>9.7110982216682498</v>
      </c>
      <c r="S194" s="48"/>
      <c r="T194" s="50"/>
      <c r="U194" s="62">
        <v>0</v>
      </c>
      <c r="V194" s="63">
        <v>105</v>
      </c>
      <c r="W194" s="50">
        <v>86</v>
      </c>
      <c r="X194" s="48">
        <v>34</v>
      </c>
      <c r="Y194" s="63">
        <v>207</v>
      </c>
      <c r="Z194" s="63">
        <v>245</v>
      </c>
      <c r="AA194" s="64">
        <v>1127.7</v>
      </c>
      <c r="AB194" s="65">
        <v>163.68899999999999</v>
      </c>
      <c r="AC194" s="66"/>
      <c r="AD194" s="67"/>
      <c r="AE194" s="68"/>
      <c r="AF194" s="48">
        <v>102</v>
      </c>
      <c r="AG194" s="63">
        <v>363</v>
      </c>
      <c r="AH194" s="63">
        <v>75</v>
      </c>
      <c r="AI194" s="63">
        <v>123</v>
      </c>
      <c r="AJ194" s="63">
        <v>81</v>
      </c>
      <c r="AK194" s="63">
        <v>337</v>
      </c>
      <c r="AL194" s="63">
        <v>249</v>
      </c>
      <c r="AM194" s="63">
        <v>110</v>
      </c>
      <c r="AN194" s="63">
        <v>375</v>
      </c>
      <c r="AO194" s="63">
        <v>152</v>
      </c>
      <c r="AP194" s="63">
        <v>163</v>
      </c>
      <c r="AQ194" s="63">
        <v>172</v>
      </c>
      <c r="AR194" s="63">
        <v>32</v>
      </c>
      <c r="AS194" s="63">
        <v>2</v>
      </c>
      <c r="AT194" s="63">
        <v>36</v>
      </c>
      <c r="AU194" s="63">
        <v>49</v>
      </c>
      <c r="AV194" s="63">
        <v>150</v>
      </c>
      <c r="AW194" s="50">
        <v>80</v>
      </c>
      <c r="AX194" s="69">
        <v>3377</v>
      </c>
      <c r="AY194" s="69">
        <v>18611</v>
      </c>
      <c r="AZ194" s="54">
        <v>2333</v>
      </c>
      <c r="BA194" s="54">
        <v>8837</v>
      </c>
      <c r="BB194" s="54">
        <v>454</v>
      </c>
      <c r="BC194" s="54">
        <v>1082</v>
      </c>
      <c r="BD194" s="54">
        <v>1251</v>
      </c>
      <c r="BE194" s="70">
        <v>2751</v>
      </c>
      <c r="BF194" s="63">
        <v>619</v>
      </c>
      <c r="BG194" s="71">
        <v>4621</v>
      </c>
      <c r="BH194" s="67"/>
      <c r="BI194" s="68"/>
      <c r="BJ194" s="72">
        <v>1460</v>
      </c>
      <c r="BK194" s="62"/>
      <c r="BL194" s="70">
        <v>2402</v>
      </c>
      <c r="BM194" s="70">
        <v>211</v>
      </c>
      <c r="BN194" s="70">
        <v>173</v>
      </c>
      <c r="BO194" s="70">
        <v>1060</v>
      </c>
      <c r="BP194" s="73">
        <v>16</v>
      </c>
      <c r="BQ194" s="74">
        <v>1427</v>
      </c>
      <c r="BR194" s="54">
        <v>338</v>
      </c>
      <c r="BS194" s="75">
        <v>65</v>
      </c>
      <c r="BT194" s="76">
        <v>79.584942084942085</v>
      </c>
      <c r="BU194" s="77">
        <v>20.415057915057915</v>
      </c>
      <c r="BV194" s="78">
        <v>1649</v>
      </c>
      <c r="BW194" s="79">
        <v>423</v>
      </c>
      <c r="BX194" s="69">
        <v>976</v>
      </c>
      <c r="BY194" s="70">
        <v>170</v>
      </c>
      <c r="BZ194" s="70">
        <v>179</v>
      </c>
      <c r="CA194" s="70">
        <v>503</v>
      </c>
      <c r="CB194" s="70">
        <v>16</v>
      </c>
      <c r="CC194" s="70">
        <v>179</v>
      </c>
      <c r="CD194" s="70">
        <v>11</v>
      </c>
      <c r="CE194" s="73">
        <v>38</v>
      </c>
    </row>
    <row r="195" spans="2:83" x14ac:dyDescent="0.3">
      <c r="B195" s="46">
        <v>38</v>
      </c>
      <c r="C195" s="47">
        <v>43361</v>
      </c>
      <c r="D195" s="48">
        <v>36</v>
      </c>
      <c r="E195" s="49">
        <v>1716</v>
      </c>
      <c r="F195" s="50">
        <v>307</v>
      </c>
      <c r="G195" s="51">
        <v>4.1087906750849923</v>
      </c>
      <c r="H195" s="52">
        <v>6.4976958525345623</v>
      </c>
      <c r="I195" s="53">
        <v>1302</v>
      </c>
      <c r="J195" s="54">
        <v>2059</v>
      </c>
      <c r="K195" s="54">
        <v>8460</v>
      </c>
      <c r="L195" s="55">
        <v>7964.8</v>
      </c>
      <c r="M195" s="56">
        <v>633.476</v>
      </c>
      <c r="N195" s="57">
        <v>1269.0000000000002</v>
      </c>
      <c r="O195" s="58">
        <v>629.29999999999995</v>
      </c>
      <c r="P195" s="59">
        <v>13.443508660416336</v>
      </c>
      <c r="Q195" s="60">
        <v>792.95</v>
      </c>
      <c r="R195" s="61">
        <v>10.669020745318115</v>
      </c>
      <c r="S195" s="48"/>
      <c r="T195" s="50"/>
      <c r="U195" s="62">
        <v>0</v>
      </c>
      <c r="V195" s="63">
        <v>69</v>
      </c>
      <c r="W195" s="50">
        <v>55</v>
      </c>
      <c r="X195" s="48">
        <v>37</v>
      </c>
      <c r="Y195" s="63">
        <v>172</v>
      </c>
      <c r="Z195" s="63">
        <v>161</v>
      </c>
      <c r="AA195" s="64">
        <v>777</v>
      </c>
      <c r="AB195" s="65">
        <v>164.91200000000001</v>
      </c>
      <c r="AC195" s="66"/>
      <c r="AD195" s="67"/>
      <c r="AE195" s="68"/>
      <c r="AF195" s="48">
        <v>93</v>
      </c>
      <c r="AG195" s="63">
        <v>191</v>
      </c>
      <c r="AH195" s="63">
        <v>37</v>
      </c>
      <c r="AI195" s="63">
        <v>64</v>
      </c>
      <c r="AJ195" s="63">
        <v>66</v>
      </c>
      <c r="AK195" s="63">
        <v>203</v>
      </c>
      <c r="AL195" s="63">
        <v>159</v>
      </c>
      <c r="AM195" s="63">
        <v>132</v>
      </c>
      <c r="AN195" s="63">
        <v>377</v>
      </c>
      <c r="AO195" s="63">
        <v>101</v>
      </c>
      <c r="AP195" s="63">
        <v>157</v>
      </c>
      <c r="AQ195" s="63">
        <v>92</v>
      </c>
      <c r="AR195" s="63">
        <v>1</v>
      </c>
      <c r="AS195" s="63">
        <v>8</v>
      </c>
      <c r="AT195" s="63">
        <v>4</v>
      </c>
      <c r="AU195" s="63">
        <v>99</v>
      </c>
      <c r="AV195" s="63">
        <v>182</v>
      </c>
      <c r="AW195" s="50">
        <v>23</v>
      </c>
      <c r="AX195" s="69">
        <v>4462</v>
      </c>
      <c r="AY195" s="69">
        <v>28728</v>
      </c>
      <c r="AZ195" s="54">
        <v>2076</v>
      </c>
      <c r="BA195" s="54">
        <v>9227</v>
      </c>
      <c r="BB195" s="54">
        <v>257</v>
      </c>
      <c r="BC195" s="54">
        <v>763</v>
      </c>
      <c r="BD195" s="54">
        <v>1160</v>
      </c>
      <c r="BE195" s="70">
        <v>2673</v>
      </c>
      <c r="BF195" s="63">
        <v>383</v>
      </c>
      <c r="BG195" s="71">
        <v>4216</v>
      </c>
      <c r="BH195" s="67"/>
      <c r="BI195" s="68"/>
      <c r="BJ195" s="72">
        <v>1173</v>
      </c>
      <c r="BK195" s="62"/>
      <c r="BL195" s="70">
        <v>2673</v>
      </c>
      <c r="BM195" s="70">
        <v>312</v>
      </c>
      <c r="BN195" s="70">
        <v>129</v>
      </c>
      <c r="BO195" s="70">
        <v>717</v>
      </c>
      <c r="BP195" s="73">
        <v>15</v>
      </c>
      <c r="BQ195" s="74">
        <v>674</v>
      </c>
      <c r="BR195" s="54">
        <v>393</v>
      </c>
      <c r="BS195" s="75">
        <v>113</v>
      </c>
      <c r="BT195" s="76">
        <v>76.53457653457653</v>
      </c>
      <c r="BU195" s="77">
        <v>23.465423465423466</v>
      </c>
      <c r="BV195" s="78">
        <v>985</v>
      </c>
      <c r="BW195" s="79">
        <v>302</v>
      </c>
      <c r="BX195" s="69">
        <v>486</v>
      </c>
      <c r="BY195" s="70">
        <v>179</v>
      </c>
      <c r="BZ195" s="70">
        <v>203</v>
      </c>
      <c r="CA195" s="70">
        <v>320</v>
      </c>
      <c r="CB195" s="70">
        <v>3</v>
      </c>
      <c r="CC195" s="70">
        <v>81</v>
      </c>
      <c r="CD195" s="70">
        <v>1</v>
      </c>
      <c r="CE195" s="73">
        <v>14</v>
      </c>
    </row>
    <row r="196" spans="2:83" x14ac:dyDescent="0.3">
      <c r="B196" s="46">
        <v>38</v>
      </c>
      <c r="C196" s="47">
        <v>43362</v>
      </c>
      <c r="D196" s="48">
        <v>64</v>
      </c>
      <c r="E196" s="49">
        <v>1768</v>
      </c>
      <c r="F196" s="50">
        <v>233</v>
      </c>
      <c r="G196" s="51">
        <v>4.0401937046004841</v>
      </c>
      <c r="H196" s="52">
        <v>6.3444866920152094</v>
      </c>
      <c r="I196" s="53">
        <v>1315</v>
      </c>
      <c r="J196" s="54">
        <v>2065</v>
      </c>
      <c r="K196" s="54">
        <v>8343</v>
      </c>
      <c r="L196" s="55">
        <v>7562.1</v>
      </c>
      <c r="M196" s="56">
        <v>521.41600000000005</v>
      </c>
      <c r="N196" s="57">
        <v>1251.45</v>
      </c>
      <c r="O196" s="58">
        <v>632.09</v>
      </c>
      <c r="P196" s="59">
        <v>13.199069752725086</v>
      </c>
      <c r="Q196" s="60">
        <v>810.22000000000014</v>
      </c>
      <c r="R196" s="61">
        <v>10.297203228752682</v>
      </c>
      <c r="S196" s="48"/>
      <c r="T196" s="50"/>
      <c r="U196" s="62">
        <v>0</v>
      </c>
      <c r="V196" s="63">
        <v>53</v>
      </c>
      <c r="W196" s="50">
        <v>51</v>
      </c>
      <c r="X196" s="48">
        <v>38</v>
      </c>
      <c r="Y196" s="63">
        <v>80</v>
      </c>
      <c r="Z196" s="63">
        <v>404</v>
      </c>
      <c r="AA196" s="64">
        <v>1508.7</v>
      </c>
      <c r="AB196" s="65">
        <v>50.533999999999999</v>
      </c>
      <c r="AC196" s="66"/>
      <c r="AD196" s="67"/>
      <c r="AE196" s="68"/>
      <c r="AF196" s="48">
        <v>131</v>
      </c>
      <c r="AG196" s="63">
        <v>164</v>
      </c>
      <c r="AH196" s="63">
        <v>46</v>
      </c>
      <c r="AI196" s="63">
        <v>54</v>
      </c>
      <c r="AJ196" s="63">
        <v>39</v>
      </c>
      <c r="AK196" s="63">
        <v>177</v>
      </c>
      <c r="AL196" s="63">
        <v>137</v>
      </c>
      <c r="AM196" s="63">
        <v>118</v>
      </c>
      <c r="AN196" s="63">
        <v>316</v>
      </c>
      <c r="AO196" s="63">
        <v>166</v>
      </c>
      <c r="AP196" s="63">
        <v>216</v>
      </c>
      <c r="AQ196" s="63">
        <v>178</v>
      </c>
      <c r="AR196" s="63">
        <v>3</v>
      </c>
      <c r="AS196" s="63">
        <v>2</v>
      </c>
      <c r="AT196" s="63">
        <v>5</v>
      </c>
      <c r="AU196" s="63">
        <v>80</v>
      </c>
      <c r="AV196" s="63">
        <v>146</v>
      </c>
      <c r="AW196" s="50">
        <v>7</v>
      </c>
      <c r="AX196" s="69">
        <v>4260</v>
      </c>
      <c r="AY196" s="69">
        <v>25953</v>
      </c>
      <c r="AZ196" s="54">
        <v>1552</v>
      </c>
      <c r="BA196" s="54">
        <v>6232</v>
      </c>
      <c r="BB196" s="54">
        <v>424</v>
      </c>
      <c r="BC196" s="54">
        <v>1199</v>
      </c>
      <c r="BD196" s="54">
        <v>1319</v>
      </c>
      <c r="BE196" s="70">
        <v>2447</v>
      </c>
      <c r="BF196" s="63">
        <v>466</v>
      </c>
      <c r="BG196" s="71">
        <v>4232</v>
      </c>
      <c r="BH196" s="67"/>
      <c r="BI196" s="68"/>
      <c r="BJ196" s="72">
        <v>1318</v>
      </c>
      <c r="BK196" s="62"/>
      <c r="BL196" s="70">
        <v>2446</v>
      </c>
      <c r="BM196" s="70">
        <v>295</v>
      </c>
      <c r="BN196" s="70">
        <v>89</v>
      </c>
      <c r="BO196" s="70">
        <v>916</v>
      </c>
      <c r="BP196" s="73">
        <v>18</v>
      </c>
      <c r="BQ196" s="74">
        <v>699</v>
      </c>
      <c r="BR196" s="54">
        <v>306</v>
      </c>
      <c r="BS196" s="75">
        <v>88</v>
      </c>
      <c r="BT196" s="76">
        <v>63.986013986013987</v>
      </c>
      <c r="BU196" s="77">
        <v>36.013986013986013</v>
      </c>
      <c r="BV196" s="78">
        <v>915</v>
      </c>
      <c r="BW196" s="79">
        <v>515</v>
      </c>
      <c r="BX196" s="69">
        <v>559</v>
      </c>
      <c r="BY196" s="70">
        <v>128</v>
      </c>
      <c r="BZ196" s="70">
        <v>200</v>
      </c>
      <c r="CA196" s="70">
        <v>228</v>
      </c>
      <c r="CB196" s="70">
        <v>26</v>
      </c>
      <c r="CC196" s="70">
        <v>152</v>
      </c>
      <c r="CD196" s="70">
        <v>9</v>
      </c>
      <c r="CE196" s="73">
        <v>128</v>
      </c>
    </row>
    <row r="197" spans="2:83" x14ac:dyDescent="0.3">
      <c r="B197" s="46">
        <v>38</v>
      </c>
      <c r="C197" s="47">
        <v>43363</v>
      </c>
      <c r="D197" s="48">
        <v>70</v>
      </c>
      <c r="E197" s="49">
        <v>1379</v>
      </c>
      <c r="F197" s="50">
        <v>332</v>
      </c>
      <c r="G197" s="51">
        <v>5.2071869736103311</v>
      </c>
      <c r="H197" s="52">
        <v>8.8072174738841404</v>
      </c>
      <c r="I197" s="53">
        <v>1053</v>
      </c>
      <c r="J197" s="54">
        <v>1781</v>
      </c>
      <c r="K197" s="54">
        <v>9274</v>
      </c>
      <c r="L197" s="55">
        <v>7388.6</v>
      </c>
      <c r="M197" s="56">
        <v>583.74</v>
      </c>
      <c r="N197" s="57">
        <v>1391.1</v>
      </c>
      <c r="O197" s="58">
        <v>657.56999999999994</v>
      </c>
      <c r="P197" s="59">
        <v>14.103441458704017</v>
      </c>
      <c r="Q197" s="60">
        <v>830.55</v>
      </c>
      <c r="R197" s="61">
        <v>11.166094756486666</v>
      </c>
      <c r="S197" s="48"/>
      <c r="T197" s="50"/>
      <c r="U197" s="62">
        <v>0</v>
      </c>
      <c r="V197" s="63">
        <v>37</v>
      </c>
      <c r="W197" s="50">
        <v>37</v>
      </c>
      <c r="X197" s="48">
        <v>43</v>
      </c>
      <c r="Y197" s="63">
        <v>87</v>
      </c>
      <c r="Z197" s="63">
        <v>349</v>
      </c>
      <c r="AA197" s="64">
        <v>618.6</v>
      </c>
      <c r="AB197" s="65">
        <v>69.031999999999996</v>
      </c>
      <c r="AC197" s="66"/>
      <c r="AD197" s="67"/>
      <c r="AE197" s="68"/>
      <c r="AF197" s="48">
        <v>70</v>
      </c>
      <c r="AG197" s="63">
        <v>146</v>
      </c>
      <c r="AH197" s="63">
        <v>25</v>
      </c>
      <c r="AI197" s="63">
        <v>37</v>
      </c>
      <c r="AJ197" s="63">
        <v>33</v>
      </c>
      <c r="AK197" s="63">
        <v>118</v>
      </c>
      <c r="AL197" s="63">
        <v>127</v>
      </c>
      <c r="AM197" s="63">
        <v>93</v>
      </c>
      <c r="AN197" s="63">
        <v>352</v>
      </c>
      <c r="AO197" s="63">
        <v>96</v>
      </c>
      <c r="AP197" s="63">
        <v>178</v>
      </c>
      <c r="AQ197" s="63">
        <v>71</v>
      </c>
      <c r="AR197" s="63">
        <v>3</v>
      </c>
      <c r="AS197" s="63">
        <v>3</v>
      </c>
      <c r="AT197" s="63">
        <v>1</v>
      </c>
      <c r="AU197" s="63">
        <v>114</v>
      </c>
      <c r="AV197" s="63">
        <v>207</v>
      </c>
      <c r="AW197" s="50">
        <v>10</v>
      </c>
      <c r="AX197" s="69">
        <v>4226</v>
      </c>
      <c r="AY197" s="69">
        <v>29760</v>
      </c>
      <c r="AZ197" s="54">
        <v>1879</v>
      </c>
      <c r="BA197" s="54">
        <v>7259</v>
      </c>
      <c r="BB197" s="54">
        <v>374</v>
      </c>
      <c r="BC197" s="54">
        <v>1016</v>
      </c>
      <c r="BD197" s="54">
        <v>979</v>
      </c>
      <c r="BE197" s="70">
        <v>2523</v>
      </c>
      <c r="BF197" s="63">
        <v>416</v>
      </c>
      <c r="BG197" s="71">
        <v>3918</v>
      </c>
      <c r="BH197" s="67"/>
      <c r="BI197" s="68"/>
      <c r="BJ197" s="72">
        <v>1290</v>
      </c>
      <c r="BK197" s="62"/>
      <c r="BL197" s="70">
        <v>2284</v>
      </c>
      <c r="BM197" s="70">
        <v>152</v>
      </c>
      <c r="BN197" s="70">
        <v>202</v>
      </c>
      <c r="BO197" s="70">
        <v>909</v>
      </c>
      <c r="BP197" s="73">
        <v>27</v>
      </c>
      <c r="BQ197" s="74">
        <v>510</v>
      </c>
      <c r="BR197" s="54">
        <v>333</v>
      </c>
      <c r="BS197" s="75">
        <v>117</v>
      </c>
      <c r="BT197" s="76">
        <v>73.410404624277461</v>
      </c>
      <c r="BU197" s="77">
        <v>26.589595375722542</v>
      </c>
      <c r="BV197" s="78">
        <v>762</v>
      </c>
      <c r="BW197" s="79">
        <v>276</v>
      </c>
      <c r="BX197" s="69">
        <v>395</v>
      </c>
      <c r="BY197" s="70">
        <v>166</v>
      </c>
      <c r="BZ197" s="70">
        <v>186</v>
      </c>
      <c r="CA197" s="70">
        <v>201</v>
      </c>
      <c r="CB197" s="70">
        <v>12</v>
      </c>
      <c r="CC197" s="70">
        <v>75</v>
      </c>
      <c r="CD197" s="70">
        <v>3</v>
      </c>
      <c r="CE197" s="73">
        <v>0</v>
      </c>
    </row>
    <row r="198" spans="2:83" x14ac:dyDescent="0.3">
      <c r="B198" s="46">
        <v>38</v>
      </c>
      <c r="C198" s="47">
        <v>43364</v>
      </c>
      <c r="D198" s="48">
        <v>48</v>
      </c>
      <c r="E198" s="49">
        <v>1696</v>
      </c>
      <c r="F198" s="50">
        <v>327</v>
      </c>
      <c r="G198" s="51">
        <v>4.0764087870105064</v>
      </c>
      <c r="H198" s="52">
        <v>7.2216582064297796</v>
      </c>
      <c r="I198" s="53">
        <v>1182</v>
      </c>
      <c r="J198" s="54">
        <v>2094</v>
      </c>
      <c r="K198" s="54">
        <v>8536</v>
      </c>
      <c r="L198" s="55">
        <v>8442.5</v>
      </c>
      <c r="M198" s="56">
        <v>635.16999999999996</v>
      </c>
      <c r="N198" s="57">
        <v>1280.3999999999999</v>
      </c>
      <c r="O198" s="58">
        <v>664.83</v>
      </c>
      <c r="P198" s="59">
        <v>12.83937247115804</v>
      </c>
      <c r="Q198" s="60">
        <v>825.22</v>
      </c>
      <c r="R198" s="61">
        <v>10.343908291122368</v>
      </c>
      <c r="S198" s="48"/>
      <c r="T198" s="50"/>
      <c r="U198" s="62">
        <v>0</v>
      </c>
      <c r="V198" s="63">
        <v>92</v>
      </c>
      <c r="W198" s="50">
        <v>55</v>
      </c>
      <c r="X198" s="48">
        <v>58</v>
      </c>
      <c r="Y198" s="63">
        <v>144</v>
      </c>
      <c r="Z198" s="63">
        <v>371</v>
      </c>
      <c r="AA198" s="64">
        <v>1634.6</v>
      </c>
      <c r="AB198" s="65">
        <v>69.2</v>
      </c>
      <c r="AC198" s="66"/>
      <c r="AD198" s="67"/>
      <c r="AE198" s="68"/>
      <c r="AF198" s="48">
        <v>102</v>
      </c>
      <c r="AG198" s="63">
        <v>188</v>
      </c>
      <c r="AH198" s="63">
        <v>37</v>
      </c>
      <c r="AI198" s="63">
        <v>42</v>
      </c>
      <c r="AJ198" s="63">
        <v>39</v>
      </c>
      <c r="AK198" s="63">
        <v>149</v>
      </c>
      <c r="AL198" s="63">
        <v>119</v>
      </c>
      <c r="AM198" s="63">
        <v>109</v>
      </c>
      <c r="AN198" s="63">
        <v>404</v>
      </c>
      <c r="AO198" s="63">
        <v>151</v>
      </c>
      <c r="AP198" s="63">
        <v>193</v>
      </c>
      <c r="AQ198" s="63">
        <v>129</v>
      </c>
      <c r="AR198" s="63">
        <v>1</v>
      </c>
      <c r="AS198" s="63">
        <v>1</v>
      </c>
      <c r="AT198" s="63">
        <v>1</v>
      </c>
      <c r="AU198" s="63">
        <v>83</v>
      </c>
      <c r="AV198" s="63">
        <v>215</v>
      </c>
      <c r="AW198" s="50">
        <v>29</v>
      </c>
      <c r="AX198" s="69">
        <v>4143</v>
      </c>
      <c r="AY198" s="69">
        <v>32124</v>
      </c>
      <c r="AZ198" s="54">
        <v>2435</v>
      </c>
      <c r="BA198" s="54">
        <v>9179</v>
      </c>
      <c r="BB198" s="54">
        <v>684</v>
      </c>
      <c r="BC198" s="54">
        <v>1468</v>
      </c>
      <c r="BD198" s="54">
        <v>2569</v>
      </c>
      <c r="BE198" s="70">
        <v>1223</v>
      </c>
      <c r="BF198" s="63">
        <v>646</v>
      </c>
      <c r="BG198" s="71">
        <v>4438</v>
      </c>
      <c r="BH198" s="67"/>
      <c r="BI198" s="68"/>
      <c r="BJ198" s="72">
        <v>2064</v>
      </c>
      <c r="BK198" s="62"/>
      <c r="BL198" s="70">
        <v>2826</v>
      </c>
      <c r="BM198" s="70">
        <v>261</v>
      </c>
      <c r="BN198" s="70">
        <v>171</v>
      </c>
      <c r="BO198" s="70">
        <v>1616</v>
      </c>
      <c r="BP198" s="73">
        <v>16</v>
      </c>
      <c r="BQ198" s="74">
        <v>475</v>
      </c>
      <c r="BR198" s="54">
        <v>372</v>
      </c>
      <c r="BS198" s="75">
        <v>187</v>
      </c>
      <c r="BT198" s="76">
        <v>69.018932874354562</v>
      </c>
      <c r="BU198" s="77">
        <v>30.981067125645438</v>
      </c>
      <c r="BV198" s="78">
        <v>802</v>
      </c>
      <c r="BW198" s="79">
        <v>360</v>
      </c>
      <c r="BX198" s="69">
        <v>459</v>
      </c>
      <c r="BY198" s="70">
        <v>150</v>
      </c>
      <c r="BZ198" s="70">
        <v>236</v>
      </c>
      <c r="CA198" s="70">
        <v>193</v>
      </c>
      <c r="CB198" s="70">
        <v>10</v>
      </c>
      <c r="CC198" s="70">
        <v>99</v>
      </c>
      <c r="CD198" s="70">
        <v>9</v>
      </c>
      <c r="CE198" s="73">
        <v>6</v>
      </c>
    </row>
    <row r="199" spans="2:83" x14ac:dyDescent="0.3">
      <c r="B199" s="46">
        <v>38</v>
      </c>
      <c r="C199" s="47">
        <v>43365</v>
      </c>
      <c r="D199" s="48">
        <v>1</v>
      </c>
      <c r="E199" s="49">
        <v>736</v>
      </c>
      <c r="F199" s="50">
        <v>49</v>
      </c>
      <c r="G199" s="51">
        <v>3.0012953367875648</v>
      </c>
      <c r="H199" s="52">
        <v>4.6526104417670684</v>
      </c>
      <c r="I199" s="53">
        <v>498</v>
      </c>
      <c r="J199" s="54">
        <v>772</v>
      </c>
      <c r="K199" s="54">
        <v>2317</v>
      </c>
      <c r="L199" s="55">
        <v>1394.3</v>
      </c>
      <c r="M199" s="56">
        <v>113.2</v>
      </c>
      <c r="N199" s="57">
        <v>347.55</v>
      </c>
      <c r="O199" s="58">
        <v>206.62</v>
      </c>
      <c r="P199" s="59">
        <v>11.213822476042978</v>
      </c>
      <c r="Q199" s="60">
        <v>234.49</v>
      </c>
      <c r="R199" s="61">
        <v>9.8810183803147247</v>
      </c>
      <c r="S199" s="48"/>
      <c r="T199" s="50"/>
      <c r="U199" s="62">
        <v>0</v>
      </c>
      <c r="V199" s="63">
        <v>77</v>
      </c>
      <c r="W199" s="50">
        <v>7</v>
      </c>
      <c r="X199" s="48">
        <v>23</v>
      </c>
      <c r="Y199" s="63">
        <v>82</v>
      </c>
      <c r="Z199" s="63">
        <v>110</v>
      </c>
      <c r="AA199" s="64">
        <v>1379</v>
      </c>
      <c r="AB199" s="65">
        <v>12.94</v>
      </c>
      <c r="AC199" s="66"/>
      <c r="AD199" s="67"/>
      <c r="AE199" s="68"/>
      <c r="AF199" s="48">
        <v>0</v>
      </c>
      <c r="AG199" s="63">
        <v>90</v>
      </c>
      <c r="AH199" s="63">
        <v>15</v>
      </c>
      <c r="AI199" s="63">
        <v>24</v>
      </c>
      <c r="AJ199" s="63">
        <v>32</v>
      </c>
      <c r="AK199" s="63">
        <v>69</v>
      </c>
      <c r="AL199" s="63">
        <v>49</v>
      </c>
      <c r="AM199" s="63">
        <v>44</v>
      </c>
      <c r="AN199" s="63">
        <v>144</v>
      </c>
      <c r="AO199" s="63">
        <v>65</v>
      </c>
      <c r="AP199" s="63">
        <v>73</v>
      </c>
      <c r="AQ199" s="63">
        <v>58</v>
      </c>
      <c r="AR199" s="63">
        <v>2</v>
      </c>
      <c r="AS199" s="63">
        <v>2</v>
      </c>
      <c r="AT199" s="63">
        <v>0</v>
      </c>
      <c r="AU199" s="63">
        <v>14</v>
      </c>
      <c r="AV199" s="63">
        <v>31</v>
      </c>
      <c r="AW199" s="50">
        <v>4</v>
      </c>
      <c r="AX199" s="69">
        <v>861</v>
      </c>
      <c r="AY199" s="69">
        <v>3557</v>
      </c>
      <c r="AZ199" s="54">
        <v>184</v>
      </c>
      <c r="BA199" s="54">
        <v>341</v>
      </c>
      <c r="BB199" s="54">
        <v>13</v>
      </c>
      <c r="BC199" s="54">
        <v>21</v>
      </c>
      <c r="BD199" s="54">
        <v>958</v>
      </c>
      <c r="BE199" s="70">
        <v>196</v>
      </c>
      <c r="BF199" s="63">
        <v>61</v>
      </c>
      <c r="BG199" s="71">
        <v>1215</v>
      </c>
      <c r="BH199" s="67"/>
      <c r="BI199" s="68"/>
      <c r="BJ199" s="72">
        <v>397</v>
      </c>
      <c r="BK199" s="62"/>
      <c r="BL199" s="70">
        <v>585</v>
      </c>
      <c r="BM199" s="70">
        <v>0</v>
      </c>
      <c r="BN199" s="70">
        <v>13</v>
      </c>
      <c r="BO199" s="70">
        <v>381</v>
      </c>
      <c r="BP199" s="73">
        <v>3</v>
      </c>
      <c r="BQ199" s="74">
        <v>266</v>
      </c>
      <c r="BR199" s="54">
        <v>171</v>
      </c>
      <c r="BS199" s="75">
        <v>29</v>
      </c>
      <c r="BT199" s="76">
        <v>78.514056224899605</v>
      </c>
      <c r="BU199" s="77">
        <v>21.485943775100402</v>
      </c>
      <c r="BV199" s="78">
        <v>391</v>
      </c>
      <c r="BW199" s="79">
        <v>107</v>
      </c>
      <c r="BX199" s="69">
        <v>196</v>
      </c>
      <c r="BY199" s="70">
        <v>84</v>
      </c>
      <c r="BZ199" s="70">
        <v>98</v>
      </c>
      <c r="CA199" s="70">
        <v>111</v>
      </c>
      <c r="CB199" s="70">
        <v>0</v>
      </c>
      <c r="CC199" s="70">
        <v>7</v>
      </c>
      <c r="CD199" s="70">
        <v>1</v>
      </c>
      <c r="CE199" s="73">
        <v>1</v>
      </c>
    </row>
    <row r="200" spans="2:83" x14ac:dyDescent="0.3">
      <c r="B200" s="46">
        <v>39</v>
      </c>
      <c r="C200" s="47">
        <v>43367</v>
      </c>
      <c r="D200" s="48">
        <v>25</v>
      </c>
      <c r="E200" s="49">
        <v>2230</v>
      </c>
      <c r="F200" s="50">
        <v>304</v>
      </c>
      <c r="G200" s="51">
        <v>2.5998405739338382</v>
      </c>
      <c r="H200" s="52">
        <v>3.3797927461139898</v>
      </c>
      <c r="I200" s="53">
        <v>1930</v>
      </c>
      <c r="J200" s="54">
        <v>2509</v>
      </c>
      <c r="K200" s="54">
        <v>6523</v>
      </c>
      <c r="L200" s="55">
        <v>6287.3</v>
      </c>
      <c r="M200" s="56">
        <v>527.45000000000005</v>
      </c>
      <c r="N200" s="57">
        <v>978.44999999999993</v>
      </c>
      <c r="O200" s="58">
        <v>577.73</v>
      </c>
      <c r="P200" s="59">
        <v>11.290741349765462</v>
      </c>
      <c r="Q200" s="60">
        <v>750.39</v>
      </c>
      <c r="R200" s="61">
        <v>8.6928130705366549</v>
      </c>
      <c r="S200" s="48"/>
      <c r="T200" s="50"/>
      <c r="U200" s="62">
        <v>0</v>
      </c>
      <c r="V200" s="63">
        <v>49</v>
      </c>
      <c r="W200" s="50">
        <v>79</v>
      </c>
      <c r="X200" s="48">
        <v>22</v>
      </c>
      <c r="Y200" s="63">
        <v>80</v>
      </c>
      <c r="Z200" s="63">
        <v>194</v>
      </c>
      <c r="AA200" s="64">
        <v>1146.3</v>
      </c>
      <c r="AB200" s="65">
        <v>75.326999999999998</v>
      </c>
      <c r="AC200" s="66"/>
      <c r="AD200" s="67"/>
      <c r="AE200" s="68"/>
      <c r="AF200" s="48">
        <v>196</v>
      </c>
      <c r="AG200" s="63">
        <v>273</v>
      </c>
      <c r="AH200" s="63">
        <v>68</v>
      </c>
      <c r="AI200" s="63">
        <v>97</v>
      </c>
      <c r="AJ200" s="63">
        <v>71</v>
      </c>
      <c r="AK200" s="63">
        <v>395</v>
      </c>
      <c r="AL200" s="63">
        <v>241</v>
      </c>
      <c r="AM200" s="63">
        <v>170</v>
      </c>
      <c r="AN200" s="63">
        <v>345</v>
      </c>
      <c r="AO200" s="63">
        <v>121</v>
      </c>
      <c r="AP200" s="63">
        <v>100</v>
      </c>
      <c r="AQ200" s="63">
        <v>96</v>
      </c>
      <c r="AR200" s="63">
        <v>6</v>
      </c>
      <c r="AS200" s="63">
        <v>7</v>
      </c>
      <c r="AT200" s="63">
        <v>17</v>
      </c>
      <c r="AU200" s="63">
        <v>123</v>
      </c>
      <c r="AV200" s="63">
        <v>178</v>
      </c>
      <c r="AW200" s="50">
        <v>3</v>
      </c>
      <c r="AX200" s="69">
        <v>4091</v>
      </c>
      <c r="AY200" s="69">
        <v>23546</v>
      </c>
      <c r="AZ200" s="54">
        <v>1351</v>
      </c>
      <c r="BA200" s="54">
        <v>3745</v>
      </c>
      <c r="BB200" s="54">
        <v>286</v>
      </c>
      <c r="BC200" s="54">
        <v>664</v>
      </c>
      <c r="BD200" s="54">
        <v>1728</v>
      </c>
      <c r="BE200" s="70">
        <v>1142</v>
      </c>
      <c r="BF200" s="63">
        <v>485</v>
      </c>
      <c r="BG200" s="71">
        <v>3355</v>
      </c>
      <c r="BH200" s="67"/>
      <c r="BI200" s="68"/>
      <c r="BJ200" s="72">
        <v>2169</v>
      </c>
      <c r="BK200" s="62"/>
      <c r="BL200" s="70">
        <v>2119</v>
      </c>
      <c r="BM200" s="70">
        <v>183</v>
      </c>
      <c r="BN200" s="70">
        <v>198</v>
      </c>
      <c r="BO200" s="70">
        <v>1763</v>
      </c>
      <c r="BP200" s="73">
        <v>25</v>
      </c>
      <c r="BQ200" s="74">
        <v>1027</v>
      </c>
      <c r="BR200" s="54">
        <v>277</v>
      </c>
      <c r="BS200" s="75">
        <v>166</v>
      </c>
      <c r="BT200" s="76">
        <v>66.719576719576722</v>
      </c>
      <c r="BU200" s="77">
        <v>33.280423280423278</v>
      </c>
      <c r="BV200" s="78">
        <v>1261</v>
      </c>
      <c r="BW200" s="79">
        <v>629</v>
      </c>
      <c r="BX200" s="69">
        <v>762</v>
      </c>
      <c r="BY200" s="70">
        <v>156</v>
      </c>
      <c r="BZ200" s="70">
        <v>118</v>
      </c>
      <c r="CA200" s="70">
        <v>343</v>
      </c>
      <c r="CB200" s="70">
        <v>10</v>
      </c>
      <c r="CC200" s="70">
        <v>280</v>
      </c>
      <c r="CD200" s="70">
        <v>8</v>
      </c>
      <c r="CE200" s="73">
        <v>213</v>
      </c>
    </row>
    <row r="201" spans="2:83" x14ac:dyDescent="0.3">
      <c r="B201" s="46">
        <v>39</v>
      </c>
      <c r="C201" s="47">
        <v>43368</v>
      </c>
      <c r="D201" s="48">
        <v>10</v>
      </c>
      <c r="E201" s="49">
        <v>1489</v>
      </c>
      <c r="F201" s="50">
        <v>398</v>
      </c>
      <c r="G201" s="51">
        <v>3.9568822553897181</v>
      </c>
      <c r="H201" s="52">
        <v>5.9899581589958162</v>
      </c>
      <c r="I201" s="53">
        <v>1195</v>
      </c>
      <c r="J201" s="54">
        <v>1809</v>
      </c>
      <c r="K201" s="54">
        <v>7158</v>
      </c>
      <c r="L201" s="55">
        <v>6438.3</v>
      </c>
      <c r="M201" s="56">
        <v>501.4</v>
      </c>
      <c r="N201" s="57">
        <v>1073.7</v>
      </c>
      <c r="O201" s="58">
        <v>532.20999999999992</v>
      </c>
      <c r="P201" s="59">
        <v>13.449578174029051</v>
      </c>
      <c r="Q201" s="60">
        <v>700.70999999999992</v>
      </c>
      <c r="R201" s="61">
        <v>10.215352999100913</v>
      </c>
      <c r="S201" s="48"/>
      <c r="T201" s="50"/>
      <c r="U201" s="62">
        <v>0</v>
      </c>
      <c r="V201" s="63">
        <v>59</v>
      </c>
      <c r="W201" s="50">
        <v>99</v>
      </c>
      <c r="X201" s="48">
        <v>57</v>
      </c>
      <c r="Y201" s="63">
        <v>147</v>
      </c>
      <c r="Z201" s="63">
        <v>757</v>
      </c>
      <c r="AA201" s="64">
        <v>1141.4000000000001</v>
      </c>
      <c r="AB201" s="65">
        <v>80</v>
      </c>
      <c r="AC201" s="66"/>
      <c r="AD201" s="67"/>
      <c r="AE201" s="68"/>
      <c r="AF201" s="48">
        <v>104</v>
      </c>
      <c r="AG201" s="63">
        <v>180</v>
      </c>
      <c r="AH201" s="63">
        <v>40</v>
      </c>
      <c r="AI201" s="63">
        <v>59</v>
      </c>
      <c r="AJ201" s="63">
        <v>46</v>
      </c>
      <c r="AK201" s="63">
        <v>131</v>
      </c>
      <c r="AL201" s="63">
        <v>113</v>
      </c>
      <c r="AM201" s="63">
        <v>145</v>
      </c>
      <c r="AN201" s="63">
        <v>277</v>
      </c>
      <c r="AO201" s="63">
        <v>121</v>
      </c>
      <c r="AP201" s="63">
        <v>152</v>
      </c>
      <c r="AQ201" s="63">
        <v>65</v>
      </c>
      <c r="AR201" s="63">
        <v>10</v>
      </c>
      <c r="AS201" s="63">
        <v>1</v>
      </c>
      <c r="AT201" s="63">
        <v>5</v>
      </c>
      <c r="AU201" s="63">
        <v>163</v>
      </c>
      <c r="AV201" s="63">
        <v>219</v>
      </c>
      <c r="AW201" s="50">
        <v>16</v>
      </c>
      <c r="AX201" s="69">
        <v>2594</v>
      </c>
      <c r="AY201" s="69">
        <v>23017</v>
      </c>
      <c r="AZ201" s="54">
        <v>804</v>
      </c>
      <c r="BA201" s="54">
        <v>3123</v>
      </c>
      <c r="BB201" s="54">
        <v>167</v>
      </c>
      <c r="BC201" s="54">
        <v>455</v>
      </c>
      <c r="BD201" s="54">
        <v>878</v>
      </c>
      <c r="BE201" s="70">
        <v>1135</v>
      </c>
      <c r="BF201" s="63">
        <v>228</v>
      </c>
      <c r="BG201" s="71">
        <v>2241</v>
      </c>
      <c r="BH201" s="67"/>
      <c r="BI201" s="68"/>
      <c r="BJ201" s="72">
        <v>2060</v>
      </c>
      <c r="BK201" s="62"/>
      <c r="BL201" s="70">
        <v>1830</v>
      </c>
      <c r="BM201" s="70">
        <v>220</v>
      </c>
      <c r="BN201" s="70">
        <v>223</v>
      </c>
      <c r="BO201" s="70">
        <v>1593</v>
      </c>
      <c r="BP201" s="73">
        <v>24</v>
      </c>
      <c r="BQ201" s="74">
        <v>621</v>
      </c>
      <c r="BR201" s="54">
        <v>300</v>
      </c>
      <c r="BS201" s="75">
        <v>95</v>
      </c>
      <c r="BT201" s="76">
        <v>71.63179916317992</v>
      </c>
      <c r="BU201" s="77">
        <v>28.368200836820083</v>
      </c>
      <c r="BV201" s="78">
        <v>856</v>
      </c>
      <c r="BW201" s="79">
        <v>339</v>
      </c>
      <c r="BX201" s="69">
        <v>456</v>
      </c>
      <c r="BY201" s="70">
        <v>136</v>
      </c>
      <c r="BZ201" s="70">
        <v>151</v>
      </c>
      <c r="CA201" s="70">
        <v>264</v>
      </c>
      <c r="CB201" s="70">
        <v>39</v>
      </c>
      <c r="CC201" s="70">
        <v>136</v>
      </c>
      <c r="CD201" s="70">
        <v>5</v>
      </c>
      <c r="CE201" s="73">
        <v>8</v>
      </c>
    </row>
    <row r="202" spans="2:83" x14ac:dyDescent="0.3">
      <c r="B202" s="46">
        <v>39</v>
      </c>
      <c r="C202" s="47">
        <v>43369</v>
      </c>
      <c r="D202" s="48">
        <v>19</v>
      </c>
      <c r="E202" s="49">
        <v>1587</v>
      </c>
      <c r="F202" s="50">
        <v>333</v>
      </c>
      <c r="G202" s="51">
        <v>3.4336734693877551</v>
      </c>
      <c r="H202" s="52">
        <v>5.5028618152085036</v>
      </c>
      <c r="I202" s="53">
        <v>1223</v>
      </c>
      <c r="J202" s="54">
        <v>1960</v>
      </c>
      <c r="K202" s="54">
        <v>6730</v>
      </c>
      <c r="L202" s="55">
        <v>6268.2</v>
      </c>
      <c r="M202" s="56">
        <v>622.1</v>
      </c>
      <c r="N202" s="57">
        <v>1009.5000000000001</v>
      </c>
      <c r="O202" s="58">
        <v>559.26</v>
      </c>
      <c r="P202" s="59">
        <v>12.033758895683581</v>
      </c>
      <c r="Q202" s="60">
        <v>733.12</v>
      </c>
      <c r="R202" s="61">
        <v>9.1799432562199907</v>
      </c>
      <c r="S202" s="48"/>
      <c r="T202" s="50"/>
      <c r="U202" s="62">
        <v>0</v>
      </c>
      <c r="V202" s="63">
        <v>24</v>
      </c>
      <c r="W202" s="50">
        <v>121</v>
      </c>
      <c r="X202" s="48">
        <v>32</v>
      </c>
      <c r="Y202" s="63">
        <v>162</v>
      </c>
      <c r="Z202" s="63">
        <v>137</v>
      </c>
      <c r="AA202" s="64">
        <v>2010.5</v>
      </c>
      <c r="AB202" s="65">
        <v>193.7</v>
      </c>
      <c r="AC202" s="66"/>
      <c r="AD202" s="67"/>
      <c r="AE202" s="68"/>
      <c r="AF202" s="48">
        <v>139</v>
      </c>
      <c r="AG202" s="63">
        <v>176</v>
      </c>
      <c r="AH202" s="63">
        <v>42</v>
      </c>
      <c r="AI202" s="63">
        <v>57</v>
      </c>
      <c r="AJ202" s="63">
        <v>38</v>
      </c>
      <c r="AK202" s="63">
        <v>149</v>
      </c>
      <c r="AL202" s="63">
        <v>135</v>
      </c>
      <c r="AM202" s="63">
        <v>108</v>
      </c>
      <c r="AN202" s="63">
        <v>390</v>
      </c>
      <c r="AO202" s="63">
        <v>108</v>
      </c>
      <c r="AP202" s="63">
        <v>144</v>
      </c>
      <c r="AQ202" s="63">
        <v>88</v>
      </c>
      <c r="AR202" s="63">
        <v>1</v>
      </c>
      <c r="AS202" s="63">
        <v>2</v>
      </c>
      <c r="AT202" s="63">
        <v>5</v>
      </c>
      <c r="AU202" s="63">
        <v>107</v>
      </c>
      <c r="AV202" s="63">
        <v>218</v>
      </c>
      <c r="AW202" s="50">
        <v>8</v>
      </c>
      <c r="AX202" s="69">
        <v>4564</v>
      </c>
      <c r="AY202" s="69">
        <v>34288</v>
      </c>
      <c r="AZ202" s="54">
        <v>1642</v>
      </c>
      <c r="BA202" s="54">
        <v>5415</v>
      </c>
      <c r="BB202" s="54">
        <v>569</v>
      </c>
      <c r="BC202" s="54">
        <v>1352</v>
      </c>
      <c r="BD202" s="54">
        <v>1105</v>
      </c>
      <c r="BE202" s="70">
        <v>1701</v>
      </c>
      <c r="BF202" s="63">
        <v>542</v>
      </c>
      <c r="BG202" s="71">
        <v>3348</v>
      </c>
      <c r="BH202" s="67"/>
      <c r="BI202" s="68"/>
      <c r="BJ202" s="72">
        <v>2005</v>
      </c>
      <c r="BK202" s="62"/>
      <c r="BL202" s="70">
        <v>2108</v>
      </c>
      <c r="BM202" s="70">
        <v>143</v>
      </c>
      <c r="BN202" s="70">
        <v>225</v>
      </c>
      <c r="BO202" s="70">
        <v>1621</v>
      </c>
      <c r="BP202" s="73">
        <v>16</v>
      </c>
      <c r="BQ202" s="74">
        <v>657</v>
      </c>
      <c r="BR202" s="54">
        <v>321</v>
      </c>
      <c r="BS202" s="75">
        <v>70</v>
      </c>
      <c r="BT202" s="76">
        <v>71.253071253071255</v>
      </c>
      <c r="BU202" s="77">
        <v>28.746928746928749</v>
      </c>
      <c r="BV202" s="78">
        <v>870</v>
      </c>
      <c r="BW202" s="79">
        <v>351</v>
      </c>
      <c r="BX202" s="69">
        <v>516</v>
      </c>
      <c r="BY202" s="70">
        <v>145</v>
      </c>
      <c r="BZ202" s="70">
        <v>209</v>
      </c>
      <c r="CA202" s="70">
        <v>209</v>
      </c>
      <c r="CB202" s="70">
        <v>17</v>
      </c>
      <c r="CC202" s="70">
        <v>103</v>
      </c>
      <c r="CD202" s="70">
        <v>11</v>
      </c>
      <c r="CE202" s="73">
        <v>11</v>
      </c>
    </row>
    <row r="203" spans="2:83" x14ac:dyDescent="0.3">
      <c r="B203" s="46">
        <v>39</v>
      </c>
      <c r="C203" s="47">
        <v>43370</v>
      </c>
      <c r="D203" s="48">
        <v>3</v>
      </c>
      <c r="E203" s="49">
        <v>1518</v>
      </c>
      <c r="F203" s="50">
        <v>410</v>
      </c>
      <c r="G203" s="51">
        <v>3.7033671833244255</v>
      </c>
      <c r="H203" s="52">
        <v>6.0304612706701484</v>
      </c>
      <c r="I203" s="53">
        <v>1149</v>
      </c>
      <c r="J203" s="54">
        <v>1871</v>
      </c>
      <c r="K203" s="54">
        <v>6929</v>
      </c>
      <c r="L203" s="55">
        <v>6334.5</v>
      </c>
      <c r="M203" s="56">
        <v>620.4</v>
      </c>
      <c r="N203" s="57">
        <v>1039.3500000000001</v>
      </c>
      <c r="O203" s="58">
        <v>557.07999999999993</v>
      </c>
      <c r="P203" s="59">
        <v>12.438069936095356</v>
      </c>
      <c r="Q203" s="60">
        <v>726.4</v>
      </c>
      <c r="R203" s="61">
        <v>9.5388215859030847</v>
      </c>
      <c r="S203" s="48"/>
      <c r="T203" s="50"/>
      <c r="U203" s="62">
        <v>0</v>
      </c>
      <c r="V203" s="63">
        <v>116</v>
      </c>
      <c r="W203" s="50">
        <v>172</v>
      </c>
      <c r="X203" s="48">
        <v>60</v>
      </c>
      <c r="Y203" s="63">
        <v>294</v>
      </c>
      <c r="Z203" s="63">
        <v>240</v>
      </c>
      <c r="AA203" s="64">
        <v>2136.6</v>
      </c>
      <c r="AB203" s="65">
        <v>276</v>
      </c>
      <c r="AC203" s="66"/>
      <c r="AD203" s="67"/>
      <c r="AE203" s="68"/>
      <c r="AF203" s="48">
        <v>110</v>
      </c>
      <c r="AG203" s="63">
        <v>177</v>
      </c>
      <c r="AH203" s="63">
        <v>56</v>
      </c>
      <c r="AI203" s="63">
        <v>40</v>
      </c>
      <c r="AJ203" s="63">
        <v>69</v>
      </c>
      <c r="AK203" s="63">
        <v>159</v>
      </c>
      <c r="AL203" s="63">
        <v>129</v>
      </c>
      <c r="AM203" s="63">
        <v>96</v>
      </c>
      <c r="AN203" s="63">
        <v>288</v>
      </c>
      <c r="AO203" s="63">
        <v>97</v>
      </c>
      <c r="AP203" s="63">
        <v>98</v>
      </c>
      <c r="AQ203" s="63">
        <v>110</v>
      </c>
      <c r="AR203" s="63">
        <v>4</v>
      </c>
      <c r="AS203" s="63">
        <v>1</v>
      </c>
      <c r="AT203" s="63">
        <v>3</v>
      </c>
      <c r="AU203" s="63">
        <v>75</v>
      </c>
      <c r="AV203" s="63">
        <v>319</v>
      </c>
      <c r="AW203" s="50">
        <v>13</v>
      </c>
      <c r="AX203" s="69">
        <v>2877</v>
      </c>
      <c r="AY203" s="69">
        <v>16248</v>
      </c>
      <c r="AZ203" s="54">
        <v>783</v>
      </c>
      <c r="BA203" s="54">
        <v>3642</v>
      </c>
      <c r="BB203" s="54">
        <v>122</v>
      </c>
      <c r="BC203" s="54">
        <v>193</v>
      </c>
      <c r="BD203" s="54">
        <v>771</v>
      </c>
      <c r="BE203" s="70">
        <v>1463</v>
      </c>
      <c r="BF203" s="63">
        <v>228</v>
      </c>
      <c r="BG203" s="71">
        <v>2462</v>
      </c>
      <c r="BH203" s="67"/>
      <c r="BI203" s="68"/>
      <c r="BJ203" s="72">
        <v>1788</v>
      </c>
      <c r="BK203" s="62"/>
      <c r="BL203" s="70">
        <v>1570</v>
      </c>
      <c r="BM203" s="70">
        <v>329</v>
      </c>
      <c r="BN203" s="70">
        <v>206</v>
      </c>
      <c r="BO203" s="70">
        <v>1240</v>
      </c>
      <c r="BP203" s="73">
        <v>13</v>
      </c>
      <c r="BQ203" s="74">
        <v>608</v>
      </c>
      <c r="BR203" s="54">
        <v>269</v>
      </c>
      <c r="BS203" s="75">
        <v>89</v>
      </c>
      <c r="BT203" s="76">
        <v>74.325500435161004</v>
      </c>
      <c r="BU203" s="77">
        <v>25.674499564838989</v>
      </c>
      <c r="BV203" s="78">
        <v>854</v>
      </c>
      <c r="BW203" s="79">
        <v>295</v>
      </c>
      <c r="BX203" s="69">
        <v>488</v>
      </c>
      <c r="BY203" s="70">
        <v>136</v>
      </c>
      <c r="BZ203" s="70">
        <v>154</v>
      </c>
      <c r="CA203" s="70">
        <v>230</v>
      </c>
      <c r="CB203" s="70">
        <v>17</v>
      </c>
      <c r="CC203" s="70">
        <v>102</v>
      </c>
      <c r="CD203" s="70">
        <v>19</v>
      </c>
      <c r="CE203" s="73">
        <v>3</v>
      </c>
    </row>
    <row r="204" spans="2:83" x14ac:dyDescent="0.3">
      <c r="B204" s="46">
        <v>39</v>
      </c>
      <c r="C204" s="47">
        <v>43371</v>
      </c>
      <c r="D204" s="48">
        <v>2</v>
      </c>
      <c r="E204" s="49">
        <v>1361</v>
      </c>
      <c r="F204" s="50">
        <v>224</v>
      </c>
      <c r="G204" s="51">
        <v>3.674101610904585</v>
      </c>
      <c r="H204" s="52">
        <v>5.9063745019920315</v>
      </c>
      <c r="I204" s="53">
        <v>1004</v>
      </c>
      <c r="J204" s="54">
        <v>1614</v>
      </c>
      <c r="K204" s="54">
        <v>5930</v>
      </c>
      <c r="L204" s="55">
        <v>5233.8999999999996</v>
      </c>
      <c r="M204" s="56">
        <v>427.84</v>
      </c>
      <c r="N204" s="57">
        <v>889.5</v>
      </c>
      <c r="O204" s="58">
        <v>489.55</v>
      </c>
      <c r="P204" s="59">
        <v>12.1131651516699</v>
      </c>
      <c r="Q204" s="60">
        <v>625.28</v>
      </c>
      <c r="R204" s="61">
        <v>9.4837512794268175</v>
      </c>
      <c r="S204" s="48"/>
      <c r="T204" s="50"/>
      <c r="U204" s="62">
        <v>0</v>
      </c>
      <c r="V204" s="63">
        <v>33</v>
      </c>
      <c r="W204" s="50">
        <v>50</v>
      </c>
      <c r="X204" s="48">
        <v>52</v>
      </c>
      <c r="Y204" s="63">
        <v>87</v>
      </c>
      <c r="Z204" s="63">
        <v>211</v>
      </c>
      <c r="AA204" s="64">
        <v>862.1</v>
      </c>
      <c r="AB204" s="65">
        <v>65.349000000000004</v>
      </c>
      <c r="AC204" s="66"/>
      <c r="AD204" s="67"/>
      <c r="AE204" s="68"/>
      <c r="AF204" s="48">
        <v>65</v>
      </c>
      <c r="AG204" s="63">
        <v>116</v>
      </c>
      <c r="AH204" s="63">
        <v>22</v>
      </c>
      <c r="AI204" s="63">
        <v>24</v>
      </c>
      <c r="AJ204" s="63">
        <v>32</v>
      </c>
      <c r="AK204" s="63">
        <v>110</v>
      </c>
      <c r="AL204" s="63">
        <v>115</v>
      </c>
      <c r="AM204" s="63">
        <v>104</v>
      </c>
      <c r="AN204" s="63">
        <v>292</v>
      </c>
      <c r="AO204" s="63">
        <v>128</v>
      </c>
      <c r="AP204" s="63">
        <v>139</v>
      </c>
      <c r="AQ204" s="63">
        <v>125</v>
      </c>
      <c r="AR204" s="63">
        <v>6</v>
      </c>
      <c r="AS204" s="63">
        <v>0</v>
      </c>
      <c r="AT204" s="63">
        <v>9</v>
      </c>
      <c r="AU204" s="63">
        <v>40</v>
      </c>
      <c r="AV204" s="63">
        <v>175</v>
      </c>
      <c r="AW204" s="50">
        <v>0</v>
      </c>
      <c r="AX204" s="69">
        <v>3083</v>
      </c>
      <c r="AY204" s="69">
        <v>27367</v>
      </c>
      <c r="AZ204" s="54">
        <v>1483</v>
      </c>
      <c r="BA204" s="54">
        <v>3637</v>
      </c>
      <c r="BB204" s="54">
        <v>440</v>
      </c>
      <c r="BC204" s="54">
        <v>707</v>
      </c>
      <c r="BD204" s="54">
        <v>948</v>
      </c>
      <c r="BE204" s="70">
        <v>1832</v>
      </c>
      <c r="BF204" s="63">
        <v>375</v>
      </c>
      <c r="BG204" s="71">
        <v>3155</v>
      </c>
      <c r="BH204" s="67"/>
      <c r="BI204" s="68"/>
      <c r="BJ204" s="72">
        <v>1063</v>
      </c>
      <c r="BK204" s="62"/>
      <c r="BL204" s="70">
        <v>1523</v>
      </c>
      <c r="BM204" s="70">
        <v>149</v>
      </c>
      <c r="BN204" s="70">
        <v>95</v>
      </c>
      <c r="BO204" s="70">
        <v>782</v>
      </c>
      <c r="BP204" s="73">
        <v>37</v>
      </c>
      <c r="BQ204" s="74">
        <v>447</v>
      </c>
      <c r="BR204" s="54">
        <v>336</v>
      </c>
      <c r="BS204" s="75">
        <v>68</v>
      </c>
      <c r="BT204" s="76">
        <v>65.8</v>
      </c>
      <c r="BU204" s="77">
        <v>34.200000000000003</v>
      </c>
      <c r="BV204" s="78">
        <v>658</v>
      </c>
      <c r="BW204" s="79">
        <v>342</v>
      </c>
      <c r="BX204" s="69">
        <v>355</v>
      </c>
      <c r="BY204" s="70">
        <v>143</v>
      </c>
      <c r="BZ204" s="70">
        <v>185</v>
      </c>
      <c r="CA204" s="70">
        <v>160</v>
      </c>
      <c r="CB204" s="70">
        <v>17</v>
      </c>
      <c r="CC204" s="70">
        <v>111</v>
      </c>
      <c r="CD204" s="70">
        <v>22</v>
      </c>
      <c r="CE204" s="73">
        <v>7</v>
      </c>
    </row>
    <row r="205" spans="2:83" x14ac:dyDescent="0.3">
      <c r="B205" s="46">
        <v>40</v>
      </c>
      <c r="C205" s="47">
        <v>43374</v>
      </c>
      <c r="D205" s="48">
        <v>0</v>
      </c>
      <c r="E205" s="49">
        <v>2535</v>
      </c>
      <c r="F205" s="50">
        <v>312</v>
      </c>
      <c r="G205" s="51">
        <v>2.6871488764044944</v>
      </c>
      <c r="H205" s="52">
        <v>3.4754768392370572</v>
      </c>
      <c r="I205" s="53">
        <v>2202</v>
      </c>
      <c r="J205" s="54">
        <v>2848</v>
      </c>
      <c r="K205" s="54">
        <v>7653</v>
      </c>
      <c r="L205" s="55">
        <v>7647.2</v>
      </c>
      <c r="M205" s="56">
        <v>566</v>
      </c>
      <c r="N205" s="57">
        <v>1147.95</v>
      </c>
      <c r="O205" s="58">
        <v>560.76</v>
      </c>
      <c r="P205" s="59">
        <v>13.647549753905414</v>
      </c>
      <c r="Q205" s="60">
        <v>695.91</v>
      </c>
      <c r="R205" s="61">
        <v>10.997111695477864</v>
      </c>
      <c r="S205" s="48"/>
      <c r="T205" s="50"/>
      <c r="U205" s="62">
        <v>0</v>
      </c>
      <c r="V205" s="63">
        <v>78</v>
      </c>
      <c r="W205" s="50">
        <v>83</v>
      </c>
      <c r="X205" s="48">
        <v>53</v>
      </c>
      <c r="Y205" s="63">
        <v>144</v>
      </c>
      <c r="Z205" s="63">
        <v>742</v>
      </c>
      <c r="AA205" s="64">
        <v>1039.9000000000001</v>
      </c>
      <c r="AB205" s="65">
        <v>65.838999999999999</v>
      </c>
      <c r="AC205" s="66"/>
      <c r="AD205" s="67"/>
      <c r="AE205" s="68"/>
      <c r="AF205" s="48">
        <v>242</v>
      </c>
      <c r="AG205" s="63">
        <v>416</v>
      </c>
      <c r="AH205" s="63">
        <v>77</v>
      </c>
      <c r="AI205" s="63">
        <v>111</v>
      </c>
      <c r="AJ205" s="63">
        <v>95</v>
      </c>
      <c r="AK205" s="63">
        <v>343</v>
      </c>
      <c r="AL205" s="63">
        <v>239</v>
      </c>
      <c r="AM205" s="63">
        <v>146</v>
      </c>
      <c r="AN205" s="63">
        <v>398</v>
      </c>
      <c r="AO205" s="63">
        <v>150</v>
      </c>
      <c r="AP205" s="63">
        <v>142</v>
      </c>
      <c r="AQ205" s="63">
        <v>104</v>
      </c>
      <c r="AR205" s="63">
        <v>18</v>
      </c>
      <c r="AS205" s="63">
        <v>1</v>
      </c>
      <c r="AT205" s="63">
        <v>9</v>
      </c>
      <c r="AU205" s="63">
        <v>70</v>
      </c>
      <c r="AV205" s="63">
        <v>218</v>
      </c>
      <c r="AW205" s="50">
        <v>23</v>
      </c>
      <c r="AX205" s="69">
        <v>4801</v>
      </c>
      <c r="AY205" s="69">
        <v>33703</v>
      </c>
      <c r="AZ205" s="54">
        <v>2113</v>
      </c>
      <c r="BA205" s="54">
        <v>6149</v>
      </c>
      <c r="BB205" s="54">
        <v>388</v>
      </c>
      <c r="BC205" s="54">
        <v>597</v>
      </c>
      <c r="BD205" s="54">
        <v>1575</v>
      </c>
      <c r="BE205" s="70">
        <v>2416</v>
      </c>
      <c r="BF205" s="63">
        <v>659</v>
      </c>
      <c r="BG205" s="71">
        <v>4650</v>
      </c>
      <c r="BH205" s="67"/>
      <c r="BI205" s="68"/>
      <c r="BJ205" s="72">
        <v>1250</v>
      </c>
      <c r="BK205" s="62"/>
      <c r="BL205" s="70">
        <v>2195</v>
      </c>
      <c r="BM205" s="70">
        <v>159</v>
      </c>
      <c r="BN205" s="70">
        <v>98</v>
      </c>
      <c r="BO205" s="70">
        <v>914</v>
      </c>
      <c r="BP205" s="73">
        <v>79</v>
      </c>
      <c r="BQ205" s="74">
        <v>1300</v>
      </c>
      <c r="BR205" s="54">
        <v>310</v>
      </c>
      <c r="BS205" s="75">
        <v>249</v>
      </c>
      <c r="BT205" s="76">
        <v>79.130434782608702</v>
      </c>
      <c r="BU205" s="77">
        <v>20.869565217391305</v>
      </c>
      <c r="BV205" s="78">
        <v>1729</v>
      </c>
      <c r="BW205" s="79">
        <v>456</v>
      </c>
      <c r="BX205" s="69">
        <v>1096</v>
      </c>
      <c r="BY205" s="70">
        <v>177</v>
      </c>
      <c r="BZ205" s="70">
        <v>131</v>
      </c>
      <c r="CA205" s="70">
        <v>456</v>
      </c>
      <c r="CB205" s="70">
        <v>15</v>
      </c>
      <c r="CC205" s="70">
        <v>192</v>
      </c>
      <c r="CD205" s="70">
        <v>70</v>
      </c>
      <c r="CE205" s="73">
        <v>48</v>
      </c>
    </row>
    <row r="206" spans="2:83" x14ac:dyDescent="0.3">
      <c r="B206" s="46">
        <v>40</v>
      </c>
      <c r="C206" s="47">
        <v>43375</v>
      </c>
      <c r="D206" s="48">
        <v>45</v>
      </c>
      <c r="E206" s="49">
        <v>1312</v>
      </c>
      <c r="F206" s="50">
        <v>407</v>
      </c>
      <c r="G206" s="51">
        <v>3.2648556876061119</v>
      </c>
      <c r="H206" s="52">
        <v>5.4527410207939511</v>
      </c>
      <c r="I206" s="53">
        <v>1058</v>
      </c>
      <c r="J206" s="54">
        <v>1767</v>
      </c>
      <c r="K206" s="54">
        <v>5769</v>
      </c>
      <c r="L206" s="55">
        <v>7816.5</v>
      </c>
      <c r="M206" s="56">
        <v>484</v>
      </c>
      <c r="N206" s="57">
        <v>865.35</v>
      </c>
      <c r="O206" s="58">
        <v>527.46</v>
      </c>
      <c r="P206" s="59">
        <v>10.937322261403708</v>
      </c>
      <c r="Q206" s="60">
        <v>664.23</v>
      </c>
      <c r="R206" s="61">
        <v>8.6852445688993267</v>
      </c>
      <c r="S206" s="48"/>
      <c r="T206" s="50"/>
      <c r="U206" s="62">
        <v>0</v>
      </c>
      <c r="V206" s="63">
        <v>108</v>
      </c>
      <c r="W206" s="50">
        <v>155</v>
      </c>
      <c r="X206" s="48">
        <v>61</v>
      </c>
      <c r="Y206" s="63">
        <v>196</v>
      </c>
      <c r="Z206" s="63">
        <v>371</v>
      </c>
      <c r="AA206" s="64">
        <v>1503.4</v>
      </c>
      <c r="AB206" s="65">
        <v>88.927999999999997</v>
      </c>
      <c r="AC206" s="66"/>
      <c r="AD206" s="67"/>
      <c r="AE206" s="68"/>
      <c r="AF206" s="48">
        <v>95</v>
      </c>
      <c r="AG206" s="63">
        <v>130</v>
      </c>
      <c r="AH206" s="63">
        <v>40</v>
      </c>
      <c r="AI206" s="63">
        <v>61</v>
      </c>
      <c r="AJ206" s="63">
        <v>42</v>
      </c>
      <c r="AK206" s="63">
        <v>147</v>
      </c>
      <c r="AL206" s="63">
        <v>114</v>
      </c>
      <c r="AM206" s="63">
        <v>105</v>
      </c>
      <c r="AN206" s="63">
        <v>205</v>
      </c>
      <c r="AO206" s="63">
        <v>101</v>
      </c>
      <c r="AP206" s="63">
        <v>133</v>
      </c>
      <c r="AQ206" s="63">
        <v>83</v>
      </c>
      <c r="AR206" s="63">
        <v>14</v>
      </c>
      <c r="AS206" s="63">
        <v>0</v>
      </c>
      <c r="AT206" s="63">
        <v>6</v>
      </c>
      <c r="AU206" s="63">
        <v>50</v>
      </c>
      <c r="AV206" s="63">
        <v>337</v>
      </c>
      <c r="AW206" s="50">
        <v>17</v>
      </c>
      <c r="AX206" s="69">
        <v>2116</v>
      </c>
      <c r="AY206" s="69">
        <v>13126</v>
      </c>
      <c r="AZ206" s="54">
        <v>1531</v>
      </c>
      <c r="BA206" s="54">
        <v>7591</v>
      </c>
      <c r="BB206" s="54">
        <v>137</v>
      </c>
      <c r="BC206" s="54">
        <v>376</v>
      </c>
      <c r="BD206" s="54">
        <v>694</v>
      </c>
      <c r="BE206" s="70">
        <v>1856</v>
      </c>
      <c r="BF206" s="63">
        <v>306</v>
      </c>
      <c r="BG206" s="71">
        <v>2856</v>
      </c>
      <c r="BH206" s="67"/>
      <c r="BI206" s="68"/>
      <c r="BJ206" s="72">
        <v>1309</v>
      </c>
      <c r="BK206" s="62"/>
      <c r="BL206" s="70">
        <v>2049</v>
      </c>
      <c r="BM206" s="70">
        <v>187</v>
      </c>
      <c r="BN206" s="70">
        <v>243</v>
      </c>
      <c r="BO206" s="70">
        <v>839</v>
      </c>
      <c r="BP206" s="73">
        <v>40</v>
      </c>
      <c r="BQ206" s="74">
        <v>531</v>
      </c>
      <c r="BR206" s="54">
        <v>314</v>
      </c>
      <c r="BS206" s="75">
        <v>82</v>
      </c>
      <c r="BT206" s="76">
        <v>72.142170989433239</v>
      </c>
      <c r="BU206" s="77">
        <v>27.857829010566764</v>
      </c>
      <c r="BV206" s="78">
        <v>751</v>
      </c>
      <c r="BW206" s="79">
        <v>290</v>
      </c>
      <c r="BX206" s="69">
        <v>380</v>
      </c>
      <c r="BY206" s="70">
        <v>138</v>
      </c>
      <c r="BZ206" s="70">
        <v>175</v>
      </c>
      <c r="CA206" s="70">
        <v>233</v>
      </c>
      <c r="CB206" s="70">
        <v>5</v>
      </c>
      <c r="CC206" s="70">
        <v>97</v>
      </c>
      <c r="CD206" s="70">
        <v>13</v>
      </c>
      <c r="CE206" s="73">
        <v>0</v>
      </c>
    </row>
    <row r="207" spans="2:83" x14ac:dyDescent="0.3">
      <c r="B207" s="46">
        <v>40</v>
      </c>
      <c r="C207" s="47">
        <v>43377</v>
      </c>
      <c r="D207" s="48">
        <v>34</v>
      </c>
      <c r="E207" s="49">
        <v>2264</v>
      </c>
      <c r="F207" s="50">
        <v>553</v>
      </c>
      <c r="G207" s="51">
        <v>3.1538192011212334</v>
      </c>
      <c r="H207" s="52">
        <v>4.8971708378672467</v>
      </c>
      <c r="I207" s="53">
        <v>1838</v>
      </c>
      <c r="J207" s="54">
        <v>2854</v>
      </c>
      <c r="K207" s="54">
        <v>9001</v>
      </c>
      <c r="L207" s="55">
        <v>6130.2</v>
      </c>
      <c r="M207" s="56">
        <v>732</v>
      </c>
      <c r="N207" s="57">
        <v>1350.1499999999999</v>
      </c>
      <c r="O207" s="58">
        <v>562.12</v>
      </c>
      <c r="P207" s="59">
        <v>16.012595175407387</v>
      </c>
      <c r="Q207" s="60">
        <v>711.7700000000001</v>
      </c>
      <c r="R207" s="61">
        <v>12.645938997147953</v>
      </c>
      <c r="S207" s="48"/>
      <c r="T207" s="50"/>
      <c r="U207" s="62">
        <v>0</v>
      </c>
      <c r="V207" s="63">
        <v>60</v>
      </c>
      <c r="W207" s="50">
        <v>266</v>
      </c>
      <c r="X207" s="48">
        <v>50</v>
      </c>
      <c r="Y207" s="63">
        <v>278</v>
      </c>
      <c r="Z207" s="63">
        <v>146</v>
      </c>
      <c r="AA207" s="64">
        <v>772.3</v>
      </c>
      <c r="AB207" s="65">
        <v>185.95500000000001</v>
      </c>
      <c r="AC207" s="66"/>
      <c r="AD207" s="67"/>
      <c r="AE207" s="68"/>
      <c r="AF207" s="48">
        <v>151</v>
      </c>
      <c r="AG207" s="63">
        <v>268</v>
      </c>
      <c r="AH207" s="63">
        <v>71</v>
      </c>
      <c r="AI207" s="63">
        <v>85</v>
      </c>
      <c r="AJ207" s="63">
        <v>75</v>
      </c>
      <c r="AK207" s="63">
        <v>254</v>
      </c>
      <c r="AL207" s="63">
        <v>213</v>
      </c>
      <c r="AM207" s="63">
        <v>155</v>
      </c>
      <c r="AN207" s="63">
        <v>382</v>
      </c>
      <c r="AO207" s="63">
        <v>178</v>
      </c>
      <c r="AP207" s="63">
        <v>234</v>
      </c>
      <c r="AQ207" s="63">
        <v>148</v>
      </c>
      <c r="AR207" s="63">
        <v>21</v>
      </c>
      <c r="AS207" s="63">
        <v>3</v>
      </c>
      <c r="AT207" s="63">
        <v>6</v>
      </c>
      <c r="AU207" s="63">
        <v>78</v>
      </c>
      <c r="AV207" s="63">
        <v>465</v>
      </c>
      <c r="AW207" s="50">
        <v>10</v>
      </c>
      <c r="AX207" s="69">
        <v>3313</v>
      </c>
      <c r="AY207" s="69">
        <v>23377</v>
      </c>
      <c r="AZ207" s="54">
        <v>2742</v>
      </c>
      <c r="BA207" s="54">
        <v>10707</v>
      </c>
      <c r="BB207" s="54">
        <v>572</v>
      </c>
      <c r="BC207" s="54">
        <v>1430</v>
      </c>
      <c r="BD207" s="54">
        <v>1104</v>
      </c>
      <c r="BE207" s="70">
        <v>3093</v>
      </c>
      <c r="BF207" s="63">
        <v>715</v>
      </c>
      <c r="BG207" s="71">
        <v>4912</v>
      </c>
      <c r="BH207" s="67"/>
      <c r="BI207" s="68"/>
      <c r="BJ207" s="72">
        <v>1285</v>
      </c>
      <c r="BK207" s="62"/>
      <c r="BL207" s="70">
        <v>2571</v>
      </c>
      <c r="BM207" s="70">
        <v>232</v>
      </c>
      <c r="BN207" s="70">
        <v>209</v>
      </c>
      <c r="BO207" s="70">
        <v>839</v>
      </c>
      <c r="BP207" s="73">
        <v>5</v>
      </c>
      <c r="BQ207" s="74">
        <v>974</v>
      </c>
      <c r="BR207" s="54">
        <v>471</v>
      </c>
      <c r="BS207" s="75">
        <v>74</v>
      </c>
      <c r="BT207" s="76">
        <v>70.856201975850709</v>
      </c>
      <c r="BU207" s="77">
        <v>29.143798024149287</v>
      </c>
      <c r="BV207" s="78">
        <v>1291</v>
      </c>
      <c r="BW207" s="79">
        <v>531</v>
      </c>
      <c r="BX207" s="69">
        <v>712</v>
      </c>
      <c r="BY207" s="70">
        <v>235</v>
      </c>
      <c r="BZ207" s="70">
        <v>247</v>
      </c>
      <c r="CA207" s="70">
        <v>344</v>
      </c>
      <c r="CB207" s="70">
        <v>16</v>
      </c>
      <c r="CC207" s="70">
        <v>207</v>
      </c>
      <c r="CD207" s="70">
        <v>7</v>
      </c>
      <c r="CE207" s="73">
        <v>54</v>
      </c>
    </row>
    <row r="208" spans="2:83" x14ac:dyDescent="0.3">
      <c r="B208" s="46">
        <v>40</v>
      </c>
      <c r="C208" s="47">
        <v>43378</v>
      </c>
      <c r="D208" s="48">
        <v>9</v>
      </c>
      <c r="E208" s="49">
        <v>1463</v>
      </c>
      <c r="F208" s="50">
        <v>370</v>
      </c>
      <c r="G208" s="51">
        <v>3.4373304395008137</v>
      </c>
      <c r="H208" s="52">
        <v>5.3056951423785597</v>
      </c>
      <c r="I208" s="53">
        <v>1194</v>
      </c>
      <c r="J208" s="54">
        <v>1843</v>
      </c>
      <c r="K208" s="54">
        <v>6335</v>
      </c>
      <c r="L208" s="55">
        <v>8929.2999999999993</v>
      </c>
      <c r="M208" s="56">
        <v>663</v>
      </c>
      <c r="N208" s="57">
        <v>950.25</v>
      </c>
      <c r="O208" s="58">
        <v>502.6</v>
      </c>
      <c r="P208" s="59">
        <v>12.604456824512534</v>
      </c>
      <c r="Q208" s="60">
        <v>647.70000000000005</v>
      </c>
      <c r="R208" s="61">
        <v>9.7807626987802987</v>
      </c>
      <c r="S208" s="48"/>
      <c r="T208" s="50"/>
      <c r="U208" s="62">
        <v>0</v>
      </c>
      <c r="V208" s="63">
        <v>64</v>
      </c>
      <c r="W208" s="50">
        <v>51</v>
      </c>
      <c r="X208" s="48">
        <v>45</v>
      </c>
      <c r="Y208" s="63">
        <v>255</v>
      </c>
      <c r="Z208" s="63">
        <v>45</v>
      </c>
      <c r="AA208" s="64">
        <v>622</v>
      </c>
      <c r="AB208" s="65">
        <v>183.44800000000001</v>
      </c>
      <c r="AC208" s="66"/>
      <c r="AD208" s="67"/>
      <c r="AE208" s="68"/>
      <c r="AF208" s="48">
        <v>102</v>
      </c>
      <c r="AG208" s="63">
        <v>143</v>
      </c>
      <c r="AH208" s="63">
        <v>36</v>
      </c>
      <c r="AI208" s="63">
        <v>58</v>
      </c>
      <c r="AJ208" s="63">
        <v>37</v>
      </c>
      <c r="AK208" s="63">
        <v>170</v>
      </c>
      <c r="AL208" s="63">
        <v>118</v>
      </c>
      <c r="AM208" s="63">
        <v>116</v>
      </c>
      <c r="AN208" s="63">
        <v>288</v>
      </c>
      <c r="AO208" s="63">
        <v>103</v>
      </c>
      <c r="AP208" s="63">
        <v>133</v>
      </c>
      <c r="AQ208" s="63">
        <v>119</v>
      </c>
      <c r="AR208" s="63">
        <v>5</v>
      </c>
      <c r="AS208" s="63">
        <v>0</v>
      </c>
      <c r="AT208" s="63">
        <v>3</v>
      </c>
      <c r="AU208" s="63">
        <v>168</v>
      </c>
      <c r="AV208" s="63">
        <v>196</v>
      </c>
      <c r="AW208" s="50">
        <v>5</v>
      </c>
      <c r="AX208" s="69">
        <v>2350</v>
      </c>
      <c r="AY208" s="69">
        <v>15663</v>
      </c>
      <c r="AZ208" s="54">
        <v>1578</v>
      </c>
      <c r="BA208" s="54">
        <v>3787</v>
      </c>
      <c r="BB208" s="54">
        <v>291</v>
      </c>
      <c r="BC208" s="54">
        <v>597</v>
      </c>
      <c r="BD208" s="54">
        <v>842</v>
      </c>
      <c r="BE208" s="70">
        <v>2169</v>
      </c>
      <c r="BF208" s="63">
        <v>340</v>
      </c>
      <c r="BG208" s="71">
        <v>3351</v>
      </c>
      <c r="BH208" s="67"/>
      <c r="BI208" s="68"/>
      <c r="BJ208" s="72">
        <v>1278</v>
      </c>
      <c r="BK208" s="62"/>
      <c r="BL208" s="70">
        <v>1853</v>
      </c>
      <c r="BM208" s="70">
        <v>119</v>
      </c>
      <c r="BN208" s="70">
        <v>242</v>
      </c>
      <c r="BO208" s="70">
        <v>895</v>
      </c>
      <c r="BP208" s="73">
        <v>22</v>
      </c>
      <c r="BQ208" s="74">
        <v>613</v>
      </c>
      <c r="BR208" s="54">
        <v>342</v>
      </c>
      <c r="BS208" s="75">
        <v>72</v>
      </c>
      <c r="BT208" s="76">
        <v>70.964987190435522</v>
      </c>
      <c r="BU208" s="77">
        <v>29.035012809564474</v>
      </c>
      <c r="BV208" s="78">
        <v>831</v>
      </c>
      <c r="BW208" s="79">
        <v>340</v>
      </c>
      <c r="BX208" s="69">
        <v>411</v>
      </c>
      <c r="BY208" s="70">
        <v>174</v>
      </c>
      <c r="BZ208" s="70">
        <v>170</v>
      </c>
      <c r="CA208" s="70">
        <v>246</v>
      </c>
      <c r="CB208" s="70">
        <v>20</v>
      </c>
      <c r="CC208" s="70">
        <v>139</v>
      </c>
      <c r="CD208" s="70">
        <v>11</v>
      </c>
      <c r="CE208" s="73">
        <v>0</v>
      </c>
    </row>
    <row r="209" spans="2:83" x14ac:dyDescent="0.3">
      <c r="B209" s="46">
        <v>41</v>
      </c>
      <c r="C209" s="47">
        <v>43381</v>
      </c>
      <c r="D209" s="48">
        <v>13</v>
      </c>
      <c r="E209" s="49">
        <v>2217</v>
      </c>
      <c r="F209" s="50">
        <v>312</v>
      </c>
      <c r="G209" s="51">
        <v>2.9653815892997639</v>
      </c>
      <c r="H209" s="52">
        <v>3.8283392585068561</v>
      </c>
      <c r="I209" s="53">
        <v>1969</v>
      </c>
      <c r="J209" s="54">
        <v>2542</v>
      </c>
      <c r="K209" s="54">
        <v>7538</v>
      </c>
      <c r="L209" s="55">
        <v>7872</v>
      </c>
      <c r="M209" s="56">
        <v>589.51599999999996</v>
      </c>
      <c r="N209" s="57">
        <v>1130.7</v>
      </c>
      <c r="O209" s="58">
        <v>629.66</v>
      </c>
      <c r="P209" s="59">
        <v>11.971540196296415</v>
      </c>
      <c r="Q209" s="60">
        <v>798.08999999999992</v>
      </c>
      <c r="R209" s="61">
        <v>9.4450500570111142</v>
      </c>
      <c r="S209" s="48"/>
      <c r="T209" s="50"/>
      <c r="U209" s="62">
        <v>0</v>
      </c>
      <c r="V209" s="63">
        <v>66</v>
      </c>
      <c r="W209" s="50">
        <v>111</v>
      </c>
      <c r="X209" s="48">
        <v>46</v>
      </c>
      <c r="Y209" s="63">
        <v>151</v>
      </c>
      <c r="Z209" s="63">
        <v>161</v>
      </c>
      <c r="AA209" s="64">
        <v>768.6</v>
      </c>
      <c r="AB209" s="65">
        <v>120.991</v>
      </c>
      <c r="AC209" s="66"/>
      <c r="AD209" s="67"/>
      <c r="AE209" s="68"/>
      <c r="AF209" s="48">
        <v>192</v>
      </c>
      <c r="AG209" s="63">
        <v>349</v>
      </c>
      <c r="AH209" s="63">
        <v>76</v>
      </c>
      <c r="AI209" s="63">
        <v>128</v>
      </c>
      <c r="AJ209" s="63">
        <v>105</v>
      </c>
      <c r="AK209" s="63">
        <v>313</v>
      </c>
      <c r="AL209" s="63">
        <v>244</v>
      </c>
      <c r="AM209" s="63">
        <v>141</v>
      </c>
      <c r="AN209" s="63">
        <v>282</v>
      </c>
      <c r="AO209" s="63">
        <v>127</v>
      </c>
      <c r="AP209" s="63">
        <v>150</v>
      </c>
      <c r="AQ209" s="63">
        <v>68</v>
      </c>
      <c r="AR209" s="63">
        <v>11</v>
      </c>
      <c r="AS209" s="63">
        <v>6</v>
      </c>
      <c r="AT209" s="63">
        <v>8</v>
      </c>
      <c r="AU209" s="63">
        <v>55</v>
      </c>
      <c r="AV209" s="63">
        <v>249</v>
      </c>
      <c r="AW209" s="50">
        <v>8</v>
      </c>
      <c r="AX209" s="69">
        <v>3917</v>
      </c>
      <c r="AY209" s="69">
        <v>23833</v>
      </c>
      <c r="AZ209" s="54">
        <v>2697</v>
      </c>
      <c r="BA209" s="54">
        <v>6732</v>
      </c>
      <c r="BB209" s="54">
        <v>265</v>
      </c>
      <c r="BC209" s="54">
        <v>489</v>
      </c>
      <c r="BD209" s="54">
        <v>1243</v>
      </c>
      <c r="BE209" s="70">
        <v>2808</v>
      </c>
      <c r="BF209" s="63">
        <v>642</v>
      </c>
      <c r="BG209" s="71">
        <v>4693</v>
      </c>
      <c r="BH209" s="67"/>
      <c r="BI209" s="68"/>
      <c r="BJ209" s="72">
        <v>1232</v>
      </c>
      <c r="BK209" s="62"/>
      <c r="BL209" s="70">
        <v>2357</v>
      </c>
      <c r="BM209" s="70">
        <v>279</v>
      </c>
      <c r="BN209" s="70">
        <v>173</v>
      </c>
      <c r="BO209" s="70">
        <v>769</v>
      </c>
      <c r="BP209" s="73">
        <v>11</v>
      </c>
      <c r="BQ209" s="74">
        <v>1255</v>
      </c>
      <c r="BR209" s="54">
        <v>340</v>
      </c>
      <c r="BS209" s="75">
        <v>67</v>
      </c>
      <c r="BT209" s="76">
        <v>78.425357873210629</v>
      </c>
      <c r="BU209" s="77">
        <v>21.574642126789367</v>
      </c>
      <c r="BV209" s="78">
        <v>1534</v>
      </c>
      <c r="BW209" s="79">
        <v>422</v>
      </c>
      <c r="BX209" s="69">
        <v>893</v>
      </c>
      <c r="BY209" s="70">
        <v>191</v>
      </c>
      <c r="BZ209" s="70">
        <v>169</v>
      </c>
      <c r="CA209" s="70">
        <v>450</v>
      </c>
      <c r="CB209" s="70">
        <v>9</v>
      </c>
      <c r="CC209" s="70">
        <v>163</v>
      </c>
      <c r="CD209" s="70">
        <v>9</v>
      </c>
      <c r="CE209" s="73">
        <v>72</v>
      </c>
    </row>
    <row r="210" spans="2:83" x14ac:dyDescent="0.3">
      <c r="B210" s="46">
        <v>41</v>
      </c>
      <c r="C210" s="47">
        <v>43382</v>
      </c>
      <c r="D210" s="48">
        <v>25</v>
      </c>
      <c r="E210" s="49">
        <v>1080</v>
      </c>
      <c r="F210" s="50">
        <v>356</v>
      </c>
      <c r="G210" s="51">
        <v>2.8227241615331966</v>
      </c>
      <c r="H210" s="52">
        <v>4.4583783783783781</v>
      </c>
      <c r="I210" s="53">
        <v>925</v>
      </c>
      <c r="J210" s="54">
        <v>1461</v>
      </c>
      <c r="K210" s="54">
        <v>4124</v>
      </c>
      <c r="L210" s="55">
        <v>10718.5</v>
      </c>
      <c r="M210" s="56">
        <v>425.75200000000001</v>
      </c>
      <c r="N210" s="57">
        <v>618.59999999999991</v>
      </c>
      <c r="O210" s="58">
        <v>487.28</v>
      </c>
      <c r="P210" s="59">
        <v>8.4633065178131677</v>
      </c>
      <c r="Q210" s="60">
        <v>623.08000000000004</v>
      </c>
      <c r="R210" s="61">
        <v>6.6187327469987798</v>
      </c>
      <c r="S210" s="48"/>
      <c r="T210" s="50"/>
      <c r="U210" s="62">
        <v>0</v>
      </c>
      <c r="V210" s="63">
        <v>31</v>
      </c>
      <c r="W210" s="50">
        <v>168</v>
      </c>
      <c r="X210" s="48">
        <v>30</v>
      </c>
      <c r="Y210" s="63">
        <v>87</v>
      </c>
      <c r="Z210" s="63">
        <v>413</v>
      </c>
      <c r="AA210" s="64">
        <v>6507.1</v>
      </c>
      <c r="AB210" s="65">
        <v>73.84</v>
      </c>
      <c r="AC210" s="66"/>
      <c r="AD210" s="67"/>
      <c r="AE210" s="68"/>
      <c r="AF210" s="48">
        <v>82</v>
      </c>
      <c r="AG210" s="63">
        <v>120</v>
      </c>
      <c r="AH210" s="63">
        <v>36</v>
      </c>
      <c r="AI210" s="63">
        <v>60</v>
      </c>
      <c r="AJ210" s="63">
        <v>57</v>
      </c>
      <c r="AK210" s="63">
        <v>171</v>
      </c>
      <c r="AL210" s="63">
        <v>83</v>
      </c>
      <c r="AM210" s="63">
        <v>82</v>
      </c>
      <c r="AN210" s="63">
        <v>154</v>
      </c>
      <c r="AO210" s="63">
        <v>94</v>
      </c>
      <c r="AP210" s="63">
        <v>73</v>
      </c>
      <c r="AQ210" s="63">
        <v>51</v>
      </c>
      <c r="AR210" s="63">
        <v>1</v>
      </c>
      <c r="AS210" s="63">
        <v>1</v>
      </c>
      <c r="AT210" s="63">
        <v>1</v>
      </c>
      <c r="AU210" s="63">
        <v>47</v>
      </c>
      <c r="AV210" s="63">
        <v>280</v>
      </c>
      <c r="AW210" s="50">
        <v>29</v>
      </c>
      <c r="AX210" s="69">
        <v>3093</v>
      </c>
      <c r="AY210" s="69">
        <v>28353</v>
      </c>
      <c r="AZ210" s="54">
        <v>2008</v>
      </c>
      <c r="BA210" s="54">
        <v>11416</v>
      </c>
      <c r="BB210" s="54">
        <v>111</v>
      </c>
      <c r="BC210" s="54">
        <v>160</v>
      </c>
      <c r="BD210" s="54">
        <v>977</v>
      </c>
      <c r="BE210" s="70">
        <v>1372</v>
      </c>
      <c r="BF210" s="63">
        <v>332</v>
      </c>
      <c r="BG210" s="71">
        <v>2681</v>
      </c>
      <c r="BH210" s="67"/>
      <c r="BI210" s="68"/>
      <c r="BJ210" s="72">
        <v>1048</v>
      </c>
      <c r="BK210" s="62"/>
      <c r="BL210" s="70">
        <v>1766</v>
      </c>
      <c r="BM210" s="70">
        <v>238</v>
      </c>
      <c r="BN210" s="70">
        <v>219</v>
      </c>
      <c r="BO210" s="70">
        <v>571</v>
      </c>
      <c r="BP210" s="73">
        <v>20</v>
      </c>
      <c r="BQ210" s="74">
        <v>534</v>
      </c>
      <c r="BR210" s="54">
        <v>200</v>
      </c>
      <c r="BS210" s="75">
        <v>112</v>
      </c>
      <c r="BT210" s="76">
        <v>77.13310580204778</v>
      </c>
      <c r="BU210" s="77">
        <v>22.866894197952217</v>
      </c>
      <c r="BV210" s="78">
        <v>678</v>
      </c>
      <c r="BW210" s="79">
        <v>201</v>
      </c>
      <c r="BX210" s="69">
        <v>411</v>
      </c>
      <c r="BY210" s="70">
        <v>102</v>
      </c>
      <c r="BZ210" s="70">
        <v>90</v>
      </c>
      <c r="CA210" s="70">
        <v>165</v>
      </c>
      <c r="CB210" s="70">
        <v>6</v>
      </c>
      <c r="CC210" s="70">
        <v>84</v>
      </c>
      <c r="CD210" s="70">
        <v>5</v>
      </c>
      <c r="CE210" s="73">
        <v>16</v>
      </c>
    </row>
    <row r="211" spans="2:83" x14ac:dyDescent="0.3">
      <c r="B211" s="46">
        <v>41</v>
      </c>
      <c r="C211" s="47">
        <v>43383</v>
      </c>
      <c r="D211" s="48">
        <v>25</v>
      </c>
      <c r="E211" s="49">
        <v>1271</v>
      </c>
      <c r="F211" s="50">
        <v>482</v>
      </c>
      <c r="G211" s="51">
        <v>3.5933633295838021</v>
      </c>
      <c r="H211" s="52">
        <v>5.9654528478057891</v>
      </c>
      <c r="I211" s="53">
        <v>1071</v>
      </c>
      <c r="J211" s="54">
        <v>1778</v>
      </c>
      <c r="K211" s="54">
        <v>6389</v>
      </c>
      <c r="L211" s="55">
        <v>6178</v>
      </c>
      <c r="M211" s="56">
        <v>409.75299999999999</v>
      </c>
      <c r="N211" s="57">
        <v>958.35</v>
      </c>
      <c r="O211" s="58">
        <v>566</v>
      </c>
      <c r="P211" s="59">
        <v>11.287985865724382</v>
      </c>
      <c r="Q211" s="60">
        <v>717.84999999999991</v>
      </c>
      <c r="R211" s="61">
        <v>8.9001880615727522</v>
      </c>
      <c r="S211" s="48"/>
      <c r="T211" s="50"/>
      <c r="U211" s="62">
        <v>0</v>
      </c>
      <c r="V211" s="63">
        <v>65</v>
      </c>
      <c r="W211" s="50">
        <v>220</v>
      </c>
      <c r="X211" s="48">
        <v>36</v>
      </c>
      <c r="Y211" s="63">
        <v>117</v>
      </c>
      <c r="Z211" s="63">
        <v>109</v>
      </c>
      <c r="AA211" s="64">
        <v>745.8</v>
      </c>
      <c r="AB211" s="65">
        <v>63.892000000000003</v>
      </c>
      <c r="AC211" s="66"/>
      <c r="AD211" s="67"/>
      <c r="AE211" s="68"/>
      <c r="AF211" s="48">
        <v>96</v>
      </c>
      <c r="AG211" s="63">
        <v>202</v>
      </c>
      <c r="AH211" s="63">
        <v>47</v>
      </c>
      <c r="AI211" s="63">
        <v>78</v>
      </c>
      <c r="AJ211" s="63">
        <v>61</v>
      </c>
      <c r="AK211" s="63">
        <v>112</v>
      </c>
      <c r="AL211" s="63">
        <v>117</v>
      </c>
      <c r="AM211" s="63">
        <v>60</v>
      </c>
      <c r="AN211" s="63">
        <v>275</v>
      </c>
      <c r="AO211" s="63">
        <v>64</v>
      </c>
      <c r="AP211" s="63">
        <v>86</v>
      </c>
      <c r="AQ211" s="63">
        <v>48</v>
      </c>
      <c r="AR211" s="63">
        <v>0</v>
      </c>
      <c r="AS211" s="63">
        <v>0</v>
      </c>
      <c r="AT211" s="63">
        <v>2</v>
      </c>
      <c r="AU211" s="63">
        <v>104</v>
      </c>
      <c r="AV211" s="63">
        <v>346</v>
      </c>
      <c r="AW211" s="50">
        <v>29</v>
      </c>
      <c r="AX211" s="69">
        <v>4182</v>
      </c>
      <c r="AY211" s="69">
        <v>25254</v>
      </c>
      <c r="AZ211" s="54">
        <v>1850</v>
      </c>
      <c r="BA211" s="54">
        <v>6831</v>
      </c>
      <c r="BB211" s="54">
        <v>379</v>
      </c>
      <c r="BC211" s="54">
        <v>795</v>
      </c>
      <c r="BD211" s="54">
        <v>1092</v>
      </c>
      <c r="BE211" s="70">
        <v>2577</v>
      </c>
      <c r="BF211" s="63">
        <v>357</v>
      </c>
      <c r="BG211" s="71">
        <v>4026</v>
      </c>
      <c r="BH211" s="67"/>
      <c r="BI211" s="68"/>
      <c r="BJ211" s="72">
        <v>1217</v>
      </c>
      <c r="BK211" s="62"/>
      <c r="BL211" s="70">
        <v>1747</v>
      </c>
      <c r="BM211" s="70">
        <v>266</v>
      </c>
      <c r="BN211" s="70">
        <v>159</v>
      </c>
      <c r="BO211" s="70">
        <v>755</v>
      </c>
      <c r="BP211" s="73">
        <v>37</v>
      </c>
      <c r="BQ211" s="74">
        <v>576</v>
      </c>
      <c r="BR211" s="54">
        <v>274</v>
      </c>
      <c r="BS211" s="75">
        <v>99</v>
      </c>
      <c r="BT211" s="76">
        <v>80.476190476190482</v>
      </c>
      <c r="BU211" s="77">
        <v>19.523809523809526</v>
      </c>
      <c r="BV211" s="78">
        <v>845</v>
      </c>
      <c r="BW211" s="79">
        <v>205</v>
      </c>
      <c r="BX211" s="69">
        <v>546</v>
      </c>
      <c r="BY211" s="70">
        <v>141</v>
      </c>
      <c r="BZ211" s="70">
        <v>117</v>
      </c>
      <c r="CA211" s="70">
        <v>158</v>
      </c>
      <c r="CB211" s="70">
        <v>3</v>
      </c>
      <c r="CC211" s="70">
        <v>78</v>
      </c>
      <c r="CD211" s="70">
        <v>7</v>
      </c>
      <c r="CE211" s="73">
        <v>0</v>
      </c>
    </row>
    <row r="212" spans="2:83" x14ac:dyDescent="0.3">
      <c r="B212" s="46">
        <v>41</v>
      </c>
      <c r="C212" s="47">
        <v>43384</v>
      </c>
      <c r="D212" s="48">
        <v>59</v>
      </c>
      <c r="E212" s="49">
        <v>1190</v>
      </c>
      <c r="F212" s="50">
        <v>537</v>
      </c>
      <c r="G212" s="51">
        <v>3.7301231802911534</v>
      </c>
      <c r="H212" s="52">
        <v>7.6399082568807337</v>
      </c>
      <c r="I212" s="53">
        <v>872</v>
      </c>
      <c r="J212" s="54">
        <v>1786</v>
      </c>
      <c r="K212" s="54">
        <v>6662</v>
      </c>
      <c r="L212" s="55">
        <v>7546.4</v>
      </c>
      <c r="M212" s="56">
        <v>781.61800000000005</v>
      </c>
      <c r="N212" s="57">
        <v>999.3</v>
      </c>
      <c r="O212" s="58">
        <v>631.04</v>
      </c>
      <c r="P212" s="59">
        <v>10.557175456389453</v>
      </c>
      <c r="Q212" s="60">
        <v>796.88</v>
      </c>
      <c r="R212" s="61">
        <v>8.3601044071880342</v>
      </c>
      <c r="S212" s="48"/>
      <c r="T212" s="50"/>
      <c r="U212" s="62">
        <v>0</v>
      </c>
      <c r="V212" s="63">
        <v>76</v>
      </c>
      <c r="W212" s="50">
        <v>129</v>
      </c>
      <c r="X212" s="48">
        <v>36</v>
      </c>
      <c r="Y212" s="63">
        <v>225</v>
      </c>
      <c r="Z212" s="63">
        <v>349</v>
      </c>
      <c r="AA212" s="64">
        <v>1441.9</v>
      </c>
      <c r="AB212" s="65">
        <v>130.577</v>
      </c>
      <c r="AC212" s="66"/>
      <c r="AD212" s="67"/>
      <c r="AE212" s="68"/>
      <c r="AF212" s="48">
        <v>50</v>
      </c>
      <c r="AG212" s="63">
        <v>97</v>
      </c>
      <c r="AH212" s="63">
        <v>27</v>
      </c>
      <c r="AI212" s="63">
        <v>41</v>
      </c>
      <c r="AJ212" s="63">
        <v>21</v>
      </c>
      <c r="AK212" s="63">
        <v>88</v>
      </c>
      <c r="AL212" s="63">
        <v>71</v>
      </c>
      <c r="AM212" s="63">
        <v>99</v>
      </c>
      <c r="AN212" s="63">
        <v>293</v>
      </c>
      <c r="AO212" s="63">
        <v>118</v>
      </c>
      <c r="AP212" s="63">
        <v>133</v>
      </c>
      <c r="AQ212" s="63">
        <v>127</v>
      </c>
      <c r="AR212" s="63">
        <v>3</v>
      </c>
      <c r="AS212" s="63">
        <v>1</v>
      </c>
      <c r="AT212" s="63">
        <v>8</v>
      </c>
      <c r="AU212" s="63">
        <v>157</v>
      </c>
      <c r="AV212" s="63">
        <v>370</v>
      </c>
      <c r="AW212" s="50">
        <v>10</v>
      </c>
      <c r="AX212" s="69">
        <v>3655</v>
      </c>
      <c r="AY212" s="69">
        <v>26171</v>
      </c>
      <c r="AZ212" s="54">
        <v>1637</v>
      </c>
      <c r="BA212" s="54">
        <v>7897</v>
      </c>
      <c r="BB212" s="54">
        <v>160</v>
      </c>
      <c r="BC212" s="54">
        <v>351</v>
      </c>
      <c r="BD212" s="54">
        <v>903</v>
      </c>
      <c r="BE212" s="70">
        <v>2150</v>
      </c>
      <c r="BF212" s="63">
        <v>342</v>
      </c>
      <c r="BG212" s="71">
        <v>3395</v>
      </c>
      <c r="BH212" s="67"/>
      <c r="BI212" s="68"/>
      <c r="BJ212" s="72">
        <v>1368</v>
      </c>
      <c r="BK212" s="62"/>
      <c r="BL212" s="70">
        <v>1970</v>
      </c>
      <c r="BM212" s="70">
        <v>297</v>
      </c>
      <c r="BN212" s="70">
        <v>249</v>
      </c>
      <c r="BO212" s="70">
        <v>783</v>
      </c>
      <c r="BP212" s="73">
        <v>39</v>
      </c>
      <c r="BQ212" s="74">
        <v>400</v>
      </c>
      <c r="BR212" s="54">
        <v>207</v>
      </c>
      <c r="BS212" s="75">
        <v>67</v>
      </c>
      <c r="BT212" s="76">
        <v>63.388625592417064</v>
      </c>
      <c r="BU212" s="77">
        <v>36.611374407582936</v>
      </c>
      <c r="BV212" s="78">
        <v>535</v>
      </c>
      <c r="BW212" s="79">
        <v>309</v>
      </c>
      <c r="BX212" s="69">
        <v>258</v>
      </c>
      <c r="BY212" s="70">
        <v>78</v>
      </c>
      <c r="BZ212" s="70">
        <v>152</v>
      </c>
      <c r="CA212" s="70">
        <v>199</v>
      </c>
      <c r="CB212" s="70">
        <v>16</v>
      </c>
      <c r="CC212" s="70">
        <v>130</v>
      </c>
      <c r="CD212" s="70">
        <v>11</v>
      </c>
      <c r="CE212" s="73">
        <v>0</v>
      </c>
    </row>
    <row r="213" spans="2:83" x14ac:dyDescent="0.3">
      <c r="B213" s="46">
        <v>41</v>
      </c>
      <c r="C213" s="47">
        <v>43385</v>
      </c>
      <c r="D213" s="48">
        <v>27</v>
      </c>
      <c r="E213" s="49">
        <v>1320</v>
      </c>
      <c r="F213" s="50">
        <v>417</v>
      </c>
      <c r="G213" s="51">
        <v>4.3299319727891152</v>
      </c>
      <c r="H213" s="52">
        <v>7.3160919540229887</v>
      </c>
      <c r="I213" s="53">
        <v>1044</v>
      </c>
      <c r="J213" s="54">
        <v>1764</v>
      </c>
      <c r="K213" s="54">
        <v>7638</v>
      </c>
      <c r="L213" s="55">
        <v>8062.2</v>
      </c>
      <c r="M213" s="56">
        <v>960.58699999999999</v>
      </c>
      <c r="N213" s="57">
        <v>1145.7</v>
      </c>
      <c r="O213" s="58">
        <v>575.01</v>
      </c>
      <c r="P213" s="59">
        <v>13.28324724787395</v>
      </c>
      <c r="Q213" s="60">
        <v>735.13</v>
      </c>
      <c r="R213" s="61">
        <v>10.389999047787466</v>
      </c>
      <c r="S213" s="48"/>
      <c r="T213" s="50"/>
      <c r="U213" s="62">
        <v>0</v>
      </c>
      <c r="V213" s="63">
        <v>48</v>
      </c>
      <c r="W213" s="50">
        <v>75</v>
      </c>
      <c r="X213" s="48">
        <v>53</v>
      </c>
      <c r="Y213" s="63">
        <v>341</v>
      </c>
      <c r="Z213" s="63">
        <v>188</v>
      </c>
      <c r="AA213" s="64">
        <v>1064.8</v>
      </c>
      <c r="AB213" s="65">
        <v>237.005</v>
      </c>
      <c r="AC213" s="66"/>
      <c r="AD213" s="67"/>
      <c r="AE213" s="68"/>
      <c r="AF213" s="48">
        <v>79</v>
      </c>
      <c r="AG213" s="63">
        <v>135</v>
      </c>
      <c r="AH213" s="63">
        <v>31</v>
      </c>
      <c r="AI213" s="63">
        <v>53</v>
      </c>
      <c r="AJ213" s="63">
        <v>45</v>
      </c>
      <c r="AK213" s="63">
        <v>139</v>
      </c>
      <c r="AL213" s="63">
        <v>107</v>
      </c>
      <c r="AM213" s="63">
        <v>87</v>
      </c>
      <c r="AN213" s="63">
        <v>329</v>
      </c>
      <c r="AO213" s="63">
        <v>91</v>
      </c>
      <c r="AP213" s="63">
        <v>84</v>
      </c>
      <c r="AQ213" s="63">
        <v>106</v>
      </c>
      <c r="AR213" s="63">
        <v>0</v>
      </c>
      <c r="AS213" s="63">
        <v>2</v>
      </c>
      <c r="AT213" s="63">
        <v>3</v>
      </c>
      <c r="AU213" s="63">
        <v>208</v>
      </c>
      <c r="AV213" s="63">
        <v>194</v>
      </c>
      <c r="AW213" s="50">
        <v>15</v>
      </c>
      <c r="AX213" s="69">
        <v>3435</v>
      </c>
      <c r="AY213" s="69">
        <v>31262</v>
      </c>
      <c r="AZ213" s="54">
        <v>1571</v>
      </c>
      <c r="BA213" s="54">
        <v>5359</v>
      </c>
      <c r="BB213" s="54">
        <v>179</v>
      </c>
      <c r="BC213" s="54">
        <v>421</v>
      </c>
      <c r="BD213" s="54">
        <v>1030</v>
      </c>
      <c r="BE213" s="70">
        <v>1970</v>
      </c>
      <c r="BF213" s="63">
        <v>277</v>
      </c>
      <c r="BG213" s="71">
        <v>3277</v>
      </c>
      <c r="BH213" s="67"/>
      <c r="BI213" s="68"/>
      <c r="BJ213" s="72">
        <v>2264</v>
      </c>
      <c r="BK213" s="62"/>
      <c r="BL213" s="70">
        <v>2146</v>
      </c>
      <c r="BM213" s="70">
        <v>290</v>
      </c>
      <c r="BN213" s="70">
        <v>187</v>
      </c>
      <c r="BO213" s="70">
        <v>1772</v>
      </c>
      <c r="BP213" s="73">
        <v>15</v>
      </c>
      <c r="BQ213" s="74">
        <v>525</v>
      </c>
      <c r="BR213" s="54">
        <v>269</v>
      </c>
      <c r="BS213" s="75">
        <v>124</v>
      </c>
      <c r="BT213" s="76">
        <v>70.498084291187737</v>
      </c>
      <c r="BU213" s="77">
        <v>29.501915708812259</v>
      </c>
      <c r="BV213" s="78">
        <v>736</v>
      </c>
      <c r="BW213" s="79">
        <v>308</v>
      </c>
      <c r="BX213" s="69">
        <v>436</v>
      </c>
      <c r="BY213" s="70">
        <v>118</v>
      </c>
      <c r="BZ213" s="70">
        <v>161</v>
      </c>
      <c r="CA213" s="70">
        <v>182</v>
      </c>
      <c r="CB213" s="70">
        <v>9</v>
      </c>
      <c r="CC213" s="70">
        <v>117</v>
      </c>
      <c r="CD213" s="70">
        <v>6</v>
      </c>
      <c r="CE213" s="73">
        <v>15</v>
      </c>
    </row>
    <row r="214" spans="2:83" x14ac:dyDescent="0.3">
      <c r="B214" s="46">
        <v>41</v>
      </c>
      <c r="C214" s="47">
        <v>43386</v>
      </c>
      <c r="D214" s="48">
        <v>8</v>
      </c>
      <c r="E214" s="49">
        <v>266</v>
      </c>
      <c r="F214" s="50">
        <v>114</v>
      </c>
      <c r="G214" s="51">
        <v>4.7621052631578946</v>
      </c>
      <c r="H214" s="52">
        <v>9.0843373493975896</v>
      </c>
      <c r="I214" s="53">
        <v>249</v>
      </c>
      <c r="J214" s="54">
        <v>475</v>
      </c>
      <c r="K214" s="54">
        <v>2262</v>
      </c>
      <c r="L214" s="55">
        <v>2703.3</v>
      </c>
      <c r="M214" s="56">
        <v>300.54000000000002</v>
      </c>
      <c r="N214" s="57">
        <v>339.3</v>
      </c>
      <c r="O214" s="58">
        <v>171.8</v>
      </c>
      <c r="P214" s="59">
        <v>13.166472642607683</v>
      </c>
      <c r="Q214" s="60">
        <v>213.89000000000001</v>
      </c>
      <c r="R214" s="61">
        <v>10.575529477768946</v>
      </c>
      <c r="S214" s="48"/>
      <c r="T214" s="50"/>
      <c r="U214" s="62">
        <v>0</v>
      </c>
      <c r="V214" s="63">
        <v>13</v>
      </c>
      <c r="W214" s="50">
        <v>27</v>
      </c>
      <c r="X214" s="48">
        <v>26</v>
      </c>
      <c r="Y214" s="63">
        <v>105</v>
      </c>
      <c r="Z214" s="63">
        <v>464</v>
      </c>
      <c r="AA214" s="64">
        <v>1042.9000000000001</v>
      </c>
      <c r="AB214" s="65">
        <v>121.535</v>
      </c>
      <c r="AC214" s="66"/>
      <c r="AD214" s="67"/>
      <c r="AE214" s="68"/>
      <c r="AF214" s="48">
        <v>15</v>
      </c>
      <c r="AG214" s="63">
        <v>22</v>
      </c>
      <c r="AH214" s="63">
        <v>12</v>
      </c>
      <c r="AI214" s="63">
        <v>8</v>
      </c>
      <c r="AJ214" s="63">
        <v>7</v>
      </c>
      <c r="AK214" s="63">
        <v>18</v>
      </c>
      <c r="AL214" s="63">
        <v>21</v>
      </c>
      <c r="AM214" s="63">
        <v>19</v>
      </c>
      <c r="AN214" s="63">
        <v>42</v>
      </c>
      <c r="AO214" s="63">
        <v>26</v>
      </c>
      <c r="AP214" s="63">
        <v>34</v>
      </c>
      <c r="AQ214" s="63">
        <v>41</v>
      </c>
      <c r="AR214" s="63">
        <v>0</v>
      </c>
      <c r="AS214" s="63">
        <v>0</v>
      </c>
      <c r="AT214" s="63">
        <v>0</v>
      </c>
      <c r="AU214" s="63">
        <v>53</v>
      </c>
      <c r="AV214" s="63">
        <v>57</v>
      </c>
      <c r="AW214" s="50">
        <v>4</v>
      </c>
      <c r="AX214" s="69">
        <v>2446</v>
      </c>
      <c r="AY214" s="69">
        <v>10167</v>
      </c>
      <c r="AZ214" s="54">
        <v>531</v>
      </c>
      <c r="BA214" s="54">
        <v>2566</v>
      </c>
      <c r="BB214" s="54">
        <v>157</v>
      </c>
      <c r="BC214" s="54">
        <v>338</v>
      </c>
      <c r="BD214" s="54">
        <v>606</v>
      </c>
      <c r="BE214" s="70">
        <v>255</v>
      </c>
      <c r="BF214" s="63">
        <v>96</v>
      </c>
      <c r="BG214" s="71">
        <v>957</v>
      </c>
      <c r="BH214" s="67"/>
      <c r="BI214" s="68"/>
      <c r="BJ214" s="72">
        <v>728</v>
      </c>
      <c r="BK214" s="62"/>
      <c r="BL214" s="70">
        <v>601</v>
      </c>
      <c r="BM214" s="70">
        <v>10</v>
      </c>
      <c r="BN214" s="70">
        <v>70</v>
      </c>
      <c r="BO214" s="70">
        <v>640</v>
      </c>
      <c r="BP214" s="73">
        <v>8</v>
      </c>
      <c r="BQ214" s="74">
        <v>89</v>
      </c>
      <c r="BR214" s="54">
        <v>55</v>
      </c>
      <c r="BS214" s="75">
        <v>30</v>
      </c>
      <c r="BT214" s="76">
        <v>53.012048192771083</v>
      </c>
      <c r="BU214" s="77">
        <v>46.987951807228917</v>
      </c>
      <c r="BV214" s="78">
        <v>132</v>
      </c>
      <c r="BW214" s="79">
        <v>117</v>
      </c>
      <c r="BX214" s="69">
        <v>75</v>
      </c>
      <c r="BY214" s="70">
        <v>25</v>
      </c>
      <c r="BZ214" s="70">
        <v>67</v>
      </c>
      <c r="CA214" s="70">
        <v>32</v>
      </c>
      <c r="CB214" s="70">
        <v>3</v>
      </c>
      <c r="CC214" s="70">
        <v>21</v>
      </c>
      <c r="CD214" s="70">
        <v>2</v>
      </c>
      <c r="CE214" s="73">
        <v>24</v>
      </c>
    </row>
    <row r="215" spans="2:83" x14ac:dyDescent="0.3">
      <c r="B215" s="46">
        <v>42</v>
      </c>
      <c r="C215" s="47">
        <v>43388</v>
      </c>
      <c r="D215" s="48">
        <v>23</v>
      </c>
      <c r="E215" s="49">
        <v>2476</v>
      </c>
      <c r="F215" s="50">
        <v>359</v>
      </c>
      <c r="G215" s="51">
        <v>3.4472913616398242</v>
      </c>
      <c r="H215" s="52">
        <v>4.7904374364191256</v>
      </c>
      <c r="I215" s="53">
        <v>1966</v>
      </c>
      <c r="J215" s="54">
        <v>2732</v>
      </c>
      <c r="K215" s="54">
        <v>9418</v>
      </c>
      <c r="L215" s="55">
        <v>6801.7</v>
      </c>
      <c r="M215" s="56">
        <v>521.99800000000005</v>
      </c>
      <c r="N215" s="57">
        <v>1412.6999999999998</v>
      </c>
      <c r="O215" s="58">
        <v>714.06000000000006</v>
      </c>
      <c r="P215" s="59">
        <v>13.189367840237514</v>
      </c>
      <c r="Q215" s="60">
        <v>878.87000000000012</v>
      </c>
      <c r="R215" s="61">
        <v>10.716033087942471</v>
      </c>
      <c r="S215" s="48"/>
      <c r="T215" s="50"/>
      <c r="U215" s="62">
        <v>0</v>
      </c>
      <c r="V215" s="63">
        <v>65</v>
      </c>
      <c r="W215" s="50">
        <v>122</v>
      </c>
      <c r="X215" s="48">
        <v>49</v>
      </c>
      <c r="Y215" s="63">
        <v>185</v>
      </c>
      <c r="Z215" s="63">
        <v>201</v>
      </c>
      <c r="AA215" s="64">
        <v>2040.7</v>
      </c>
      <c r="AB215" s="65">
        <v>164.78200000000001</v>
      </c>
      <c r="AC215" s="66"/>
      <c r="AD215" s="67"/>
      <c r="AE215" s="68"/>
      <c r="AF215" s="48">
        <v>165</v>
      </c>
      <c r="AG215" s="63">
        <v>326</v>
      </c>
      <c r="AH215" s="63">
        <v>83</v>
      </c>
      <c r="AI215" s="63">
        <v>120</v>
      </c>
      <c r="AJ215" s="63">
        <v>81</v>
      </c>
      <c r="AK215" s="63">
        <v>287</v>
      </c>
      <c r="AL215" s="63">
        <v>257</v>
      </c>
      <c r="AM215" s="63">
        <v>151</v>
      </c>
      <c r="AN215" s="63">
        <v>424</v>
      </c>
      <c r="AO215" s="63">
        <v>148</v>
      </c>
      <c r="AP215" s="63">
        <v>185</v>
      </c>
      <c r="AQ215" s="63">
        <v>170</v>
      </c>
      <c r="AR215" s="63">
        <v>8</v>
      </c>
      <c r="AS215" s="63">
        <v>1</v>
      </c>
      <c r="AT215" s="63">
        <v>15</v>
      </c>
      <c r="AU215" s="63">
        <v>101</v>
      </c>
      <c r="AV215" s="63">
        <v>243</v>
      </c>
      <c r="AW215" s="50">
        <v>12</v>
      </c>
      <c r="AX215" s="69">
        <v>4057</v>
      </c>
      <c r="AY215" s="69">
        <v>30300</v>
      </c>
      <c r="AZ215" s="54">
        <v>2712</v>
      </c>
      <c r="BA215" s="54">
        <v>6233</v>
      </c>
      <c r="BB215" s="54">
        <v>584</v>
      </c>
      <c r="BC215" s="54">
        <v>340</v>
      </c>
      <c r="BD215" s="54">
        <v>1227</v>
      </c>
      <c r="BE215" s="70">
        <v>3339</v>
      </c>
      <c r="BF215" s="63">
        <v>585</v>
      </c>
      <c r="BG215" s="71">
        <v>5151</v>
      </c>
      <c r="BH215" s="67"/>
      <c r="BI215" s="68"/>
      <c r="BJ215" s="72">
        <v>2147</v>
      </c>
      <c r="BK215" s="62"/>
      <c r="BL215" s="70">
        <v>2407</v>
      </c>
      <c r="BM215" s="70">
        <v>266</v>
      </c>
      <c r="BN215" s="70">
        <v>203</v>
      </c>
      <c r="BO215" s="70">
        <v>1661</v>
      </c>
      <c r="BP215" s="73">
        <v>17</v>
      </c>
      <c r="BQ215" s="74">
        <v>1175</v>
      </c>
      <c r="BR215" s="54">
        <v>467</v>
      </c>
      <c r="BS215" s="75">
        <v>80</v>
      </c>
      <c r="BT215" s="76">
        <v>76.275510204081627</v>
      </c>
      <c r="BU215" s="77">
        <v>23.724489795918366</v>
      </c>
      <c r="BV215" s="78">
        <v>1495</v>
      </c>
      <c r="BW215" s="79">
        <v>465</v>
      </c>
      <c r="BX215" s="69">
        <v>856</v>
      </c>
      <c r="BY215" s="70">
        <v>241</v>
      </c>
      <c r="BZ215" s="70">
        <v>231</v>
      </c>
      <c r="CA215" s="70">
        <v>398</v>
      </c>
      <c r="CB215" s="70">
        <v>14</v>
      </c>
      <c r="CC215" s="70">
        <v>158</v>
      </c>
      <c r="CD215" s="70">
        <v>14</v>
      </c>
      <c r="CE215" s="73">
        <v>48</v>
      </c>
    </row>
    <row r="216" spans="2:83" x14ac:dyDescent="0.3">
      <c r="B216" s="46">
        <v>42</v>
      </c>
      <c r="C216" s="47">
        <v>43389</v>
      </c>
      <c r="D216" s="48">
        <v>41</v>
      </c>
      <c r="E216" s="49">
        <v>1224</v>
      </c>
      <c r="F216" s="50">
        <v>384</v>
      </c>
      <c r="G216" s="51">
        <v>4.5517027863777093</v>
      </c>
      <c r="H216" s="52">
        <v>6.9153339604891819</v>
      </c>
      <c r="I216" s="53">
        <v>1063</v>
      </c>
      <c r="J216" s="54">
        <v>1615</v>
      </c>
      <c r="K216" s="54">
        <v>7351</v>
      </c>
      <c r="L216" s="55">
        <v>6774.1</v>
      </c>
      <c r="M216" s="56">
        <v>570.18899999999996</v>
      </c>
      <c r="N216" s="57">
        <v>1102.6500000000001</v>
      </c>
      <c r="O216" s="58">
        <v>682.92000000000007</v>
      </c>
      <c r="P216" s="59">
        <v>10.764071926433548</v>
      </c>
      <c r="Q216" s="60">
        <v>846.28</v>
      </c>
      <c r="R216" s="61">
        <v>8.6862504135747045</v>
      </c>
      <c r="S216" s="48"/>
      <c r="T216" s="50"/>
      <c r="U216" s="62">
        <v>0</v>
      </c>
      <c r="V216" s="63">
        <v>67</v>
      </c>
      <c r="W216" s="50">
        <v>64</v>
      </c>
      <c r="X216" s="48">
        <v>52</v>
      </c>
      <c r="Y216" s="63">
        <v>95</v>
      </c>
      <c r="Z216" s="63">
        <v>271</v>
      </c>
      <c r="AA216" s="64">
        <v>672.9</v>
      </c>
      <c r="AB216" s="65">
        <v>41.286000000000001</v>
      </c>
      <c r="AC216" s="66"/>
      <c r="AD216" s="67"/>
      <c r="AE216" s="68"/>
      <c r="AF216" s="48">
        <v>97</v>
      </c>
      <c r="AG216" s="63">
        <v>184</v>
      </c>
      <c r="AH216" s="63">
        <v>44</v>
      </c>
      <c r="AI216" s="63">
        <v>48</v>
      </c>
      <c r="AJ216" s="63">
        <v>38</v>
      </c>
      <c r="AK216" s="63">
        <v>136</v>
      </c>
      <c r="AL216" s="63">
        <v>97</v>
      </c>
      <c r="AM216" s="63">
        <v>97</v>
      </c>
      <c r="AN216" s="63">
        <v>200</v>
      </c>
      <c r="AO216" s="63">
        <v>63</v>
      </c>
      <c r="AP216" s="63">
        <v>75</v>
      </c>
      <c r="AQ216" s="63">
        <v>107</v>
      </c>
      <c r="AR216" s="63">
        <v>5</v>
      </c>
      <c r="AS216" s="63">
        <v>1</v>
      </c>
      <c r="AT216" s="63">
        <v>6</v>
      </c>
      <c r="AU216" s="63">
        <v>79</v>
      </c>
      <c r="AV216" s="63">
        <v>280</v>
      </c>
      <c r="AW216" s="50">
        <v>13</v>
      </c>
      <c r="AX216" s="69">
        <v>4933</v>
      </c>
      <c r="AY216" s="69">
        <v>37689</v>
      </c>
      <c r="AZ216" s="54">
        <v>1976</v>
      </c>
      <c r="BA216" s="54">
        <v>6594</v>
      </c>
      <c r="BB216" s="54">
        <v>140</v>
      </c>
      <c r="BC216" s="54">
        <v>306</v>
      </c>
      <c r="BD216" s="54">
        <v>1259</v>
      </c>
      <c r="BE216" s="70">
        <v>2202</v>
      </c>
      <c r="BF216" s="63">
        <v>282</v>
      </c>
      <c r="BG216" s="71">
        <v>3743</v>
      </c>
      <c r="BH216" s="67"/>
      <c r="BI216" s="68"/>
      <c r="BJ216" s="72">
        <v>2149</v>
      </c>
      <c r="BK216" s="62"/>
      <c r="BL216" s="70">
        <v>2433</v>
      </c>
      <c r="BM216" s="70">
        <v>250</v>
      </c>
      <c r="BN216" s="70">
        <v>198</v>
      </c>
      <c r="BO216" s="70">
        <v>1658</v>
      </c>
      <c r="BP216" s="73">
        <v>43</v>
      </c>
      <c r="BQ216" s="74">
        <v>551</v>
      </c>
      <c r="BR216" s="54">
        <v>170</v>
      </c>
      <c r="BS216" s="75">
        <v>152</v>
      </c>
      <c r="BT216" s="76">
        <v>74.181117533718691</v>
      </c>
      <c r="BU216" s="77">
        <v>25.818882466281309</v>
      </c>
      <c r="BV216" s="78">
        <v>770</v>
      </c>
      <c r="BW216" s="79">
        <v>268</v>
      </c>
      <c r="BX216" s="69">
        <v>425</v>
      </c>
      <c r="BY216" s="70">
        <v>102</v>
      </c>
      <c r="BZ216" s="70">
        <v>115</v>
      </c>
      <c r="CA216" s="70">
        <v>243</v>
      </c>
      <c r="CB216" s="70">
        <v>3</v>
      </c>
      <c r="CC216" s="70">
        <v>128</v>
      </c>
      <c r="CD216" s="70">
        <v>8</v>
      </c>
      <c r="CE216" s="73">
        <v>14</v>
      </c>
    </row>
    <row r="217" spans="2:83" x14ac:dyDescent="0.3">
      <c r="B217" s="46">
        <v>42</v>
      </c>
      <c r="C217" s="47">
        <v>43390</v>
      </c>
      <c r="D217" s="48">
        <v>58</v>
      </c>
      <c r="E217" s="49">
        <v>1400</v>
      </c>
      <c r="F217" s="50">
        <v>411</v>
      </c>
      <c r="G217" s="51">
        <v>4.1237993596584843</v>
      </c>
      <c r="H217" s="52">
        <v>7.0575342465753428</v>
      </c>
      <c r="I217" s="53">
        <v>1095</v>
      </c>
      <c r="J217" s="54">
        <v>1874</v>
      </c>
      <c r="K217" s="54">
        <v>7728</v>
      </c>
      <c r="L217" s="55">
        <v>7605.9</v>
      </c>
      <c r="M217" s="56">
        <v>765.78399999999999</v>
      </c>
      <c r="N217" s="57">
        <v>1159.2</v>
      </c>
      <c r="O217" s="58">
        <v>646.34</v>
      </c>
      <c r="P217" s="59">
        <v>11.95655537333292</v>
      </c>
      <c r="Q217" s="60">
        <v>819.24</v>
      </c>
      <c r="R217" s="61">
        <v>9.4331331477955178</v>
      </c>
      <c r="S217" s="48"/>
      <c r="T217" s="50"/>
      <c r="U217" s="62">
        <v>0</v>
      </c>
      <c r="V217" s="63">
        <v>99</v>
      </c>
      <c r="W217" s="50">
        <v>91</v>
      </c>
      <c r="X217" s="48">
        <v>43</v>
      </c>
      <c r="Y217" s="63">
        <v>181</v>
      </c>
      <c r="Z217" s="63">
        <v>402</v>
      </c>
      <c r="AA217" s="64">
        <v>1166.9000000000001</v>
      </c>
      <c r="AB217" s="65">
        <v>131.108</v>
      </c>
      <c r="AC217" s="66"/>
      <c r="AD217" s="67"/>
      <c r="AE217" s="68"/>
      <c r="AF217" s="48">
        <v>90</v>
      </c>
      <c r="AG217" s="63">
        <v>136</v>
      </c>
      <c r="AH217" s="63">
        <v>50</v>
      </c>
      <c r="AI217" s="63">
        <v>48</v>
      </c>
      <c r="AJ217" s="63">
        <v>45</v>
      </c>
      <c r="AK217" s="63">
        <v>117</v>
      </c>
      <c r="AL217" s="63">
        <v>140</v>
      </c>
      <c r="AM217" s="63">
        <v>117</v>
      </c>
      <c r="AN217" s="63">
        <v>299</v>
      </c>
      <c r="AO217" s="63">
        <v>94</v>
      </c>
      <c r="AP217" s="63">
        <v>136</v>
      </c>
      <c r="AQ217" s="63">
        <v>85</v>
      </c>
      <c r="AR217" s="63">
        <v>6</v>
      </c>
      <c r="AS217" s="63">
        <v>0</v>
      </c>
      <c r="AT217" s="63">
        <v>9</v>
      </c>
      <c r="AU217" s="63">
        <v>61</v>
      </c>
      <c r="AV217" s="63">
        <v>339</v>
      </c>
      <c r="AW217" s="50">
        <v>10</v>
      </c>
      <c r="AX217" s="69">
        <v>4427</v>
      </c>
      <c r="AY217" s="69">
        <v>31300</v>
      </c>
      <c r="AZ217" s="54">
        <v>1882</v>
      </c>
      <c r="BA217" s="54">
        <v>8489</v>
      </c>
      <c r="BB217" s="54">
        <v>272</v>
      </c>
      <c r="BC217" s="54">
        <v>622</v>
      </c>
      <c r="BD217" s="54">
        <v>1035</v>
      </c>
      <c r="BE217" s="70">
        <v>2223</v>
      </c>
      <c r="BF217" s="63">
        <v>515</v>
      </c>
      <c r="BG217" s="71">
        <v>3773</v>
      </c>
      <c r="BH217" s="67"/>
      <c r="BI217" s="68"/>
      <c r="BJ217" s="72">
        <v>2388</v>
      </c>
      <c r="BK217" s="62"/>
      <c r="BL217" s="70">
        <v>2222</v>
      </c>
      <c r="BM217" s="70">
        <v>165</v>
      </c>
      <c r="BN217" s="70">
        <v>214</v>
      </c>
      <c r="BO217" s="70">
        <v>1971</v>
      </c>
      <c r="BP217" s="73">
        <v>38</v>
      </c>
      <c r="BQ217" s="74">
        <v>520</v>
      </c>
      <c r="BR217" s="54">
        <v>283</v>
      </c>
      <c r="BS217" s="75">
        <v>68</v>
      </c>
      <c r="BT217" s="76">
        <v>66.266173752310536</v>
      </c>
      <c r="BU217" s="77">
        <v>33.733826247689464</v>
      </c>
      <c r="BV217" s="78">
        <v>717</v>
      </c>
      <c r="BW217" s="79">
        <v>365</v>
      </c>
      <c r="BX217" s="69">
        <v>429</v>
      </c>
      <c r="BY217" s="70">
        <v>118</v>
      </c>
      <c r="BZ217" s="70">
        <v>180</v>
      </c>
      <c r="CA217" s="70">
        <v>170</v>
      </c>
      <c r="CB217" s="70">
        <v>16</v>
      </c>
      <c r="CC217" s="70">
        <v>140</v>
      </c>
      <c r="CD217" s="70">
        <v>19</v>
      </c>
      <c r="CE217" s="73">
        <v>10</v>
      </c>
    </row>
    <row r="218" spans="2:83" x14ac:dyDescent="0.3">
      <c r="B218" s="46">
        <v>42</v>
      </c>
      <c r="C218" s="47">
        <v>43391</v>
      </c>
      <c r="D218" s="48">
        <v>24</v>
      </c>
      <c r="E218" s="49">
        <v>1285</v>
      </c>
      <c r="F218" s="50">
        <v>410</v>
      </c>
      <c r="G218" s="51">
        <v>4.6716589861751148</v>
      </c>
      <c r="H218" s="52">
        <v>7.8281853281853282</v>
      </c>
      <c r="I218" s="53">
        <v>1036</v>
      </c>
      <c r="J218" s="54">
        <v>1736</v>
      </c>
      <c r="K218" s="54">
        <v>8110</v>
      </c>
      <c r="L218" s="55">
        <v>9835.7000000000007</v>
      </c>
      <c r="M218" s="56">
        <v>651.83699999999999</v>
      </c>
      <c r="N218" s="57">
        <v>1216.5</v>
      </c>
      <c r="O218" s="58">
        <v>660.42</v>
      </c>
      <c r="P218" s="59">
        <v>12.280064201568699</v>
      </c>
      <c r="Q218" s="60">
        <v>841.48</v>
      </c>
      <c r="R218" s="61">
        <v>9.6377810524314302</v>
      </c>
      <c r="S218" s="48"/>
      <c r="T218" s="50"/>
      <c r="U218" s="62">
        <v>0</v>
      </c>
      <c r="V218" s="63">
        <v>24</v>
      </c>
      <c r="W218" s="50">
        <v>67</v>
      </c>
      <c r="X218" s="48">
        <v>25</v>
      </c>
      <c r="Y218" s="63">
        <v>117</v>
      </c>
      <c r="Z218" s="63">
        <v>304</v>
      </c>
      <c r="AA218" s="64">
        <v>1738.6</v>
      </c>
      <c r="AB218" s="65">
        <v>76.316999999999993</v>
      </c>
      <c r="AC218" s="66"/>
      <c r="AD218" s="67"/>
      <c r="AE218" s="68"/>
      <c r="AF218" s="48">
        <v>93</v>
      </c>
      <c r="AG218" s="63">
        <v>170</v>
      </c>
      <c r="AH218" s="63">
        <v>34</v>
      </c>
      <c r="AI218" s="63">
        <v>70</v>
      </c>
      <c r="AJ218" s="63">
        <v>38</v>
      </c>
      <c r="AK218" s="63">
        <v>115</v>
      </c>
      <c r="AL218" s="63">
        <v>106</v>
      </c>
      <c r="AM218" s="63">
        <v>87</v>
      </c>
      <c r="AN218" s="63">
        <v>257</v>
      </c>
      <c r="AO218" s="63">
        <v>79</v>
      </c>
      <c r="AP218" s="63">
        <v>122</v>
      </c>
      <c r="AQ218" s="63">
        <v>92</v>
      </c>
      <c r="AR218" s="63">
        <v>8</v>
      </c>
      <c r="AS218" s="63">
        <v>0</v>
      </c>
      <c r="AT218" s="63">
        <v>3</v>
      </c>
      <c r="AU218" s="63">
        <v>113</v>
      </c>
      <c r="AV218" s="63">
        <v>295</v>
      </c>
      <c r="AW218" s="50">
        <v>2</v>
      </c>
      <c r="AX218" s="69">
        <v>4717</v>
      </c>
      <c r="AY218" s="69">
        <v>33141</v>
      </c>
      <c r="AZ218" s="54">
        <v>1951</v>
      </c>
      <c r="BA218" s="54">
        <v>6981</v>
      </c>
      <c r="BB218" s="54">
        <v>284</v>
      </c>
      <c r="BC218" s="54">
        <v>572</v>
      </c>
      <c r="BD218" s="54">
        <v>1446</v>
      </c>
      <c r="BE218" s="70">
        <v>2095</v>
      </c>
      <c r="BF218" s="63">
        <v>359</v>
      </c>
      <c r="BG218" s="71">
        <v>3900</v>
      </c>
      <c r="BH218" s="67"/>
      <c r="BI218" s="68"/>
      <c r="BJ218" s="72">
        <v>2198</v>
      </c>
      <c r="BK218" s="62"/>
      <c r="BL218" s="70">
        <v>2029</v>
      </c>
      <c r="BM218" s="70">
        <v>184</v>
      </c>
      <c r="BN218" s="70">
        <v>210</v>
      </c>
      <c r="BO218" s="70">
        <v>1768</v>
      </c>
      <c r="BP218" s="73">
        <v>36</v>
      </c>
      <c r="BQ218" s="74">
        <v>569</v>
      </c>
      <c r="BR218" s="54">
        <v>268</v>
      </c>
      <c r="BS218" s="75">
        <v>66</v>
      </c>
      <c r="BT218" s="76">
        <v>70.173745173745175</v>
      </c>
      <c r="BU218" s="77">
        <v>29.826254826254825</v>
      </c>
      <c r="BV218" s="78">
        <v>727</v>
      </c>
      <c r="BW218" s="79">
        <v>309</v>
      </c>
      <c r="BX218" s="69">
        <v>443</v>
      </c>
      <c r="BY218" s="70">
        <v>126</v>
      </c>
      <c r="BZ218" s="70">
        <v>126</v>
      </c>
      <c r="CA218" s="70">
        <v>158</v>
      </c>
      <c r="CB218" s="70">
        <v>15</v>
      </c>
      <c r="CC218" s="70">
        <v>152</v>
      </c>
      <c r="CD218" s="70">
        <v>8</v>
      </c>
      <c r="CE218" s="73">
        <v>8</v>
      </c>
    </row>
    <row r="219" spans="2:83" x14ac:dyDescent="0.3">
      <c r="B219" s="46">
        <v>42</v>
      </c>
      <c r="C219" s="47">
        <v>43392</v>
      </c>
      <c r="D219" s="48">
        <v>36</v>
      </c>
      <c r="E219" s="49">
        <v>1574</v>
      </c>
      <c r="F219" s="50">
        <v>413</v>
      </c>
      <c r="G219" s="51">
        <v>3.987724268177526</v>
      </c>
      <c r="H219" s="52">
        <v>6.6191222570532915</v>
      </c>
      <c r="I219" s="53">
        <v>1276</v>
      </c>
      <c r="J219" s="54">
        <v>2118</v>
      </c>
      <c r="K219" s="54">
        <v>8446</v>
      </c>
      <c r="L219" s="55">
        <v>8112.6</v>
      </c>
      <c r="M219" s="56">
        <v>837.149</v>
      </c>
      <c r="N219" s="57">
        <v>1266.8999999999999</v>
      </c>
      <c r="O219" s="58">
        <v>587.42999999999995</v>
      </c>
      <c r="P219" s="59">
        <v>14.377883322268186</v>
      </c>
      <c r="Q219" s="60">
        <v>766.36999999999989</v>
      </c>
      <c r="R219" s="61">
        <v>11.020786304265565</v>
      </c>
      <c r="S219" s="48"/>
      <c r="T219" s="50"/>
      <c r="U219" s="62">
        <v>0</v>
      </c>
      <c r="V219" s="63">
        <v>92</v>
      </c>
      <c r="W219" s="50">
        <v>39</v>
      </c>
      <c r="X219" s="48">
        <v>62</v>
      </c>
      <c r="Y219" s="63">
        <v>139</v>
      </c>
      <c r="Z219" s="63">
        <v>386</v>
      </c>
      <c r="AA219" s="64">
        <v>843.4</v>
      </c>
      <c r="AB219" s="65">
        <v>64.641000000000005</v>
      </c>
      <c r="AC219" s="66"/>
      <c r="AD219" s="67"/>
      <c r="AE219" s="68"/>
      <c r="AF219" s="48">
        <v>103</v>
      </c>
      <c r="AG219" s="63">
        <v>209</v>
      </c>
      <c r="AH219" s="63">
        <v>42</v>
      </c>
      <c r="AI219" s="63">
        <v>88</v>
      </c>
      <c r="AJ219" s="63">
        <v>53</v>
      </c>
      <c r="AK219" s="63">
        <v>180</v>
      </c>
      <c r="AL219" s="63">
        <v>132</v>
      </c>
      <c r="AM219" s="63">
        <v>88</v>
      </c>
      <c r="AN219" s="63">
        <v>300</v>
      </c>
      <c r="AO219" s="63">
        <v>84</v>
      </c>
      <c r="AP219" s="63">
        <v>128</v>
      </c>
      <c r="AQ219" s="63">
        <v>131</v>
      </c>
      <c r="AR219" s="63">
        <v>6</v>
      </c>
      <c r="AS219" s="63">
        <v>0</v>
      </c>
      <c r="AT219" s="63">
        <v>2</v>
      </c>
      <c r="AU219" s="63">
        <v>123</v>
      </c>
      <c r="AV219" s="63">
        <v>282</v>
      </c>
      <c r="AW219" s="50">
        <v>8</v>
      </c>
      <c r="AX219" s="69">
        <v>5108</v>
      </c>
      <c r="AY219" s="69">
        <v>33131</v>
      </c>
      <c r="AZ219" s="54">
        <v>3068</v>
      </c>
      <c r="BA219" s="54">
        <v>8760</v>
      </c>
      <c r="BB219" s="54">
        <v>495</v>
      </c>
      <c r="BC219" s="54">
        <v>952</v>
      </c>
      <c r="BD219" s="54">
        <v>1344</v>
      </c>
      <c r="BE219" s="70">
        <v>2616</v>
      </c>
      <c r="BF219" s="63">
        <v>476</v>
      </c>
      <c r="BG219" s="71">
        <v>4436</v>
      </c>
      <c r="BH219" s="67"/>
      <c r="BI219" s="68"/>
      <c r="BJ219" s="72">
        <v>1425</v>
      </c>
      <c r="BK219" s="62"/>
      <c r="BL219" s="70">
        <v>2322</v>
      </c>
      <c r="BM219" s="70">
        <v>282</v>
      </c>
      <c r="BN219" s="70">
        <v>176</v>
      </c>
      <c r="BO219" s="70">
        <v>955</v>
      </c>
      <c r="BP219" s="73">
        <v>12</v>
      </c>
      <c r="BQ219" s="74">
        <v>691</v>
      </c>
      <c r="BR219" s="54">
        <v>311</v>
      </c>
      <c r="BS219" s="75">
        <v>110</v>
      </c>
      <c r="BT219" s="76">
        <v>74.72089314194578</v>
      </c>
      <c r="BU219" s="77">
        <v>25.279106858054227</v>
      </c>
      <c r="BV219" s="78">
        <v>937</v>
      </c>
      <c r="BW219" s="79">
        <v>317</v>
      </c>
      <c r="BX219" s="69">
        <v>534</v>
      </c>
      <c r="BY219" s="70">
        <v>145</v>
      </c>
      <c r="BZ219" s="70">
        <v>205</v>
      </c>
      <c r="CA219" s="70">
        <v>258</v>
      </c>
      <c r="CB219" s="70">
        <v>8</v>
      </c>
      <c r="CC219" s="70">
        <v>89</v>
      </c>
      <c r="CD219" s="70">
        <v>15</v>
      </c>
      <c r="CE219" s="73">
        <v>0</v>
      </c>
    </row>
    <row r="220" spans="2:83" x14ac:dyDescent="0.3">
      <c r="B220" s="46">
        <v>42</v>
      </c>
      <c r="C220" s="47">
        <v>43393</v>
      </c>
      <c r="D220" s="48">
        <v>3</v>
      </c>
      <c r="E220" s="49">
        <v>843</v>
      </c>
      <c r="F220" s="50">
        <v>103</v>
      </c>
      <c r="G220" s="51">
        <v>3.7455310199789693</v>
      </c>
      <c r="H220" s="52">
        <v>6.3493761140819966</v>
      </c>
      <c r="I220" s="53">
        <v>561</v>
      </c>
      <c r="J220" s="54">
        <v>951</v>
      </c>
      <c r="K220" s="54">
        <v>3562</v>
      </c>
      <c r="L220" s="55">
        <v>2800.8</v>
      </c>
      <c r="M220" s="56">
        <v>213.34200000000001</v>
      </c>
      <c r="N220" s="57">
        <v>534.29999999999995</v>
      </c>
      <c r="O220" s="58">
        <v>227.97</v>
      </c>
      <c r="P220" s="59">
        <v>15.624862920559723</v>
      </c>
      <c r="Q220" s="60">
        <v>282.39</v>
      </c>
      <c r="R220" s="61">
        <v>12.613761110520912</v>
      </c>
      <c r="S220" s="48"/>
      <c r="T220" s="50"/>
      <c r="U220" s="62">
        <v>0</v>
      </c>
      <c r="V220" s="63">
        <v>16</v>
      </c>
      <c r="W220" s="50">
        <v>12</v>
      </c>
      <c r="X220" s="48">
        <v>13</v>
      </c>
      <c r="Y220" s="63">
        <v>40</v>
      </c>
      <c r="Z220" s="63">
        <v>124</v>
      </c>
      <c r="AA220" s="64">
        <v>494.4</v>
      </c>
      <c r="AB220" s="65">
        <v>32.417000000000002</v>
      </c>
      <c r="AC220" s="66"/>
      <c r="AD220" s="67"/>
      <c r="AE220" s="68"/>
      <c r="AF220" s="48">
        <v>34</v>
      </c>
      <c r="AG220" s="63">
        <v>69</v>
      </c>
      <c r="AH220" s="63">
        <v>13</v>
      </c>
      <c r="AI220" s="63">
        <v>29</v>
      </c>
      <c r="AJ220" s="63">
        <v>22</v>
      </c>
      <c r="AK220" s="63">
        <v>48</v>
      </c>
      <c r="AL220" s="63">
        <v>52</v>
      </c>
      <c r="AM220" s="63">
        <v>65</v>
      </c>
      <c r="AN220" s="63">
        <v>182</v>
      </c>
      <c r="AO220" s="63">
        <v>85</v>
      </c>
      <c r="AP220" s="63">
        <v>124</v>
      </c>
      <c r="AQ220" s="63">
        <v>87</v>
      </c>
      <c r="AR220" s="63">
        <v>0</v>
      </c>
      <c r="AS220" s="63">
        <v>1</v>
      </c>
      <c r="AT220" s="63">
        <v>0</v>
      </c>
      <c r="AU220" s="63">
        <v>39</v>
      </c>
      <c r="AV220" s="63">
        <v>59</v>
      </c>
      <c r="AW220" s="50">
        <v>4</v>
      </c>
      <c r="AX220" s="69">
        <v>1553</v>
      </c>
      <c r="AY220" s="69">
        <v>4880</v>
      </c>
      <c r="AZ220" s="54">
        <v>224</v>
      </c>
      <c r="BA220" s="54">
        <v>298</v>
      </c>
      <c r="BB220" s="54">
        <v>253</v>
      </c>
      <c r="BC220" s="54">
        <v>427</v>
      </c>
      <c r="BD220" s="54">
        <v>346</v>
      </c>
      <c r="BE220" s="70">
        <v>1170</v>
      </c>
      <c r="BF220" s="63">
        <v>186</v>
      </c>
      <c r="BG220" s="71">
        <v>1702</v>
      </c>
      <c r="BH220" s="67"/>
      <c r="BI220" s="68"/>
      <c r="BJ220" s="72">
        <v>608</v>
      </c>
      <c r="BK220" s="62"/>
      <c r="BL220" s="70">
        <v>848</v>
      </c>
      <c r="BM220" s="70">
        <v>26</v>
      </c>
      <c r="BN220" s="70">
        <v>120</v>
      </c>
      <c r="BO220" s="70">
        <v>452</v>
      </c>
      <c r="BP220" s="73">
        <v>10</v>
      </c>
      <c r="BQ220" s="74">
        <v>244</v>
      </c>
      <c r="BR220" s="54">
        <v>226</v>
      </c>
      <c r="BS220" s="75">
        <v>37</v>
      </c>
      <c r="BT220" s="76">
        <v>64.444444444444443</v>
      </c>
      <c r="BU220" s="77">
        <v>35.555555555555557</v>
      </c>
      <c r="BV220" s="78">
        <v>348</v>
      </c>
      <c r="BW220" s="79">
        <v>192</v>
      </c>
      <c r="BX220" s="69">
        <v>202</v>
      </c>
      <c r="BY220" s="70">
        <v>71</v>
      </c>
      <c r="BZ220" s="70">
        <v>135</v>
      </c>
      <c r="CA220" s="70">
        <v>75</v>
      </c>
      <c r="CB220" s="70">
        <v>3</v>
      </c>
      <c r="CC220" s="70">
        <v>54</v>
      </c>
      <c r="CD220" s="70">
        <v>0</v>
      </c>
      <c r="CE220" s="73">
        <v>0</v>
      </c>
    </row>
    <row r="221" spans="2:83" x14ac:dyDescent="0.3">
      <c r="B221" s="46">
        <v>43</v>
      </c>
      <c r="C221" s="47">
        <v>43395</v>
      </c>
      <c r="D221" s="48">
        <v>42</v>
      </c>
      <c r="E221" s="49">
        <v>2424</v>
      </c>
      <c r="F221" s="50">
        <v>358</v>
      </c>
      <c r="G221" s="51">
        <v>3.02470007057163</v>
      </c>
      <c r="H221" s="52">
        <v>4.1875915974596971</v>
      </c>
      <c r="I221" s="53">
        <v>2047</v>
      </c>
      <c r="J221" s="54">
        <v>2834</v>
      </c>
      <c r="K221" s="54">
        <v>8572</v>
      </c>
      <c r="L221" s="55">
        <v>11472.7</v>
      </c>
      <c r="M221" s="56">
        <v>684.29300000000001</v>
      </c>
      <c r="N221" s="57">
        <v>1285.8</v>
      </c>
      <c r="O221" s="58">
        <v>655.41</v>
      </c>
      <c r="P221" s="59">
        <v>13.078836148365147</v>
      </c>
      <c r="Q221" s="60">
        <v>843.63</v>
      </c>
      <c r="R221" s="61">
        <v>10.160852506430544</v>
      </c>
      <c r="S221" s="48"/>
      <c r="T221" s="50"/>
      <c r="U221" s="62">
        <v>0</v>
      </c>
      <c r="V221" s="63">
        <v>105</v>
      </c>
      <c r="W221" s="50">
        <v>96</v>
      </c>
      <c r="X221" s="48">
        <v>83</v>
      </c>
      <c r="Y221" s="63">
        <v>197</v>
      </c>
      <c r="Z221" s="63">
        <v>344</v>
      </c>
      <c r="AA221" s="64" t="s">
        <v>192</v>
      </c>
      <c r="AB221" s="65">
        <v>118.59399999999999</v>
      </c>
      <c r="AC221" s="66"/>
      <c r="AD221" s="67"/>
      <c r="AE221" s="68"/>
      <c r="AF221" s="48">
        <v>207</v>
      </c>
      <c r="AG221" s="63">
        <v>311</v>
      </c>
      <c r="AH221" s="63">
        <v>86</v>
      </c>
      <c r="AI221" s="63">
        <v>111</v>
      </c>
      <c r="AJ221" s="63">
        <v>72</v>
      </c>
      <c r="AK221" s="63">
        <v>350</v>
      </c>
      <c r="AL221" s="63">
        <v>265</v>
      </c>
      <c r="AM221" s="63">
        <v>109</v>
      </c>
      <c r="AN221" s="63">
        <v>367</v>
      </c>
      <c r="AO221" s="63">
        <v>129</v>
      </c>
      <c r="AP221" s="63">
        <v>222</v>
      </c>
      <c r="AQ221" s="63">
        <v>141</v>
      </c>
      <c r="AR221" s="63">
        <v>22</v>
      </c>
      <c r="AS221" s="63">
        <v>2</v>
      </c>
      <c r="AT221" s="63">
        <v>12</v>
      </c>
      <c r="AU221" s="63">
        <v>132</v>
      </c>
      <c r="AV221" s="63">
        <v>189</v>
      </c>
      <c r="AW221" s="50">
        <v>35</v>
      </c>
      <c r="AX221" s="69">
        <v>4400</v>
      </c>
      <c r="AY221" s="69">
        <v>26817</v>
      </c>
      <c r="AZ221" s="54">
        <v>1825</v>
      </c>
      <c r="BA221" s="54">
        <v>6736</v>
      </c>
      <c r="BB221" s="54">
        <v>378</v>
      </c>
      <c r="BC221" s="54">
        <v>668</v>
      </c>
      <c r="BD221" s="54">
        <v>1324</v>
      </c>
      <c r="BE221" s="70">
        <v>2659</v>
      </c>
      <c r="BF221" s="63">
        <v>614</v>
      </c>
      <c r="BG221" s="71">
        <v>4597</v>
      </c>
      <c r="BH221" s="67"/>
      <c r="BI221" s="68"/>
      <c r="BJ221" s="72">
        <v>1424</v>
      </c>
      <c r="BK221" s="62"/>
      <c r="BL221" s="70">
        <v>2477</v>
      </c>
      <c r="BM221" s="70">
        <v>229</v>
      </c>
      <c r="BN221" s="70">
        <v>106</v>
      </c>
      <c r="BO221" s="70">
        <v>1054</v>
      </c>
      <c r="BP221" s="73">
        <v>35</v>
      </c>
      <c r="BQ221" s="74">
        <v>1280</v>
      </c>
      <c r="BR221" s="54">
        <v>381</v>
      </c>
      <c r="BS221" s="75">
        <v>85</v>
      </c>
      <c r="BT221" s="76">
        <v>77.308447937131632</v>
      </c>
      <c r="BU221" s="77">
        <v>22.691552062868368</v>
      </c>
      <c r="BV221" s="78">
        <v>1574</v>
      </c>
      <c r="BW221" s="79">
        <v>462</v>
      </c>
      <c r="BX221" s="69">
        <v>925</v>
      </c>
      <c r="BY221" s="70">
        <v>206</v>
      </c>
      <c r="BZ221" s="70">
        <v>221</v>
      </c>
      <c r="CA221" s="70">
        <v>443</v>
      </c>
      <c r="CB221" s="70">
        <v>12</v>
      </c>
      <c r="CC221" s="70">
        <v>156</v>
      </c>
      <c r="CD221" s="70">
        <v>11</v>
      </c>
      <c r="CE221" s="73">
        <v>62</v>
      </c>
    </row>
    <row r="222" spans="2:83" x14ac:dyDescent="0.3">
      <c r="B222" s="46">
        <v>43</v>
      </c>
      <c r="C222" s="47">
        <v>43396</v>
      </c>
      <c r="D222" s="48">
        <v>18</v>
      </c>
      <c r="E222" s="49">
        <v>1176</v>
      </c>
      <c r="F222" s="50">
        <v>337</v>
      </c>
      <c r="G222" s="51">
        <v>4.2749476622470342</v>
      </c>
      <c r="H222" s="52">
        <v>6.9455782312925169</v>
      </c>
      <c r="I222" s="53">
        <v>882</v>
      </c>
      <c r="J222" s="54">
        <v>1433</v>
      </c>
      <c r="K222" s="54">
        <v>6126</v>
      </c>
      <c r="L222" s="55">
        <v>6359.7</v>
      </c>
      <c r="M222" s="56">
        <v>435.81799999999998</v>
      </c>
      <c r="N222" s="57">
        <v>918.90000000000009</v>
      </c>
      <c r="O222" s="58">
        <v>590</v>
      </c>
      <c r="P222" s="59">
        <v>10.383050847457627</v>
      </c>
      <c r="Q222" s="60">
        <v>783.68</v>
      </c>
      <c r="R222" s="61">
        <v>7.8169661086157625</v>
      </c>
      <c r="S222" s="48"/>
      <c r="T222" s="50"/>
      <c r="U222" s="62">
        <v>0</v>
      </c>
      <c r="V222" s="63">
        <v>60</v>
      </c>
      <c r="W222" s="50">
        <v>110</v>
      </c>
      <c r="X222" s="48">
        <v>44</v>
      </c>
      <c r="Y222" s="63">
        <v>158</v>
      </c>
      <c r="Z222" s="63">
        <v>208</v>
      </c>
      <c r="AA222" s="64">
        <v>812</v>
      </c>
      <c r="AB222" s="65">
        <v>122.443</v>
      </c>
      <c r="AC222" s="66"/>
      <c r="AD222" s="67"/>
      <c r="AE222" s="68"/>
      <c r="AF222" s="48">
        <v>77</v>
      </c>
      <c r="AG222" s="63">
        <v>152</v>
      </c>
      <c r="AH222" s="63">
        <v>21</v>
      </c>
      <c r="AI222" s="63">
        <v>42</v>
      </c>
      <c r="AJ222" s="63">
        <v>29</v>
      </c>
      <c r="AK222" s="63">
        <v>118</v>
      </c>
      <c r="AL222" s="63">
        <v>77</v>
      </c>
      <c r="AM222" s="63">
        <v>70</v>
      </c>
      <c r="AN222" s="63">
        <v>189</v>
      </c>
      <c r="AO222" s="63">
        <v>85</v>
      </c>
      <c r="AP222" s="63">
        <v>160</v>
      </c>
      <c r="AQ222" s="63">
        <v>114</v>
      </c>
      <c r="AR222" s="63">
        <v>5</v>
      </c>
      <c r="AS222" s="63">
        <v>2</v>
      </c>
      <c r="AT222" s="63">
        <v>7</v>
      </c>
      <c r="AU222" s="63">
        <v>55</v>
      </c>
      <c r="AV222" s="63">
        <v>256</v>
      </c>
      <c r="AW222" s="50">
        <v>15</v>
      </c>
      <c r="AX222" s="69">
        <v>3251</v>
      </c>
      <c r="AY222" s="69">
        <v>35410</v>
      </c>
      <c r="AZ222" s="54">
        <v>1677</v>
      </c>
      <c r="BA222" s="54">
        <v>8014</v>
      </c>
      <c r="BB222" s="54">
        <v>47</v>
      </c>
      <c r="BC222" s="54">
        <v>114</v>
      </c>
      <c r="BD222" s="54">
        <v>959</v>
      </c>
      <c r="BE222" s="70">
        <v>1624</v>
      </c>
      <c r="BF222" s="63">
        <v>264</v>
      </c>
      <c r="BG222" s="71">
        <v>2847</v>
      </c>
      <c r="BH222" s="67"/>
      <c r="BI222" s="68"/>
      <c r="BJ222" s="72">
        <v>1605</v>
      </c>
      <c r="BK222" s="62"/>
      <c r="BL222" s="70">
        <v>1757</v>
      </c>
      <c r="BM222" s="70">
        <v>204</v>
      </c>
      <c r="BN222" s="70">
        <v>161</v>
      </c>
      <c r="BO222" s="70">
        <v>1215</v>
      </c>
      <c r="BP222" s="73">
        <v>25</v>
      </c>
      <c r="BQ222" s="74">
        <v>410</v>
      </c>
      <c r="BR222" s="54">
        <v>204</v>
      </c>
      <c r="BS222" s="75">
        <v>126</v>
      </c>
      <c r="BT222" s="76">
        <v>68.197474167623426</v>
      </c>
      <c r="BU222" s="77">
        <v>31.802525832376578</v>
      </c>
      <c r="BV222" s="78">
        <v>594</v>
      </c>
      <c r="BW222" s="79">
        <v>277</v>
      </c>
      <c r="BX222" s="69">
        <v>353</v>
      </c>
      <c r="BY222" s="70">
        <v>79</v>
      </c>
      <c r="BZ222" s="70">
        <v>153</v>
      </c>
      <c r="CA222" s="70">
        <v>162</v>
      </c>
      <c r="CB222" s="70">
        <v>8</v>
      </c>
      <c r="CC222" s="70">
        <v>105</v>
      </c>
      <c r="CD222" s="70">
        <v>3</v>
      </c>
      <c r="CE222" s="73">
        <v>8</v>
      </c>
    </row>
    <row r="223" spans="2:83" x14ac:dyDescent="0.3">
      <c r="B223" s="46">
        <v>43</v>
      </c>
      <c r="C223" s="47">
        <v>43397</v>
      </c>
      <c r="D223" s="48">
        <v>0</v>
      </c>
      <c r="E223" s="49">
        <v>1730</v>
      </c>
      <c r="F223" s="50">
        <v>504</v>
      </c>
      <c r="G223" s="51">
        <v>3.2300805729632946</v>
      </c>
      <c r="H223" s="52">
        <v>5.8714401952807158</v>
      </c>
      <c r="I223" s="53">
        <v>1229</v>
      </c>
      <c r="J223" s="54">
        <v>2234</v>
      </c>
      <c r="K223" s="54">
        <v>7216</v>
      </c>
      <c r="L223" s="55">
        <v>7470.5</v>
      </c>
      <c r="M223" s="56">
        <v>772.37800000000004</v>
      </c>
      <c r="N223" s="57">
        <v>1082.4000000000001</v>
      </c>
      <c r="O223" s="58">
        <v>628.23</v>
      </c>
      <c r="P223" s="59">
        <v>11.486239116247233</v>
      </c>
      <c r="Q223" s="60">
        <v>822.8</v>
      </c>
      <c r="R223" s="61">
        <v>8.7700534759358302</v>
      </c>
      <c r="S223" s="48"/>
      <c r="T223" s="50"/>
      <c r="U223" s="62">
        <v>0</v>
      </c>
      <c r="V223" s="63">
        <v>62</v>
      </c>
      <c r="W223" s="50">
        <v>126</v>
      </c>
      <c r="X223" s="48">
        <v>49</v>
      </c>
      <c r="Y223" s="63">
        <v>204</v>
      </c>
      <c r="Z223" s="63">
        <v>156</v>
      </c>
      <c r="AA223" s="64">
        <v>1627</v>
      </c>
      <c r="AB223" s="65">
        <v>209.708</v>
      </c>
      <c r="AC223" s="66"/>
      <c r="AD223" s="67"/>
      <c r="AE223" s="68"/>
      <c r="AF223" s="48">
        <v>117</v>
      </c>
      <c r="AG223" s="63">
        <v>172</v>
      </c>
      <c r="AH223" s="63">
        <v>37</v>
      </c>
      <c r="AI223" s="63">
        <v>61</v>
      </c>
      <c r="AJ223" s="63">
        <v>55</v>
      </c>
      <c r="AK223" s="63">
        <v>144</v>
      </c>
      <c r="AL223" s="63">
        <v>105</v>
      </c>
      <c r="AM223" s="63">
        <v>88</v>
      </c>
      <c r="AN223" s="63">
        <v>346</v>
      </c>
      <c r="AO223" s="63">
        <v>109</v>
      </c>
      <c r="AP223" s="63">
        <v>200</v>
      </c>
      <c r="AQ223" s="63">
        <v>243</v>
      </c>
      <c r="AR223" s="63">
        <v>1</v>
      </c>
      <c r="AS223" s="63">
        <v>0</v>
      </c>
      <c r="AT223" s="63">
        <v>10</v>
      </c>
      <c r="AU223" s="63">
        <v>57</v>
      </c>
      <c r="AV223" s="63">
        <v>440</v>
      </c>
      <c r="AW223" s="50">
        <v>6</v>
      </c>
      <c r="AX223" s="69">
        <v>4703</v>
      </c>
      <c r="AY223" s="69">
        <v>34582</v>
      </c>
      <c r="AZ223" s="54">
        <v>1895</v>
      </c>
      <c r="BA223" s="54">
        <v>5588</v>
      </c>
      <c r="BB223" s="54">
        <v>410</v>
      </c>
      <c r="BC223" s="54">
        <v>927</v>
      </c>
      <c r="BD223" s="54">
        <v>1417</v>
      </c>
      <c r="BE223" s="70">
        <v>2365</v>
      </c>
      <c r="BF223" s="63">
        <v>427</v>
      </c>
      <c r="BG223" s="71">
        <v>4209</v>
      </c>
      <c r="BH223" s="67"/>
      <c r="BI223" s="68"/>
      <c r="BJ223" s="72">
        <v>1653</v>
      </c>
      <c r="BK223" s="62"/>
      <c r="BL223" s="70">
        <v>2428</v>
      </c>
      <c r="BM223" s="70">
        <v>270</v>
      </c>
      <c r="BN223" s="70">
        <v>272</v>
      </c>
      <c r="BO223" s="70">
        <v>1101</v>
      </c>
      <c r="BP223" s="73">
        <v>10</v>
      </c>
      <c r="BQ223" s="74">
        <v>622</v>
      </c>
      <c r="BR223" s="54">
        <v>394</v>
      </c>
      <c r="BS223" s="75">
        <v>53</v>
      </c>
      <c r="BT223" s="76">
        <v>68.510984540276652</v>
      </c>
      <c r="BU223" s="77">
        <v>31.489015459723351</v>
      </c>
      <c r="BV223" s="78">
        <v>842</v>
      </c>
      <c r="BW223" s="79">
        <v>387</v>
      </c>
      <c r="BX223" s="69">
        <v>486</v>
      </c>
      <c r="BY223" s="70">
        <v>158</v>
      </c>
      <c r="BZ223" s="70">
        <v>183</v>
      </c>
      <c r="CA223" s="70">
        <v>198</v>
      </c>
      <c r="CB223" s="70">
        <v>13</v>
      </c>
      <c r="CC223" s="70">
        <v>164</v>
      </c>
      <c r="CD223" s="70">
        <v>6</v>
      </c>
      <c r="CE223" s="73">
        <v>21</v>
      </c>
    </row>
    <row r="224" spans="2:83" x14ac:dyDescent="0.3">
      <c r="B224" s="46">
        <v>43</v>
      </c>
      <c r="C224" s="47">
        <v>43398</v>
      </c>
      <c r="D224" s="48">
        <v>17</v>
      </c>
      <c r="E224" s="49">
        <v>1490</v>
      </c>
      <c r="F224" s="50">
        <v>569</v>
      </c>
      <c r="G224" s="51">
        <v>3.4253371868978806</v>
      </c>
      <c r="H224" s="52">
        <v>6.8506743737957612</v>
      </c>
      <c r="I224" s="53">
        <v>1038</v>
      </c>
      <c r="J224" s="54">
        <v>2076</v>
      </c>
      <c r="K224" s="54">
        <v>7111</v>
      </c>
      <c r="L224" s="55">
        <v>8971.7999999999993</v>
      </c>
      <c r="M224" s="56">
        <v>1023.078</v>
      </c>
      <c r="N224" s="57">
        <v>1066.6499999999999</v>
      </c>
      <c r="O224" s="58">
        <v>639.57999999999993</v>
      </c>
      <c r="P224" s="59">
        <v>11.11823384095813</v>
      </c>
      <c r="Q224" s="60">
        <v>836.37</v>
      </c>
      <c r="R224" s="61">
        <v>8.5022179179071458</v>
      </c>
      <c r="S224" s="48"/>
      <c r="T224" s="50"/>
      <c r="U224" s="62">
        <v>0</v>
      </c>
      <c r="V224" s="63">
        <v>66</v>
      </c>
      <c r="W224" s="50">
        <v>119</v>
      </c>
      <c r="X224" s="48">
        <v>42</v>
      </c>
      <c r="Y224" s="63">
        <v>177</v>
      </c>
      <c r="Z224" s="63">
        <v>517</v>
      </c>
      <c r="AA224" s="64">
        <v>1226.3</v>
      </c>
      <c r="AB224" s="65">
        <v>141.95699999999999</v>
      </c>
      <c r="AC224" s="66"/>
      <c r="AD224" s="67"/>
      <c r="AE224" s="68"/>
      <c r="AF224" s="48">
        <v>66</v>
      </c>
      <c r="AG224" s="63">
        <v>147</v>
      </c>
      <c r="AH224" s="63">
        <v>24</v>
      </c>
      <c r="AI224" s="63">
        <v>56</v>
      </c>
      <c r="AJ224" s="63">
        <v>45</v>
      </c>
      <c r="AK224" s="63">
        <v>115</v>
      </c>
      <c r="AL224" s="63">
        <v>118</v>
      </c>
      <c r="AM224" s="63">
        <v>97</v>
      </c>
      <c r="AN224" s="63">
        <v>281</v>
      </c>
      <c r="AO224" s="63">
        <v>77</v>
      </c>
      <c r="AP224" s="63">
        <v>168</v>
      </c>
      <c r="AQ224" s="63">
        <v>246</v>
      </c>
      <c r="AR224" s="63">
        <v>5</v>
      </c>
      <c r="AS224" s="63">
        <v>0</v>
      </c>
      <c r="AT224" s="63">
        <v>6</v>
      </c>
      <c r="AU224" s="63">
        <v>114</v>
      </c>
      <c r="AV224" s="63">
        <v>443</v>
      </c>
      <c r="AW224" s="50">
        <v>10</v>
      </c>
      <c r="AX224" s="69">
        <v>3844</v>
      </c>
      <c r="AY224" s="69">
        <v>28146</v>
      </c>
      <c r="AZ224" s="54">
        <v>1043</v>
      </c>
      <c r="BA224" s="54">
        <v>4731</v>
      </c>
      <c r="BB224" s="54">
        <v>170</v>
      </c>
      <c r="BC224" s="54">
        <v>409</v>
      </c>
      <c r="BD224" s="54">
        <v>916</v>
      </c>
      <c r="BE224" s="70">
        <v>1440</v>
      </c>
      <c r="BF224" s="63">
        <v>203</v>
      </c>
      <c r="BG224" s="71">
        <v>2559</v>
      </c>
      <c r="BH224" s="67"/>
      <c r="BI224" s="68"/>
      <c r="BJ224" s="72">
        <v>1622</v>
      </c>
      <c r="BK224" s="62"/>
      <c r="BL224" s="70">
        <v>2333</v>
      </c>
      <c r="BM224" s="70">
        <v>180</v>
      </c>
      <c r="BN224" s="70">
        <v>221</v>
      </c>
      <c r="BO224" s="70">
        <v>1200</v>
      </c>
      <c r="BP224" s="73">
        <v>21</v>
      </c>
      <c r="BQ224" s="74">
        <v>458</v>
      </c>
      <c r="BR224" s="54">
        <v>225</v>
      </c>
      <c r="BS224" s="75">
        <v>131</v>
      </c>
      <c r="BT224" s="76">
        <v>62.52408477842004</v>
      </c>
      <c r="BU224" s="77">
        <v>37.47591522157996</v>
      </c>
      <c r="BV224" s="78">
        <v>649</v>
      </c>
      <c r="BW224" s="79">
        <v>389</v>
      </c>
      <c r="BX224" s="69">
        <v>354</v>
      </c>
      <c r="BY224" s="70">
        <v>72</v>
      </c>
      <c r="BZ224" s="70">
        <v>208</v>
      </c>
      <c r="CA224" s="70">
        <v>223</v>
      </c>
      <c r="CB224" s="70">
        <v>4</v>
      </c>
      <c r="CC224" s="70">
        <v>134</v>
      </c>
      <c r="CD224" s="70">
        <v>9</v>
      </c>
      <c r="CE224" s="73">
        <v>34</v>
      </c>
    </row>
    <row r="225" spans="2:83" x14ac:dyDescent="0.3">
      <c r="B225" s="46">
        <v>43</v>
      </c>
      <c r="C225" s="47">
        <v>43399</v>
      </c>
      <c r="D225" s="48">
        <v>28</v>
      </c>
      <c r="E225" s="49">
        <v>1383</v>
      </c>
      <c r="F225" s="50">
        <v>414</v>
      </c>
      <c r="G225" s="51">
        <v>3.7512328767123289</v>
      </c>
      <c r="H225" s="52">
        <v>6.4890995260663509</v>
      </c>
      <c r="I225" s="53">
        <v>1055</v>
      </c>
      <c r="J225" s="54">
        <v>1825</v>
      </c>
      <c r="K225" s="54">
        <v>6846</v>
      </c>
      <c r="L225" s="55">
        <v>6936.6</v>
      </c>
      <c r="M225" s="56">
        <v>603.81899999999996</v>
      </c>
      <c r="N225" s="57">
        <v>1026.9000000000001</v>
      </c>
      <c r="O225" s="58">
        <v>600.22</v>
      </c>
      <c r="P225" s="59">
        <v>11.405817866782179</v>
      </c>
      <c r="Q225" s="60">
        <v>799.45</v>
      </c>
      <c r="R225" s="61">
        <v>8.5633873287885418</v>
      </c>
      <c r="S225" s="48"/>
      <c r="T225" s="50"/>
      <c r="U225" s="62">
        <v>0</v>
      </c>
      <c r="V225" s="63">
        <v>62</v>
      </c>
      <c r="W225" s="50">
        <v>85</v>
      </c>
      <c r="X225" s="48">
        <v>62</v>
      </c>
      <c r="Y225" s="63">
        <v>142</v>
      </c>
      <c r="Z225" s="63">
        <v>194</v>
      </c>
      <c r="AA225" s="64">
        <v>954.5</v>
      </c>
      <c r="AB225" s="65">
        <v>117.416</v>
      </c>
      <c r="AC225" s="66"/>
      <c r="AD225" s="67"/>
      <c r="AE225" s="68"/>
      <c r="AF225" s="48">
        <v>90</v>
      </c>
      <c r="AG225" s="63">
        <v>143</v>
      </c>
      <c r="AH225" s="63">
        <v>40</v>
      </c>
      <c r="AI225" s="63">
        <v>42</v>
      </c>
      <c r="AJ225" s="63">
        <v>37</v>
      </c>
      <c r="AK225" s="63">
        <v>154</v>
      </c>
      <c r="AL225" s="63">
        <v>106</v>
      </c>
      <c r="AM225" s="63">
        <v>75</v>
      </c>
      <c r="AN225" s="63">
        <v>236</v>
      </c>
      <c r="AO225" s="63">
        <v>115</v>
      </c>
      <c r="AP225" s="63">
        <v>116</v>
      </c>
      <c r="AQ225" s="63">
        <v>189</v>
      </c>
      <c r="AR225" s="63">
        <v>1</v>
      </c>
      <c r="AS225" s="63">
        <v>3</v>
      </c>
      <c r="AT225" s="63">
        <v>4</v>
      </c>
      <c r="AU225" s="63">
        <v>90</v>
      </c>
      <c r="AV225" s="63">
        <v>315</v>
      </c>
      <c r="AW225" s="50">
        <v>7</v>
      </c>
      <c r="AX225" s="69">
        <v>3921</v>
      </c>
      <c r="AY225" s="69">
        <v>30645</v>
      </c>
      <c r="AZ225" s="54">
        <v>1975</v>
      </c>
      <c r="BA225" s="54">
        <v>7074</v>
      </c>
      <c r="BB225" s="54">
        <v>467</v>
      </c>
      <c r="BC225" s="54">
        <v>999</v>
      </c>
      <c r="BD225" s="54">
        <v>1099</v>
      </c>
      <c r="BE225" s="70">
        <v>1818</v>
      </c>
      <c r="BF225" s="63">
        <v>463</v>
      </c>
      <c r="BG225" s="71">
        <v>3380</v>
      </c>
      <c r="BH225" s="67"/>
      <c r="BI225" s="68"/>
      <c r="BJ225" s="72">
        <v>1789</v>
      </c>
      <c r="BK225" s="62"/>
      <c r="BL225" s="70">
        <v>2427</v>
      </c>
      <c r="BM225" s="70">
        <v>154</v>
      </c>
      <c r="BN225" s="70">
        <v>148</v>
      </c>
      <c r="BO225" s="70">
        <v>1470</v>
      </c>
      <c r="BP225" s="73">
        <v>17</v>
      </c>
      <c r="BQ225" s="74">
        <v>560</v>
      </c>
      <c r="BR225" s="54">
        <v>204</v>
      </c>
      <c r="BS225" s="75">
        <v>80</v>
      </c>
      <c r="BT225" s="76">
        <v>68.886774500475738</v>
      </c>
      <c r="BU225" s="77">
        <v>31.113225499524262</v>
      </c>
      <c r="BV225" s="78">
        <v>724</v>
      </c>
      <c r="BW225" s="79">
        <v>327</v>
      </c>
      <c r="BX225" s="69">
        <v>427</v>
      </c>
      <c r="BY225" s="70">
        <v>88</v>
      </c>
      <c r="BZ225" s="70">
        <v>148</v>
      </c>
      <c r="CA225" s="70">
        <v>209</v>
      </c>
      <c r="CB225" s="70">
        <v>17</v>
      </c>
      <c r="CC225" s="70">
        <v>144</v>
      </c>
      <c r="CD225" s="70">
        <v>11</v>
      </c>
      <c r="CE225" s="73">
        <v>7</v>
      </c>
    </row>
    <row r="226" spans="2:83" x14ac:dyDescent="0.3">
      <c r="B226" s="46">
        <v>44</v>
      </c>
      <c r="C226" s="47">
        <v>43402</v>
      </c>
      <c r="D226" s="48">
        <v>12</v>
      </c>
      <c r="E226" s="49">
        <v>2977</v>
      </c>
      <c r="F226" s="50">
        <v>435</v>
      </c>
      <c r="G226" s="51">
        <v>2.3040303738317758</v>
      </c>
      <c r="H226" s="52">
        <v>3.3829331046312179</v>
      </c>
      <c r="I226" s="53">
        <v>2332</v>
      </c>
      <c r="J226" s="54">
        <v>3424</v>
      </c>
      <c r="K226" s="54">
        <v>7889</v>
      </c>
      <c r="L226" s="55">
        <v>6840.1</v>
      </c>
      <c r="M226" s="56">
        <v>733.02700000000004</v>
      </c>
      <c r="N226" s="57">
        <v>1183.3500000000001</v>
      </c>
      <c r="O226" s="58">
        <v>692.95</v>
      </c>
      <c r="P226" s="59">
        <v>11.384659787863482</v>
      </c>
      <c r="Q226" s="60">
        <v>879.80000000000007</v>
      </c>
      <c r="R226" s="61">
        <v>8.9668106387815403</v>
      </c>
      <c r="S226" s="48"/>
      <c r="T226" s="50"/>
      <c r="U226" s="62">
        <v>0</v>
      </c>
      <c r="V226" s="63">
        <v>30</v>
      </c>
      <c r="W226" s="50">
        <v>54</v>
      </c>
      <c r="X226" s="48">
        <v>29</v>
      </c>
      <c r="Y226" s="63">
        <v>59</v>
      </c>
      <c r="Z226" s="63">
        <v>216</v>
      </c>
      <c r="AA226" s="64">
        <v>1511.5</v>
      </c>
      <c r="AB226" s="65">
        <v>34.064</v>
      </c>
      <c r="AC226" s="66"/>
      <c r="AD226" s="67"/>
      <c r="AE226" s="68"/>
      <c r="AF226" s="48">
        <v>256</v>
      </c>
      <c r="AG226" s="63">
        <v>356</v>
      </c>
      <c r="AH226" s="63">
        <v>80</v>
      </c>
      <c r="AI226" s="63">
        <v>126</v>
      </c>
      <c r="AJ226" s="63">
        <v>94</v>
      </c>
      <c r="AK226" s="63">
        <v>451</v>
      </c>
      <c r="AL226" s="63">
        <v>205</v>
      </c>
      <c r="AM226" s="63">
        <v>195</v>
      </c>
      <c r="AN226" s="63">
        <v>415</v>
      </c>
      <c r="AO226" s="63">
        <v>153</v>
      </c>
      <c r="AP226" s="63">
        <v>215</v>
      </c>
      <c r="AQ226" s="63">
        <v>335</v>
      </c>
      <c r="AR226" s="63">
        <v>10</v>
      </c>
      <c r="AS226" s="63">
        <v>3</v>
      </c>
      <c r="AT226" s="63">
        <v>23</v>
      </c>
      <c r="AU226" s="63">
        <v>140</v>
      </c>
      <c r="AV226" s="63">
        <v>284</v>
      </c>
      <c r="AW226" s="50">
        <v>10</v>
      </c>
      <c r="AX226" s="69">
        <v>4482</v>
      </c>
      <c r="AY226" s="69">
        <v>29584</v>
      </c>
      <c r="AZ226" s="54">
        <v>1558</v>
      </c>
      <c r="BA226" s="54">
        <v>5575</v>
      </c>
      <c r="BB226" s="54">
        <v>380</v>
      </c>
      <c r="BC226" s="54">
        <v>790</v>
      </c>
      <c r="BD226" s="54">
        <v>1420</v>
      </c>
      <c r="BE226" s="70">
        <v>2068</v>
      </c>
      <c r="BF226" s="63">
        <v>634</v>
      </c>
      <c r="BG226" s="71">
        <v>4122</v>
      </c>
      <c r="BH226" s="67"/>
      <c r="BI226" s="68"/>
      <c r="BJ226" s="72">
        <v>2064</v>
      </c>
      <c r="BK226" s="62"/>
      <c r="BL226" s="70">
        <v>2986</v>
      </c>
      <c r="BM226" s="70">
        <v>273</v>
      </c>
      <c r="BN226" s="70">
        <v>229</v>
      </c>
      <c r="BO226" s="70">
        <v>1534</v>
      </c>
      <c r="BP226" s="73">
        <v>28</v>
      </c>
      <c r="BQ226" s="74">
        <v>1469</v>
      </c>
      <c r="BR226" s="54">
        <v>462</v>
      </c>
      <c r="BS226" s="75">
        <v>113</v>
      </c>
      <c r="BT226" s="76">
        <v>77.278617710583148</v>
      </c>
      <c r="BU226" s="77">
        <v>22.721382289416848</v>
      </c>
      <c r="BV226" s="78">
        <v>1789</v>
      </c>
      <c r="BW226" s="79">
        <v>526</v>
      </c>
      <c r="BX226" s="69">
        <v>1022</v>
      </c>
      <c r="BY226" s="70">
        <v>218</v>
      </c>
      <c r="BZ226" s="70">
        <v>208</v>
      </c>
      <c r="CA226" s="70">
        <v>549</v>
      </c>
      <c r="CB226" s="70">
        <v>33</v>
      </c>
      <c r="CC226" s="70">
        <v>238</v>
      </c>
      <c r="CD226" s="70">
        <v>8</v>
      </c>
      <c r="CE226" s="73">
        <v>39</v>
      </c>
    </row>
    <row r="227" spans="2:83" x14ac:dyDescent="0.3">
      <c r="B227" s="46">
        <v>44</v>
      </c>
      <c r="C227" s="47">
        <v>43403</v>
      </c>
      <c r="D227" s="48">
        <v>20</v>
      </c>
      <c r="E227" s="49">
        <v>2242</v>
      </c>
      <c r="F227" s="50">
        <v>375</v>
      </c>
      <c r="G227" s="51">
        <v>3.0542282897231701</v>
      </c>
      <c r="H227" s="52">
        <v>4.785502079619727</v>
      </c>
      <c r="I227" s="53">
        <v>1683</v>
      </c>
      <c r="J227" s="54">
        <v>2637</v>
      </c>
      <c r="K227" s="54">
        <v>8054</v>
      </c>
      <c r="L227" s="55">
        <v>9957.2000000000007</v>
      </c>
      <c r="M227" s="56">
        <v>615.48900000000003</v>
      </c>
      <c r="N227" s="57">
        <v>1208.1000000000001</v>
      </c>
      <c r="O227" s="58">
        <v>715.25000000000011</v>
      </c>
      <c r="P227" s="59">
        <v>11.260398462076195</v>
      </c>
      <c r="Q227" s="60">
        <v>890.32</v>
      </c>
      <c r="R227" s="61">
        <v>9.0461856411178001</v>
      </c>
      <c r="S227" s="48"/>
      <c r="T227" s="50"/>
      <c r="U227" s="62">
        <v>0</v>
      </c>
      <c r="V227" s="63">
        <v>64</v>
      </c>
      <c r="W227" s="50">
        <v>61</v>
      </c>
      <c r="X227" s="48">
        <v>46</v>
      </c>
      <c r="Y227" s="63">
        <v>134</v>
      </c>
      <c r="Z227" s="63">
        <v>232</v>
      </c>
      <c r="AA227" s="64">
        <v>1784.9</v>
      </c>
      <c r="AB227" s="65">
        <v>89.296999999999997</v>
      </c>
      <c r="AC227" s="66"/>
      <c r="AD227" s="67"/>
      <c r="AE227" s="68"/>
      <c r="AF227" s="48">
        <v>147</v>
      </c>
      <c r="AG227" s="63">
        <v>252</v>
      </c>
      <c r="AH227" s="63">
        <v>70</v>
      </c>
      <c r="AI227" s="63">
        <v>75</v>
      </c>
      <c r="AJ227" s="63">
        <v>60</v>
      </c>
      <c r="AK227" s="63">
        <v>231</v>
      </c>
      <c r="AL227" s="63">
        <v>147</v>
      </c>
      <c r="AM227" s="63">
        <v>127</v>
      </c>
      <c r="AN227" s="63">
        <v>464</v>
      </c>
      <c r="AO227" s="63">
        <v>166</v>
      </c>
      <c r="AP227" s="63">
        <v>176</v>
      </c>
      <c r="AQ227" s="63">
        <v>231</v>
      </c>
      <c r="AR227" s="63">
        <v>10</v>
      </c>
      <c r="AS227" s="63">
        <v>14</v>
      </c>
      <c r="AT227" s="63">
        <v>7</v>
      </c>
      <c r="AU227" s="63">
        <v>125</v>
      </c>
      <c r="AV227" s="63">
        <v>222</v>
      </c>
      <c r="AW227" s="50">
        <v>27</v>
      </c>
      <c r="AX227" s="69">
        <v>4567</v>
      </c>
      <c r="AY227" s="69">
        <v>40823</v>
      </c>
      <c r="AZ227" s="54">
        <v>2193</v>
      </c>
      <c r="BA227" s="54">
        <v>13925</v>
      </c>
      <c r="BB227" s="54">
        <v>424</v>
      </c>
      <c r="BC227" s="54">
        <v>818</v>
      </c>
      <c r="BD227" s="54">
        <v>1396</v>
      </c>
      <c r="BE227" s="70">
        <v>2755</v>
      </c>
      <c r="BF227" s="63">
        <v>649</v>
      </c>
      <c r="BG227" s="71">
        <v>4800</v>
      </c>
      <c r="BH227" s="67"/>
      <c r="BI227" s="68"/>
      <c r="BJ227" s="72">
        <v>2145</v>
      </c>
      <c r="BK227" s="62"/>
      <c r="BL227" s="70">
        <v>2594</v>
      </c>
      <c r="BM227" s="70">
        <v>279</v>
      </c>
      <c r="BN227" s="70">
        <v>169</v>
      </c>
      <c r="BO227" s="70">
        <v>1680</v>
      </c>
      <c r="BP227" s="73">
        <v>17</v>
      </c>
      <c r="BQ227" s="74">
        <v>863</v>
      </c>
      <c r="BR227" s="54">
        <v>373</v>
      </c>
      <c r="BS227" s="75">
        <v>206</v>
      </c>
      <c r="BT227" s="76">
        <v>72.468162522741054</v>
      </c>
      <c r="BU227" s="77">
        <v>27.531837477258946</v>
      </c>
      <c r="BV227" s="78">
        <v>1195</v>
      </c>
      <c r="BW227" s="79">
        <v>454</v>
      </c>
      <c r="BX227" s="69">
        <v>765</v>
      </c>
      <c r="BY227" s="70">
        <v>153</v>
      </c>
      <c r="BZ227" s="70">
        <v>207</v>
      </c>
      <c r="CA227" s="70">
        <v>277</v>
      </c>
      <c r="CB227" s="70">
        <v>21</v>
      </c>
      <c r="CC227" s="70">
        <v>183</v>
      </c>
      <c r="CD227" s="70">
        <v>14</v>
      </c>
      <c r="CE227" s="73">
        <v>29</v>
      </c>
    </row>
    <row r="228" spans="2:83" x14ac:dyDescent="0.3">
      <c r="B228" s="46">
        <v>44</v>
      </c>
      <c r="C228" s="47">
        <v>43404</v>
      </c>
      <c r="D228" s="48">
        <v>16</v>
      </c>
      <c r="E228" s="49">
        <v>2173</v>
      </c>
      <c r="F228" s="50">
        <v>553</v>
      </c>
      <c r="G228" s="51">
        <v>3.215840840840841</v>
      </c>
      <c r="H228" s="52">
        <v>5.3914411579609816</v>
      </c>
      <c r="I228" s="53">
        <v>1589</v>
      </c>
      <c r="J228" s="54">
        <v>2664</v>
      </c>
      <c r="K228" s="54">
        <v>8567</v>
      </c>
      <c r="L228" s="55">
        <v>8990.7999999999993</v>
      </c>
      <c r="M228" s="56">
        <v>804.98</v>
      </c>
      <c r="N228" s="57">
        <v>1285.05</v>
      </c>
      <c r="O228" s="58">
        <v>686.50999999999988</v>
      </c>
      <c r="P228" s="59">
        <v>12.479060756580386</v>
      </c>
      <c r="Q228" s="60">
        <v>859.02</v>
      </c>
      <c r="R228" s="61">
        <v>9.9729924798025653</v>
      </c>
      <c r="S228" s="48"/>
      <c r="T228" s="50"/>
      <c r="U228" s="62">
        <v>0</v>
      </c>
      <c r="V228" s="63">
        <v>82</v>
      </c>
      <c r="W228" s="50">
        <v>233</v>
      </c>
      <c r="X228" s="48">
        <v>51</v>
      </c>
      <c r="Y228" s="63">
        <v>291</v>
      </c>
      <c r="Z228" s="63">
        <v>497</v>
      </c>
      <c r="AA228" s="64">
        <v>1894.5</v>
      </c>
      <c r="AB228" s="65">
        <v>294.767</v>
      </c>
      <c r="AC228" s="66"/>
      <c r="AD228" s="67"/>
      <c r="AE228" s="68"/>
      <c r="AF228" s="48">
        <v>180</v>
      </c>
      <c r="AG228" s="63">
        <v>225</v>
      </c>
      <c r="AH228" s="63">
        <v>66</v>
      </c>
      <c r="AI228" s="63">
        <v>81</v>
      </c>
      <c r="AJ228" s="63">
        <v>60</v>
      </c>
      <c r="AK228" s="63">
        <v>237</v>
      </c>
      <c r="AL228" s="63">
        <v>156</v>
      </c>
      <c r="AM228" s="63">
        <v>161</v>
      </c>
      <c r="AN228" s="63">
        <v>396</v>
      </c>
      <c r="AO228" s="63">
        <v>109</v>
      </c>
      <c r="AP228" s="63">
        <v>126</v>
      </c>
      <c r="AQ228" s="63">
        <v>301</v>
      </c>
      <c r="AR228" s="63">
        <v>12</v>
      </c>
      <c r="AS228" s="63">
        <v>12</v>
      </c>
      <c r="AT228" s="63">
        <v>8</v>
      </c>
      <c r="AU228" s="63">
        <v>114</v>
      </c>
      <c r="AV228" s="63">
        <v>424</v>
      </c>
      <c r="AW228" s="50">
        <v>14</v>
      </c>
      <c r="AX228" s="69">
        <v>5145</v>
      </c>
      <c r="AY228" s="69">
        <v>34595</v>
      </c>
      <c r="AZ228" s="54">
        <v>1469</v>
      </c>
      <c r="BA228" s="54">
        <v>4980</v>
      </c>
      <c r="BB228" s="54">
        <v>435</v>
      </c>
      <c r="BC228" s="54">
        <v>1359</v>
      </c>
      <c r="BD228" s="54">
        <v>1429</v>
      </c>
      <c r="BE228" s="70">
        <v>2083</v>
      </c>
      <c r="BF228" s="63">
        <v>497</v>
      </c>
      <c r="BG228" s="71">
        <v>4009</v>
      </c>
      <c r="BH228" s="67"/>
      <c r="BI228" s="68"/>
      <c r="BJ228" s="72">
        <v>2207</v>
      </c>
      <c r="BK228" s="62"/>
      <c r="BL228" s="70">
        <v>2154</v>
      </c>
      <c r="BM228" s="70">
        <v>206</v>
      </c>
      <c r="BN228" s="70">
        <v>260</v>
      </c>
      <c r="BO228" s="70">
        <v>1717</v>
      </c>
      <c r="BP228" s="73">
        <v>24</v>
      </c>
      <c r="BQ228" s="74">
        <v>871</v>
      </c>
      <c r="BR228" s="54">
        <v>391</v>
      </c>
      <c r="BS228" s="75">
        <v>72</v>
      </c>
      <c r="BT228" s="76">
        <v>74.496221662468514</v>
      </c>
      <c r="BU228" s="77">
        <v>25.503778337531486</v>
      </c>
      <c r="BV228" s="78">
        <v>1183</v>
      </c>
      <c r="BW228" s="79">
        <v>405</v>
      </c>
      <c r="BX228" s="69">
        <v>719</v>
      </c>
      <c r="BY228" s="70">
        <v>202</v>
      </c>
      <c r="BZ228" s="70">
        <v>181</v>
      </c>
      <c r="CA228" s="70">
        <v>262</v>
      </c>
      <c r="CB228" s="70">
        <v>17</v>
      </c>
      <c r="CC228" s="70">
        <v>191</v>
      </c>
      <c r="CD228" s="70">
        <v>10</v>
      </c>
      <c r="CE228" s="73">
        <v>6</v>
      </c>
    </row>
    <row r="229" spans="2:83" x14ac:dyDescent="0.3">
      <c r="B229" s="46">
        <v>44</v>
      </c>
      <c r="C229" s="47">
        <v>43406</v>
      </c>
      <c r="D229" s="48">
        <v>23</v>
      </c>
      <c r="E229" s="49">
        <v>2464</v>
      </c>
      <c r="F229" s="50">
        <v>453</v>
      </c>
      <c r="G229" s="51">
        <v>2.3534013605442179</v>
      </c>
      <c r="H229" s="52">
        <v>4.2868649318463445</v>
      </c>
      <c r="I229" s="53">
        <v>1614</v>
      </c>
      <c r="J229" s="54">
        <v>2940</v>
      </c>
      <c r="K229" s="54">
        <v>6919</v>
      </c>
      <c r="L229" s="55">
        <v>6963.1</v>
      </c>
      <c r="M229" s="56">
        <v>823.36800000000005</v>
      </c>
      <c r="N229" s="57">
        <v>1037.8499999999999</v>
      </c>
      <c r="O229" s="58">
        <v>646.06999999999994</v>
      </c>
      <c r="P229" s="59">
        <v>10.709365858188741</v>
      </c>
      <c r="Q229" s="60">
        <v>799.25999999999988</v>
      </c>
      <c r="R229" s="61">
        <v>8.656757500688137</v>
      </c>
      <c r="S229" s="48"/>
      <c r="T229" s="50"/>
      <c r="U229" s="62">
        <v>0</v>
      </c>
      <c r="V229" s="63">
        <v>89</v>
      </c>
      <c r="W229" s="50">
        <v>192</v>
      </c>
      <c r="X229" s="48">
        <v>46</v>
      </c>
      <c r="Y229" s="63">
        <v>182</v>
      </c>
      <c r="Z229" s="63">
        <v>256</v>
      </c>
      <c r="AA229" s="64">
        <v>1535.8</v>
      </c>
      <c r="AB229" s="65">
        <v>177.15199999999999</v>
      </c>
      <c r="AC229" s="66"/>
      <c r="AD229" s="67"/>
      <c r="AE229" s="68"/>
      <c r="AF229" s="48">
        <v>166</v>
      </c>
      <c r="AG229" s="63">
        <v>205</v>
      </c>
      <c r="AH229" s="63">
        <v>64</v>
      </c>
      <c r="AI229" s="63">
        <v>85</v>
      </c>
      <c r="AJ229" s="63">
        <v>70</v>
      </c>
      <c r="AK229" s="63">
        <v>238</v>
      </c>
      <c r="AL229" s="63">
        <v>204</v>
      </c>
      <c r="AM229" s="63">
        <v>114</v>
      </c>
      <c r="AN229" s="63">
        <v>404</v>
      </c>
      <c r="AO229" s="63">
        <v>145</v>
      </c>
      <c r="AP229" s="63">
        <v>140</v>
      </c>
      <c r="AQ229" s="63">
        <v>563</v>
      </c>
      <c r="AR229" s="63">
        <v>12</v>
      </c>
      <c r="AS229" s="63">
        <v>15</v>
      </c>
      <c r="AT229" s="63">
        <v>23</v>
      </c>
      <c r="AU229" s="63">
        <v>171</v>
      </c>
      <c r="AV229" s="63">
        <v>233</v>
      </c>
      <c r="AW229" s="50">
        <v>49</v>
      </c>
      <c r="AX229" s="69">
        <v>2572</v>
      </c>
      <c r="AY229" s="69">
        <v>15293</v>
      </c>
      <c r="AZ229" s="54">
        <v>931</v>
      </c>
      <c r="BA229" s="54">
        <v>3024</v>
      </c>
      <c r="BB229" s="54">
        <v>382</v>
      </c>
      <c r="BC229" s="54">
        <v>1031</v>
      </c>
      <c r="BD229" s="54">
        <v>962</v>
      </c>
      <c r="BE229" s="70">
        <v>1384</v>
      </c>
      <c r="BF229" s="63">
        <v>358</v>
      </c>
      <c r="BG229" s="71">
        <v>2704</v>
      </c>
      <c r="BH229" s="67"/>
      <c r="BI229" s="68"/>
      <c r="BJ229" s="72">
        <v>2451</v>
      </c>
      <c r="BK229" s="62"/>
      <c r="BL229" s="70">
        <v>2273</v>
      </c>
      <c r="BM229" s="70">
        <v>375</v>
      </c>
      <c r="BN229" s="70">
        <v>267</v>
      </c>
      <c r="BO229" s="70">
        <v>1790</v>
      </c>
      <c r="BP229" s="73">
        <v>19</v>
      </c>
      <c r="BQ229" s="74">
        <v>887</v>
      </c>
      <c r="BR229" s="54">
        <v>256</v>
      </c>
      <c r="BS229" s="75">
        <v>60</v>
      </c>
      <c r="BT229" s="76">
        <v>68.367989918084433</v>
      </c>
      <c r="BU229" s="77">
        <v>31.632010081915563</v>
      </c>
      <c r="BV229" s="78">
        <v>1085</v>
      </c>
      <c r="BW229" s="79">
        <v>502</v>
      </c>
      <c r="BX229" s="69">
        <v>609</v>
      </c>
      <c r="BY229" s="70">
        <v>115</v>
      </c>
      <c r="BZ229" s="70">
        <v>192</v>
      </c>
      <c r="CA229" s="70">
        <v>361</v>
      </c>
      <c r="CB229" s="70">
        <v>20</v>
      </c>
      <c r="CC229" s="70">
        <v>250</v>
      </c>
      <c r="CD229" s="70">
        <v>11</v>
      </c>
      <c r="CE229" s="73">
        <v>29</v>
      </c>
    </row>
    <row r="230" spans="2:83" x14ac:dyDescent="0.3">
      <c r="B230" s="46">
        <v>44</v>
      </c>
      <c r="C230" s="47">
        <v>43407</v>
      </c>
      <c r="D230" s="48">
        <v>13</v>
      </c>
      <c r="E230" s="49">
        <v>585</v>
      </c>
      <c r="F230" s="50">
        <v>129</v>
      </c>
      <c r="G230" s="51">
        <v>2.5897740784780026</v>
      </c>
      <c r="H230" s="52">
        <v>6.3498542274052481</v>
      </c>
      <c r="I230" s="53">
        <v>343</v>
      </c>
      <c r="J230" s="54">
        <v>841</v>
      </c>
      <c r="K230" s="54">
        <v>2178</v>
      </c>
      <c r="L230" s="55">
        <v>2640.1</v>
      </c>
      <c r="M230" s="56">
        <v>365</v>
      </c>
      <c r="N230" s="57">
        <v>326.7</v>
      </c>
      <c r="O230" s="58">
        <v>232</v>
      </c>
      <c r="P230" s="59">
        <v>9.387931034482758</v>
      </c>
      <c r="Q230" s="60">
        <v>292.14999999999998</v>
      </c>
      <c r="R230" s="61">
        <v>7.4550744480575055</v>
      </c>
      <c r="S230" s="48"/>
      <c r="T230" s="50"/>
      <c r="U230" s="62">
        <v>0</v>
      </c>
      <c r="V230" s="63">
        <v>46</v>
      </c>
      <c r="W230" s="50">
        <v>33</v>
      </c>
      <c r="X230" s="48">
        <v>39</v>
      </c>
      <c r="Y230" s="63">
        <v>97</v>
      </c>
      <c r="Z230" s="63">
        <v>436</v>
      </c>
      <c r="AA230" s="64">
        <v>7294</v>
      </c>
      <c r="AB230" s="65">
        <v>73.725999999999999</v>
      </c>
      <c r="AC230" s="66"/>
      <c r="AD230" s="67"/>
      <c r="AE230" s="68"/>
      <c r="AF230" s="48">
        <v>18</v>
      </c>
      <c r="AG230" s="63">
        <v>26</v>
      </c>
      <c r="AH230" s="63">
        <v>6</v>
      </c>
      <c r="AI230" s="63">
        <v>8</v>
      </c>
      <c r="AJ230" s="63">
        <v>4</v>
      </c>
      <c r="AK230" s="63">
        <v>44</v>
      </c>
      <c r="AL230" s="63">
        <v>39</v>
      </c>
      <c r="AM230" s="63">
        <v>16</v>
      </c>
      <c r="AN230" s="63">
        <v>124</v>
      </c>
      <c r="AO230" s="63">
        <v>67</v>
      </c>
      <c r="AP230" s="63">
        <v>30</v>
      </c>
      <c r="AQ230" s="63">
        <v>178</v>
      </c>
      <c r="AR230" s="63">
        <v>1</v>
      </c>
      <c r="AS230" s="63">
        <v>1</v>
      </c>
      <c r="AT230" s="63">
        <v>12</v>
      </c>
      <c r="AU230" s="63">
        <v>25</v>
      </c>
      <c r="AV230" s="63">
        <v>76</v>
      </c>
      <c r="AW230" s="50">
        <v>28</v>
      </c>
      <c r="AX230" s="69">
        <v>1579</v>
      </c>
      <c r="AY230" s="69">
        <v>12647</v>
      </c>
      <c r="AZ230" s="54">
        <v>254</v>
      </c>
      <c r="BA230" s="54">
        <v>486</v>
      </c>
      <c r="BB230" s="54">
        <v>97</v>
      </c>
      <c r="BC230" s="54">
        <v>260</v>
      </c>
      <c r="BD230" s="54">
        <v>459</v>
      </c>
      <c r="BE230" s="70">
        <v>460</v>
      </c>
      <c r="BF230" s="63">
        <v>76</v>
      </c>
      <c r="BG230" s="71">
        <v>995</v>
      </c>
      <c r="BH230" s="67"/>
      <c r="BI230" s="68"/>
      <c r="BJ230" s="72">
        <v>862</v>
      </c>
      <c r="BK230" s="62"/>
      <c r="BL230" s="70">
        <v>802</v>
      </c>
      <c r="BM230" s="70">
        <v>99</v>
      </c>
      <c r="BN230" s="70">
        <v>90</v>
      </c>
      <c r="BO230" s="70">
        <v>664</v>
      </c>
      <c r="BP230" s="73">
        <v>9</v>
      </c>
      <c r="BQ230" s="74">
        <v>139</v>
      </c>
      <c r="BR230" s="54">
        <v>31</v>
      </c>
      <c r="BS230" s="75">
        <v>40</v>
      </c>
      <c r="BT230" s="76">
        <v>44.897959183673471</v>
      </c>
      <c r="BU230" s="77">
        <v>55.102040816326529</v>
      </c>
      <c r="BV230" s="78">
        <v>154</v>
      </c>
      <c r="BW230" s="79">
        <v>189</v>
      </c>
      <c r="BX230" s="69">
        <v>74</v>
      </c>
      <c r="BY230" s="70">
        <v>12</v>
      </c>
      <c r="BZ230" s="70">
        <v>50</v>
      </c>
      <c r="CA230" s="70">
        <v>68</v>
      </c>
      <c r="CB230" s="70">
        <v>8</v>
      </c>
      <c r="CC230" s="70">
        <v>120</v>
      </c>
      <c r="CD230" s="70">
        <v>2</v>
      </c>
      <c r="CE230" s="73">
        <v>9</v>
      </c>
    </row>
    <row r="231" spans="2:83" x14ac:dyDescent="0.3">
      <c r="B231" s="46">
        <v>45</v>
      </c>
      <c r="C231" s="47">
        <v>43409</v>
      </c>
      <c r="D231" s="48">
        <v>55</v>
      </c>
      <c r="E231" s="49">
        <v>2799</v>
      </c>
      <c r="F231" s="50">
        <v>437</v>
      </c>
      <c r="G231" s="51">
        <v>2.8106958371315711</v>
      </c>
      <c r="H231" s="52">
        <v>4.3123543123543122</v>
      </c>
      <c r="I231" s="53">
        <v>2145</v>
      </c>
      <c r="J231" s="54">
        <v>3291</v>
      </c>
      <c r="K231" s="54">
        <v>9250</v>
      </c>
      <c r="L231" s="55">
        <v>6576.1</v>
      </c>
      <c r="M231" s="56">
        <v>756.05100000000004</v>
      </c>
      <c r="N231" s="57">
        <v>1387.5</v>
      </c>
      <c r="O231" s="58">
        <v>675.81</v>
      </c>
      <c r="P231" s="59">
        <v>13.687278968940976</v>
      </c>
      <c r="Q231" s="60">
        <v>853.34</v>
      </c>
      <c r="R231" s="61">
        <v>10.839759064382308</v>
      </c>
      <c r="S231" s="48"/>
      <c r="T231" s="50"/>
      <c r="U231" s="62">
        <v>0</v>
      </c>
      <c r="V231" s="63">
        <v>100</v>
      </c>
      <c r="W231" s="50">
        <v>288</v>
      </c>
      <c r="X231" s="48">
        <v>56</v>
      </c>
      <c r="Y231" s="63">
        <v>211</v>
      </c>
      <c r="Z231" s="63">
        <v>292</v>
      </c>
      <c r="AA231" s="64">
        <v>1530.2</v>
      </c>
      <c r="AB231" s="65">
        <v>254.86699999999999</v>
      </c>
      <c r="AC231" s="66"/>
      <c r="AD231" s="67"/>
      <c r="AE231" s="68"/>
      <c r="AF231" s="48">
        <v>282</v>
      </c>
      <c r="AG231" s="63">
        <v>422</v>
      </c>
      <c r="AH231" s="63">
        <v>103</v>
      </c>
      <c r="AI231" s="63">
        <v>121</v>
      </c>
      <c r="AJ231" s="63">
        <v>70</v>
      </c>
      <c r="AK231" s="63">
        <v>323</v>
      </c>
      <c r="AL231" s="63">
        <v>217</v>
      </c>
      <c r="AM231" s="63">
        <v>122</v>
      </c>
      <c r="AN231" s="63">
        <v>468</v>
      </c>
      <c r="AO231" s="63">
        <v>114</v>
      </c>
      <c r="AP231" s="63">
        <v>122</v>
      </c>
      <c r="AQ231" s="63">
        <v>303</v>
      </c>
      <c r="AR231" s="63">
        <v>25</v>
      </c>
      <c r="AS231" s="63">
        <v>2</v>
      </c>
      <c r="AT231" s="63">
        <v>18</v>
      </c>
      <c r="AU231" s="63">
        <v>95</v>
      </c>
      <c r="AV231" s="63">
        <v>323</v>
      </c>
      <c r="AW231" s="50">
        <v>19</v>
      </c>
      <c r="AX231" s="69">
        <v>5995</v>
      </c>
      <c r="AY231" s="69">
        <v>37168</v>
      </c>
      <c r="AZ231" s="54">
        <v>2537</v>
      </c>
      <c r="BA231" s="54">
        <v>6098</v>
      </c>
      <c r="BB231" s="54">
        <v>570</v>
      </c>
      <c r="BC231" s="54">
        <v>1117</v>
      </c>
      <c r="BD231" s="54">
        <v>1759</v>
      </c>
      <c r="BE231" s="70">
        <v>2717</v>
      </c>
      <c r="BF231" s="63">
        <v>584</v>
      </c>
      <c r="BG231" s="71">
        <v>5060</v>
      </c>
      <c r="BH231" s="67"/>
      <c r="BI231" s="68"/>
      <c r="BJ231" s="72">
        <v>2006</v>
      </c>
      <c r="BK231" s="62"/>
      <c r="BL231" s="70">
        <v>2439</v>
      </c>
      <c r="BM231" s="70">
        <v>192</v>
      </c>
      <c r="BN231" s="70">
        <v>247</v>
      </c>
      <c r="BO231" s="70">
        <v>1551</v>
      </c>
      <c r="BP231" s="73">
        <v>16</v>
      </c>
      <c r="BQ231" s="74">
        <v>1453</v>
      </c>
      <c r="BR231" s="54">
        <v>349</v>
      </c>
      <c r="BS231" s="75">
        <v>120</v>
      </c>
      <c r="BT231" s="76">
        <v>78.95725692813528</v>
      </c>
      <c r="BU231" s="77">
        <v>21.042743071864724</v>
      </c>
      <c r="BV231" s="78">
        <v>1681</v>
      </c>
      <c r="BW231" s="79">
        <v>448</v>
      </c>
      <c r="BX231" s="69">
        <v>1099</v>
      </c>
      <c r="BY231" s="70">
        <v>161</v>
      </c>
      <c r="BZ231" s="70">
        <v>241</v>
      </c>
      <c r="CA231" s="70">
        <v>421</v>
      </c>
      <c r="CB231" s="70">
        <v>11</v>
      </c>
      <c r="CC231" s="70">
        <v>165</v>
      </c>
      <c r="CD231" s="70">
        <v>15</v>
      </c>
      <c r="CE231" s="73">
        <v>16</v>
      </c>
    </row>
    <row r="232" spans="2:83" x14ac:dyDescent="0.3">
      <c r="B232" s="46">
        <v>45</v>
      </c>
      <c r="C232" s="47">
        <v>43410</v>
      </c>
      <c r="D232" s="48">
        <v>43</v>
      </c>
      <c r="E232" s="49">
        <v>2005</v>
      </c>
      <c r="F232" s="50">
        <v>555</v>
      </c>
      <c r="G232" s="51">
        <v>3.4750091207588469</v>
      </c>
      <c r="H232" s="52">
        <v>6.4488828706838186</v>
      </c>
      <c r="I232" s="53">
        <v>1477</v>
      </c>
      <c r="J232" s="54">
        <v>2741</v>
      </c>
      <c r="K232" s="54">
        <v>9525</v>
      </c>
      <c r="L232" s="55">
        <v>9121.4</v>
      </c>
      <c r="M232" s="56">
        <v>728.702</v>
      </c>
      <c r="N232" s="57">
        <v>1428.75</v>
      </c>
      <c r="O232" s="58">
        <v>718.4899999999999</v>
      </c>
      <c r="P232" s="59">
        <v>13.256969477654527</v>
      </c>
      <c r="Q232" s="60">
        <v>918.5</v>
      </c>
      <c r="R232" s="61">
        <v>10.370168753402286</v>
      </c>
      <c r="S232" s="48"/>
      <c r="T232" s="50"/>
      <c r="U232" s="62">
        <v>0</v>
      </c>
      <c r="V232" s="63">
        <v>169</v>
      </c>
      <c r="W232" s="50">
        <v>412</v>
      </c>
      <c r="X232" s="48">
        <v>125</v>
      </c>
      <c r="Y232" s="63">
        <v>459</v>
      </c>
      <c r="Z232" s="63">
        <v>2698</v>
      </c>
      <c r="AA232" s="64">
        <v>3381.8</v>
      </c>
      <c r="AB232" s="65">
        <v>426.76</v>
      </c>
      <c r="AC232" s="66"/>
      <c r="AD232" s="67"/>
      <c r="AE232" s="68"/>
      <c r="AF232" s="48">
        <v>194</v>
      </c>
      <c r="AG232" s="63">
        <v>219</v>
      </c>
      <c r="AH232" s="63">
        <v>56</v>
      </c>
      <c r="AI232" s="63">
        <v>76</v>
      </c>
      <c r="AJ232" s="63">
        <v>81</v>
      </c>
      <c r="AK232" s="63">
        <v>183</v>
      </c>
      <c r="AL232" s="63">
        <v>155</v>
      </c>
      <c r="AM232" s="63">
        <v>149</v>
      </c>
      <c r="AN232" s="63">
        <v>469</v>
      </c>
      <c r="AO232" s="63">
        <v>102</v>
      </c>
      <c r="AP232" s="63">
        <v>93</v>
      </c>
      <c r="AQ232" s="63">
        <v>159</v>
      </c>
      <c r="AR232" s="63">
        <v>8</v>
      </c>
      <c r="AS232" s="63">
        <v>1</v>
      </c>
      <c r="AT232" s="63">
        <v>4</v>
      </c>
      <c r="AU232" s="63">
        <v>100</v>
      </c>
      <c r="AV232" s="63">
        <v>450</v>
      </c>
      <c r="AW232" s="50">
        <v>7</v>
      </c>
      <c r="AX232" s="69">
        <v>5699</v>
      </c>
      <c r="AY232" s="69">
        <v>31865</v>
      </c>
      <c r="AZ232" s="54">
        <v>1983</v>
      </c>
      <c r="BA232" s="54">
        <v>6181</v>
      </c>
      <c r="BB232" s="54">
        <v>461</v>
      </c>
      <c r="BC232" s="54">
        <v>1025</v>
      </c>
      <c r="BD232" s="54">
        <v>1511</v>
      </c>
      <c r="BE232" s="70">
        <v>2976</v>
      </c>
      <c r="BF232" s="63">
        <v>499</v>
      </c>
      <c r="BG232" s="71">
        <v>4986</v>
      </c>
      <c r="BH232" s="67"/>
      <c r="BI232" s="68"/>
      <c r="BJ232" s="72">
        <v>2394</v>
      </c>
      <c r="BK232" s="62"/>
      <c r="BL232" s="70">
        <v>2529</v>
      </c>
      <c r="BM232" s="70">
        <v>223</v>
      </c>
      <c r="BN232" s="70">
        <v>301</v>
      </c>
      <c r="BO232" s="70">
        <v>1836</v>
      </c>
      <c r="BP232" s="73">
        <v>34</v>
      </c>
      <c r="BQ232" s="74">
        <v>835</v>
      </c>
      <c r="BR232" s="54">
        <v>455</v>
      </c>
      <c r="BS232" s="75">
        <v>87</v>
      </c>
      <c r="BT232" s="76">
        <v>79.350033852403527</v>
      </c>
      <c r="BU232" s="77">
        <v>20.64996614759648</v>
      </c>
      <c r="BV232" s="78">
        <v>1172</v>
      </c>
      <c r="BW232" s="79">
        <v>305</v>
      </c>
      <c r="BX232" s="69">
        <v>725</v>
      </c>
      <c r="BY232" s="70">
        <v>195</v>
      </c>
      <c r="BZ232" s="70">
        <v>174</v>
      </c>
      <c r="CA232" s="70">
        <v>252</v>
      </c>
      <c r="CB232" s="70">
        <v>10</v>
      </c>
      <c r="CC232" s="70">
        <v>107</v>
      </c>
      <c r="CD232" s="70">
        <v>7</v>
      </c>
      <c r="CE232" s="73">
        <v>7</v>
      </c>
    </row>
    <row r="233" spans="2:83" x14ac:dyDescent="0.3">
      <c r="B233" s="46">
        <v>45</v>
      </c>
      <c r="C233" s="47">
        <v>43411</v>
      </c>
      <c r="D233" s="48">
        <v>22</v>
      </c>
      <c r="E233" s="49">
        <v>1750</v>
      </c>
      <c r="F233" s="50">
        <v>516</v>
      </c>
      <c r="G233" s="51">
        <v>3.3819930069930071</v>
      </c>
      <c r="H233" s="52">
        <v>6.3897605284888526</v>
      </c>
      <c r="I233" s="53">
        <v>1211</v>
      </c>
      <c r="J233" s="54">
        <v>2288</v>
      </c>
      <c r="K233" s="54">
        <v>7738</v>
      </c>
      <c r="L233" s="55">
        <v>5705.9</v>
      </c>
      <c r="M233" s="56">
        <v>735.55499999999995</v>
      </c>
      <c r="N233" s="57">
        <v>1160.7</v>
      </c>
      <c r="O233" s="58">
        <v>723.85</v>
      </c>
      <c r="P233" s="59">
        <v>10.690060095323616</v>
      </c>
      <c r="Q233" s="60">
        <v>925.9</v>
      </c>
      <c r="R233" s="61">
        <v>8.3572740036721029</v>
      </c>
      <c r="S233" s="48"/>
      <c r="T233" s="50"/>
      <c r="U233" s="62">
        <v>0</v>
      </c>
      <c r="V233" s="63">
        <v>94</v>
      </c>
      <c r="W233" s="50">
        <v>118</v>
      </c>
      <c r="X233" s="48">
        <v>42</v>
      </c>
      <c r="Y233" s="63">
        <v>226</v>
      </c>
      <c r="Z233" s="63">
        <v>1451</v>
      </c>
      <c r="AA233" s="64">
        <v>1298.5</v>
      </c>
      <c r="AB233" s="65">
        <v>263.18299999999999</v>
      </c>
      <c r="AC233" s="66"/>
      <c r="AD233" s="67"/>
      <c r="AE233" s="68"/>
      <c r="AF233" s="48">
        <v>98</v>
      </c>
      <c r="AG233" s="63">
        <v>164</v>
      </c>
      <c r="AH233" s="63">
        <v>54</v>
      </c>
      <c r="AI233" s="63">
        <v>59</v>
      </c>
      <c r="AJ233" s="63">
        <v>62</v>
      </c>
      <c r="AK233" s="63">
        <v>172</v>
      </c>
      <c r="AL233" s="63">
        <v>120</v>
      </c>
      <c r="AM233" s="63">
        <v>89</v>
      </c>
      <c r="AN233" s="63">
        <v>332</v>
      </c>
      <c r="AO233" s="63">
        <v>129</v>
      </c>
      <c r="AP233" s="63">
        <v>152</v>
      </c>
      <c r="AQ233" s="63">
        <v>248</v>
      </c>
      <c r="AR233" s="63">
        <v>12</v>
      </c>
      <c r="AS233" s="63">
        <v>3</v>
      </c>
      <c r="AT233" s="63">
        <v>12</v>
      </c>
      <c r="AU233" s="63">
        <v>107</v>
      </c>
      <c r="AV233" s="63">
        <v>385</v>
      </c>
      <c r="AW233" s="50">
        <v>22</v>
      </c>
      <c r="AX233" s="69">
        <v>5234</v>
      </c>
      <c r="AY233" s="69">
        <v>40477</v>
      </c>
      <c r="AZ233" s="54">
        <v>1507</v>
      </c>
      <c r="BA233" s="54">
        <v>8094</v>
      </c>
      <c r="BB233" s="54">
        <v>158</v>
      </c>
      <c r="BC233" s="54">
        <v>381</v>
      </c>
      <c r="BD233" s="54">
        <v>1405</v>
      </c>
      <c r="BE233" s="70">
        <v>1836</v>
      </c>
      <c r="BF233" s="63">
        <v>338</v>
      </c>
      <c r="BG233" s="71">
        <v>3579</v>
      </c>
      <c r="BH233" s="67"/>
      <c r="BI233" s="68"/>
      <c r="BJ233" s="72">
        <v>1985</v>
      </c>
      <c r="BK233" s="62"/>
      <c r="BL233" s="70">
        <v>2202</v>
      </c>
      <c r="BM233" s="70">
        <v>123</v>
      </c>
      <c r="BN233" s="70">
        <v>220</v>
      </c>
      <c r="BO233" s="70">
        <v>1622</v>
      </c>
      <c r="BP233" s="73">
        <v>20</v>
      </c>
      <c r="BQ233" s="74">
        <v>647</v>
      </c>
      <c r="BR233" s="54">
        <v>307</v>
      </c>
      <c r="BS233" s="75">
        <v>79</v>
      </c>
      <c r="BT233" s="76">
        <v>62.592898431048717</v>
      </c>
      <c r="BU233" s="77">
        <v>37.407101568951283</v>
      </c>
      <c r="BV233" s="78">
        <v>758</v>
      </c>
      <c r="BW233" s="79">
        <v>453</v>
      </c>
      <c r="BX233" s="69">
        <v>450</v>
      </c>
      <c r="BY233" s="70">
        <v>73</v>
      </c>
      <c r="BZ233" s="70">
        <v>285</v>
      </c>
      <c r="CA233" s="70">
        <v>235</v>
      </c>
      <c r="CB233" s="70">
        <v>14</v>
      </c>
      <c r="CC233" s="70">
        <v>139</v>
      </c>
      <c r="CD233" s="70">
        <v>9</v>
      </c>
      <c r="CE233" s="73">
        <v>6</v>
      </c>
    </row>
    <row r="234" spans="2:83" x14ac:dyDescent="0.3">
      <c r="B234" s="46">
        <v>45</v>
      </c>
      <c r="C234" s="47">
        <v>43412</v>
      </c>
      <c r="D234" s="48">
        <v>14</v>
      </c>
      <c r="E234" s="49">
        <v>1753</v>
      </c>
      <c r="F234" s="50">
        <v>474</v>
      </c>
      <c r="G234" s="51">
        <v>4.7233377956269527</v>
      </c>
      <c r="H234" s="52">
        <v>8.9627434377646065</v>
      </c>
      <c r="I234" s="53">
        <v>1181</v>
      </c>
      <c r="J234" s="54">
        <v>2241</v>
      </c>
      <c r="K234" s="54">
        <v>10585</v>
      </c>
      <c r="L234" s="55">
        <v>8678</v>
      </c>
      <c r="M234" s="56">
        <v>799.92200000000003</v>
      </c>
      <c r="N234" s="57">
        <v>1587.7500000000002</v>
      </c>
      <c r="O234" s="58">
        <v>697.29</v>
      </c>
      <c r="P234" s="59">
        <v>15.180197622223179</v>
      </c>
      <c r="Q234" s="60">
        <v>916.18999999999994</v>
      </c>
      <c r="R234" s="61">
        <v>11.553280433097939</v>
      </c>
      <c r="S234" s="48"/>
      <c r="T234" s="50"/>
      <c r="U234" s="62">
        <v>0</v>
      </c>
      <c r="V234" s="63">
        <v>79</v>
      </c>
      <c r="W234" s="50">
        <v>132</v>
      </c>
      <c r="X234" s="48">
        <v>67</v>
      </c>
      <c r="Y234" s="63">
        <v>196</v>
      </c>
      <c r="Z234" s="63">
        <v>548</v>
      </c>
      <c r="AA234" s="64">
        <v>1596.1</v>
      </c>
      <c r="AB234" s="65">
        <v>158.12700000000001</v>
      </c>
      <c r="AC234" s="66"/>
      <c r="AD234" s="67"/>
      <c r="AE234" s="68"/>
      <c r="AF234" s="48">
        <v>120</v>
      </c>
      <c r="AG234" s="63">
        <v>170</v>
      </c>
      <c r="AH234" s="63">
        <v>37</v>
      </c>
      <c r="AI234" s="63">
        <v>45</v>
      </c>
      <c r="AJ234" s="63">
        <v>65</v>
      </c>
      <c r="AK234" s="63">
        <v>131</v>
      </c>
      <c r="AL234" s="63">
        <v>128</v>
      </c>
      <c r="AM234" s="63">
        <v>129</v>
      </c>
      <c r="AN234" s="63">
        <v>432</v>
      </c>
      <c r="AO234" s="63">
        <v>102</v>
      </c>
      <c r="AP234" s="63">
        <v>152</v>
      </c>
      <c r="AQ234" s="63">
        <v>156</v>
      </c>
      <c r="AR234" s="63">
        <v>4</v>
      </c>
      <c r="AS234" s="63">
        <v>1</v>
      </c>
      <c r="AT234" s="63">
        <v>9</v>
      </c>
      <c r="AU234" s="63">
        <v>104</v>
      </c>
      <c r="AV234" s="63">
        <v>348</v>
      </c>
      <c r="AW234" s="50">
        <v>20</v>
      </c>
      <c r="AX234" s="69">
        <v>6087</v>
      </c>
      <c r="AY234" s="69">
        <v>34291</v>
      </c>
      <c r="AZ234" s="54">
        <v>1961</v>
      </c>
      <c r="BA234" s="54">
        <v>6043</v>
      </c>
      <c r="BB234" s="54">
        <v>206</v>
      </c>
      <c r="BC234" s="54">
        <v>478</v>
      </c>
      <c r="BD234" s="54">
        <v>1540</v>
      </c>
      <c r="BE234" s="70">
        <v>2408</v>
      </c>
      <c r="BF234" s="63">
        <v>267</v>
      </c>
      <c r="BG234" s="71">
        <v>4215</v>
      </c>
      <c r="BH234" s="67"/>
      <c r="BI234" s="68"/>
      <c r="BJ234" s="72">
        <v>2488</v>
      </c>
      <c r="BK234" s="62"/>
      <c r="BL234" s="70">
        <v>2955</v>
      </c>
      <c r="BM234" s="70">
        <v>298</v>
      </c>
      <c r="BN234" s="70">
        <v>194</v>
      </c>
      <c r="BO234" s="70">
        <v>1975</v>
      </c>
      <c r="BP234" s="73">
        <v>21</v>
      </c>
      <c r="BQ234" s="74">
        <v>573</v>
      </c>
      <c r="BR234" s="54">
        <v>395</v>
      </c>
      <c r="BS234" s="75">
        <v>111</v>
      </c>
      <c r="BT234" s="76">
        <v>73.406966864910785</v>
      </c>
      <c r="BU234" s="77">
        <v>26.593033135089211</v>
      </c>
      <c r="BV234" s="78">
        <v>864</v>
      </c>
      <c r="BW234" s="79">
        <v>313</v>
      </c>
      <c r="BX234" s="69">
        <v>507</v>
      </c>
      <c r="BY234" s="70">
        <v>155</v>
      </c>
      <c r="BZ234" s="70">
        <v>226</v>
      </c>
      <c r="CA234" s="70">
        <v>202</v>
      </c>
      <c r="CB234" s="70">
        <v>4</v>
      </c>
      <c r="CC234" s="70">
        <v>75</v>
      </c>
      <c r="CD234" s="70">
        <v>5</v>
      </c>
      <c r="CE234" s="73">
        <v>3</v>
      </c>
    </row>
    <row r="235" spans="2:83" x14ac:dyDescent="0.3">
      <c r="B235" s="46">
        <v>45</v>
      </c>
      <c r="C235" s="47">
        <v>43413</v>
      </c>
      <c r="D235" s="48">
        <v>38</v>
      </c>
      <c r="E235" s="49">
        <v>2264</v>
      </c>
      <c r="F235" s="50">
        <v>461</v>
      </c>
      <c r="G235" s="51">
        <v>3.9688744118711545</v>
      </c>
      <c r="H235" s="52">
        <v>7.0657216494845363</v>
      </c>
      <c r="I235" s="53">
        <v>1552</v>
      </c>
      <c r="J235" s="54">
        <v>2763</v>
      </c>
      <c r="K235" s="54">
        <v>10966</v>
      </c>
      <c r="L235" s="55">
        <v>11738.6</v>
      </c>
      <c r="M235" s="56">
        <v>1058.405</v>
      </c>
      <c r="N235" s="57">
        <v>1644.8999999999999</v>
      </c>
      <c r="O235" s="58">
        <v>681.58999999999992</v>
      </c>
      <c r="P235" s="59">
        <v>16.088851068824368</v>
      </c>
      <c r="Q235" s="60">
        <v>877.79</v>
      </c>
      <c r="R235" s="61">
        <v>12.492737442896365</v>
      </c>
      <c r="S235" s="48"/>
      <c r="T235" s="50"/>
      <c r="U235" s="62">
        <v>0</v>
      </c>
      <c r="V235" s="63">
        <v>76</v>
      </c>
      <c r="W235" s="50">
        <v>162</v>
      </c>
      <c r="X235" s="48">
        <v>54</v>
      </c>
      <c r="Y235" s="63">
        <v>288</v>
      </c>
      <c r="Z235" s="63">
        <v>267</v>
      </c>
      <c r="AA235" s="64">
        <v>1481</v>
      </c>
      <c r="AB235" s="65">
        <v>269.24400000000003</v>
      </c>
      <c r="AC235" s="66"/>
      <c r="AD235" s="67"/>
      <c r="AE235" s="68"/>
      <c r="AF235" s="48">
        <v>154</v>
      </c>
      <c r="AG235" s="63">
        <v>194</v>
      </c>
      <c r="AH235" s="63">
        <v>37</v>
      </c>
      <c r="AI235" s="63">
        <v>98</v>
      </c>
      <c r="AJ235" s="63">
        <v>77</v>
      </c>
      <c r="AK235" s="63">
        <v>197</v>
      </c>
      <c r="AL235" s="63">
        <v>223</v>
      </c>
      <c r="AM235" s="63">
        <v>124</v>
      </c>
      <c r="AN235" s="63">
        <v>486</v>
      </c>
      <c r="AO235" s="63">
        <v>138</v>
      </c>
      <c r="AP235" s="63">
        <v>177</v>
      </c>
      <c r="AQ235" s="63">
        <v>173</v>
      </c>
      <c r="AR235" s="63">
        <v>16</v>
      </c>
      <c r="AS235" s="63">
        <v>6</v>
      </c>
      <c r="AT235" s="63">
        <v>7</v>
      </c>
      <c r="AU235" s="63">
        <v>106</v>
      </c>
      <c r="AV235" s="63">
        <v>334</v>
      </c>
      <c r="AW235" s="50">
        <v>21</v>
      </c>
      <c r="AX235" s="69">
        <v>5901</v>
      </c>
      <c r="AY235" s="69">
        <v>44531</v>
      </c>
      <c r="AZ235" s="54">
        <v>1169</v>
      </c>
      <c r="BA235" s="54">
        <v>4338</v>
      </c>
      <c r="BB235" s="54">
        <v>172</v>
      </c>
      <c r="BC235" s="54">
        <v>378</v>
      </c>
      <c r="BD235" s="54">
        <v>1603</v>
      </c>
      <c r="BE235" s="70">
        <v>1028</v>
      </c>
      <c r="BF235" s="63">
        <v>252</v>
      </c>
      <c r="BG235" s="71">
        <v>2883</v>
      </c>
      <c r="BH235" s="67"/>
      <c r="BI235" s="68"/>
      <c r="BJ235" s="72">
        <v>1813</v>
      </c>
      <c r="BK235" s="62"/>
      <c r="BL235" s="70">
        <v>1873</v>
      </c>
      <c r="BM235" s="70">
        <v>202</v>
      </c>
      <c r="BN235" s="70">
        <v>287</v>
      </c>
      <c r="BO235" s="70">
        <v>1306</v>
      </c>
      <c r="BP235" s="73">
        <v>18</v>
      </c>
      <c r="BQ235" s="74">
        <v>789</v>
      </c>
      <c r="BR235" s="54">
        <v>395</v>
      </c>
      <c r="BS235" s="75">
        <v>174</v>
      </c>
      <c r="BT235" s="76">
        <v>75.209812782440281</v>
      </c>
      <c r="BU235" s="77">
        <v>24.790187217559716</v>
      </c>
      <c r="BV235" s="78">
        <v>1165</v>
      </c>
      <c r="BW235" s="79">
        <v>384</v>
      </c>
      <c r="BX235" s="69">
        <v>574</v>
      </c>
      <c r="BY235" s="70">
        <v>243</v>
      </c>
      <c r="BZ235" s="70">
        <v>220</v>
      </c>
      <c r="CA235" s="70">
        <v>348</v>
      </c>
      <c r="CB235" s="70">
        <v>16</v>
      </c>
      <c r="CC235" s="70">
        <v>126</v>
      </c>
      <c r="CD235" s="70">
        <v>14</v>
      </c>
      <c r="CE235" s="73">
        <v>8</v>
      </c>
    </row>
    <row r="236" spans="2:83" x14ac:dyDescent="0.3">
      <c r="B236" s="46">
        <v>45</v>
      </c>
      <c r="C236" s="47">
        <v>43414</v>
      </c>
      <c r="D236" s="48">
        <v>14</v>
      </c>
      <c r="E236" s="49">
        <v>1009</v>
      </c>
      <c r="F236" s="50">
        <v>365</v>
      </c>
      <c r="G236" s="51">
        <v>1.9142651296829971</v>
      </c>
      <c r="H236" s="52">
        <v>3.9894894894894897</v>
      </c>
      <c r="I236" s="53">
        <v>666</v>
      </c>
      <c r="J236" s="54">
        <v>1388</v>
      </c>
      <c r="K236" s="54">
        <v>2657</v>
      </c>
      <c r="L236" s="55">
        <v>4673.1000000000004</v>
      </c>
      <c r="M236" s="56">
        <v>451.78399999999999</v>
      </c>
      <c r="N236" s="57">
        <v>398.55</v>
      </c>
      <c r="O236" s="58">
        <v>503.09</v>
      </c>
      <c r="P236" s="59">
        <v>5.2813611878590319</v>
      </c>
      <c r="Q236" s="60">
        <v>636.16999999999996</v>
      </c>
      <c r="R236" s="61">
        <v>4.1765565807881542</v>
      </c>
      <c r="S236" s="48"/>
      <c r="T236" s="50"/>
      <c r="U236" s="62">
        <v>0</v>
      </c>
      <c r="V236" s="63">
        <v>46</v>
      </c>
      <c r="W236" s="50">
        <v>76</v>
      </c>
      <c r="X236" s="48">
        <v>26</v>
      </c>
      <c r="Y236" s="63">
        <v>145</v>
      </c>
      <c r="Z236" s="63">
        <v>98</v>
      </c>
      <c r="AA236" s="64">
        <v>820.1</v>
      </c>
      <c r="AB236" s="65">
        <v>178.06100000000001</v>
      </c>
      <c r="AC236" s="66"/>
      <c r="AD236" s="67"/>
      <c r="AE236" s="68"/>
      <c r="AF236" s="48">
        <v>56</v>
      </c>
      <c r="AG236" s="63">
        <v>100</v>
      </c>
      <c r="AH236" s="63">
        <v>24</v>
      </c>
      <c r="AI236" s="63">
        <v>32</v>
      </c>
      <c r="AJ236" s="63">
        <v>17</v>
      </c>
      <c r="AK236" s="63">
        <v>84</v>
      </c>
      <c r="AL236" s="63">
        <v>62</v>
      </c>
      <c r="AM236" s="63">
        <v>34</v>
      </c>
      <c r="AN236" s="63">
        <v>248</v>
      </c>
      <c r="AO236" s="63">
        <v>74</v>
      </c>
      <c r="AP236" s="63">
        <v>101</v>
      </c>
      <c r="AQ236" s="63">
        <v>149</v>
      </c>
      <c r="AR236" s="63">
        <v>7</v>
      </c>
      <c r="AS236" s="63">
        <v>0</v>
      </c>
      <c r="AT236" s="63">
        <v>8</v>
      </c>
      <c r="AU236" s="63">
        <v>55</v>
      </c>
      <c r="AV236" s="63">
        <v>284</v>
      </c>
      <c r="AW236" s="50">
        <v>24</v>
      </c>
      <c r="AX236" s="69">
        <v>4264</v>
      </c>
      <c r="AY236" s="69">
        <v>24647</v>
      </c>
      <c r="AZ236" s="54">
        <v>2146</v>
      </c>
      <c r="BA236" s="54">
        <v>6764</v>
      </c>
      <c r="BB236" s="54">
        <v>499</v>
      </c>
      <c r="BC236" s="54">
        <v>1118</v>
      </c>
      <c r="BD236" s="54">
        <v>995</v>
      </c>
      <c r="BE236" s="70">
        <v>1358</v>
      </c>
      <c r="BF236" s="63">
        <v>359</v>
      </c>
      <c r="BG236" s="71">
        <v>2712</v>
      </c>
      <c r="BH236" s="67"/>
      <c r="BI236" s="68"/>
      <c r="BJ236" s="72">
        <v>1475</v>
      </c>
      <c r="BK236" s="62"/>
      <c r="BL236" s="70">
        <v>1065</v>
      </c>
      <c r="BM236" s="70">
        <v>23</v>
      </c>
      <c r="BN236" s="70">
        <v>216</v>
      </c>
      <c r="BO236" s="70">
        <v>1209</v>
      </c>
      <c r="BP236" s="73">
        <v>27</v>
      </c>
      <c r="BQ236" s="74">
        <v>376</v>
      </c>
      <c r="BR236" s="54">
        <v>99</v>
      </c>
      <c r="BS236" s="75">
        <v>99</v>
      </c>
      <c r="BT236" s="76">
        <v>69.637462235649551</v>
      </c>
      <c r="BU236" s="77">
        <v>30.362537764350453</v>
      </c>
      <c r="BV236" s="78">
        <v>461</v>
      </c>
      <c r="BW236" s="79">
        <v>201</v>
      </c>
      <c r="BX236" s="69">
        <v>274</v>
      </c>
      <c r="BY236" s="70">
        <v>14</v>
      </c>
      <c r="BZ236" s="70">
        <v>100</v>
      </c>
      <c r="CA236" s="70">
        <v>173</v>
      </c>
      <c r="CB236" s="70">
        <v>10</v>
      </c>
      <c r="CC236" s="70">
        <v>79</v>
      </c>
      <c r="CD236" s="70">
        <v>8</v>
      </c>
      <c r="CE236" s="73">
        <v>4</v>
      </c>
    </row>
    <row r="237" spans="2:83" x14ac:dyDescent="0.3">
      <c r="B237" s="46">
        <v>46</v>
      </c>
      <c r="C237" s="47">
        <v>43416</v>
      </c>
      <c r="D237" s="48">
        <v>59</v>
      </c>
      <c r="E237" s="49">
        <v>2523</v>
      </c>
      <c r="F237" s="50">
        <v>472</v>
      </c>
      <c r="G237" s="51">
        <v>3.6695292620865141</v>
      </c>
      <c r="H237" s="52">
        <v>5.8533739218670728</v>
      </c>
      <c r="I237" s="53">
        <v>1971</v>
      </c>
      <c r="J237" s="54">
        <v>3144</v>
      </c>
      <c r="K237" s="54">
        <v>11537</v>
      </c>
      <c r="L237" s="55">
        <v>10925.3</v>
      </c>
      <c r="M237" s="56">
        <v>1024.201</v>
      </c>
      <c r="N237" s="57">
        <v>1730.5500000000002</v>
      </c>
      <c r="O237" s="58">
        <v>731.68000000000006</v>
      </c>
      <c r="P237" s="59">
        <v>15.76782199868795</v>
      </c>
      <c r="Q237" s="60">
        <v>921.21</v>
      </c>
      <c r="R237" s="61">
        <v>12.523745942836053</v>
      </c>
      <c r="S237" s="48"/>
      <c r="T237" s="50"/>
      <c r="U237" s="62">
        <v>0</v>
      </c>
      <c r="V237" s="63">
        <v>75</v>
      </c>
      <c r="W237" s="50">
        <v>141</v>
      </c>
      <c r="X237" s="48">
        <v>33</v>
      </c>
      <c r="Y237" s="63">
        <v>271</v>
      </c>
      <c r="Z237" s="63">
        <v>699</v>
      </c>
      <c r="AA237" s="64">
        <v>1517.9</v>
      </c>
      <c r="AB237" s="65">
        <v>241.86799999999999</v>
      </c>
      <c r="AC237" s="66"/>
      <c r="AD237" s="67"/>
      <c r="AE237" s="68"/>
      <c r="AF237" s="48">
        <v>206</v>
      </c>
      <c r="AG237" s="63">
        <v>337</v>
      </c>
      <c r="AH237" s="63">
        <v>55</v>
      </c>
      <c r="AI237" s="63">
        <v>117</v>
      </c>
      <c r="AJ237" s="63">
        <v>78</v>
      </c>
      <c r="AK237" s="63">
        <v>304</v>
      </c>
      <c r="AL237" s="63">
        <v>195</v>
      </c>
      <c r="AM237" s="63">
        <v>128</v>
      </c>
      <c r="AN237" s="63">
        <v>465</v>
      </c>
      <c r="AO237" s="63">
        <v>143</v>
      </c>
      <c r="AP237" s="63">
        <v>175</v>
      </c>
      <c r="AQ237" s="63">
        <v>243</v>
      </c>
      <c r="AR237" s="63">
        <v>20</v>
      </c>
      <c r="AS237" s="63">
        <v>2</v>
      </c>
      <c r="AT237" s="63">
        <v>17</v>
      </c>
      <c r="AU237" s="63">
        <v>146</v>
      </c>
      <c r="AV237" s="63">
        <v>259</v>
      </c>
      <c r="AW237" s="50">
        <v>65</v>
      </c>
      <c r="AX237" s="69">
        <v>5645</v>
      </c>
      <c r="AY237" s="69">
        <v>34533</v>
      </c>
      <c r="AZ237" s="54">
        <v>2277</v>
      </c>
      <c r="BA237" s="54">
        <v>8584</v>
      </c>
      <c r="BB237" s="54">
        <v>463</v>
      </c>
      <c r="BC237" s="54">
        <v>905</v>
      </c>
      <c r="BD237" s="54">
        <v>1452</v>
      </c>
      <c r="BE237" s="70">
        <v>2589</v>
      </c>
      <c r="BF237" s="63">
        <v>582</v>
      </c>
      <c r="BG237" s="71">
        <v>4623</v>
      </c>
      <c r="BH237" s="67"/>
      <c r="BI237" s="68"/>
      <c r="BJ237" s="72">
        <v>2059</v>
      </c>
      <c r="BK237" s="62"/>
      <c r="BL237" s="70">
        <v>2441</v>
      </c>
      <c r="BM237" s="70">
        <v>195</v>
      </c>
      <c r="BN237" s="70">
        <v>163</v>
      </c>
      <c r="BO237" s="70">
        <v>1668</v>
      </c>
      <c r="BP237" s="73">
        <v>33</v>
      </c>
      <c r="BQ237" s="74">
        <v>1207</v>
      </c>
      <c r="BR237" s="54">
        <v>279</v>
      </c>
      <c r="BS237" s="75">
        <v>89</v>
      </c>
      <c r="BT237" s="76">
        <v>73.628048780487802</v>
      </c>
      <c r="BU237" s="77">
        <v>26.371951219512194</v>
      </c>
      <c r="BV237" s="78">
        <v>1449</v>
      </c>
      <c r="BW237" s="79">
        <v>519</v>
      </c>
      <c r="BX237" s="69">
        <v>771</v>
      </c>
      <c r="BY237" s="70">
        <v>158</v>
      </c>
      <c r="BZ237" s="70">
        <v>167</v>
      </c>
      <c r="CA237" s="70">
        <v>520</v>
      </c>
      <c r="CB237" s="70">
        <v>31</v>
      </c>
      <c r="CC237" s="70">
        <v>294</v>
      </c>
      <c r="CD237" s="70">
        <v>17</v>
      </c>
      <c r="CE237" s="73">
        <v>10</v>
      </c>
    </row>
    <row r="238" spans="2:83" x14ac:dyDescent="0.3">
      <c r="B238" s="46">
        <v>46</v>
      </c>
      <c r="C238" s="47">
        <v>43417</v>
      </c>
      <c r="D238" s="48">
        <v>58</v>
      </c>
      <c r="E238" s="49">
        <v>1925</v>
      </c>
      <c r="F238" s="50">
        <v>514</v>
      </c>
      <c r="G238" s="51">
        <v>4.1966804979253114</v>
      </c>
      <c r="H238" s="52">
        <v>7.8160741885625962</v>
      </c>
      <c r="I238" s="53">
        <v>1294</v>
      </c>
      <c r="J238" s="54">
        <v>2410</v>
      </c>
      <c r="K238" s="54">
        <v>10114</v>
      </c>
      <c r="L238" s="55">
        <v>9730.7999999999993</v>
      </c>
      <c r="M238" s="56">
        <v>792.54</v>
      </c>
      <c r="N238" s="57">
        <v>1517.1000000000001</v>
      </c>
      <c r="O238" s="58">
        <v>732.15</v>
      </c>
      <c r="P238" s="59">
        <v>13.814109130642628</v>
      </c>
      <c r="Q238" s="60">
        <v>924.33999999999992</v>
      </c>
      <c r="R238" s="61">
        <v>10.941861219897442</v>
      </c>
      <c r="S238" s="48"/>
      <c r="T238" s="50"/>
      <c r="U238" s="62">
        <v>0</v>
      </c>
      <c r="V238" s="63">
        <v>64</v>
      </c>
      <c r="W238" s="50">
        <v>120</v>
      </c>
      <c r="X238" s="48">
        <v>56</v>
      </c>
      <c r="Y238" s="63">
        <v>170</v>
      </c>
      <c r="Z238" s="63">
        <v>237</v>
      </c>
      <c r="AA238" s="64">
        <v>1623.4</v>
      </c>
      <c r="AB238" s="65">
        <v>138.208</v>
      </c>
      <c r="AC238" s="66"/>
      <c r="AD238" s="67"/>
      <c r="AE238" s="68"/>
      <c r="AF238" s="48">
        <v>104</v>
      </c>
      <c r="AG238" s="63">
        <v>169</v>
      </c>
      <c r="AH238" s="63">
        <v>42</v>
      </c>
      <c r="AI238" s="63">
        <v>67</v>
      </c>
      <c r="AJ238" s="63">
        <v>61</v>
      </c>
      <c r="AK238" s="63">
        <v>176</v>
      </c>
      <c r="AL238" s="63">
        <v>123</v>
      </c>
      <c r="AM238" s="63">
        <v>104</v>
      </c>
      <c r="AN238" s="63">
        <v>412</v>
      </c>
      <c r="AO238" s="63">
        <v>149</v>
      </c>
      <c r="AP238" s="63">
        <v>214</v>
      </c>
      <c r="AQ238" s="63">
        <v>219</v>
      </c>
      <c r="AR238" s="63">
        <v>7</v>
      </c>
      <c r="AS238" s="63">
        <v>0</v>
      </c>
      <c r="AT238" s="63">
        <v>5</v>
      </c>
      <c r="AU238" s="63">
        <v>162</v>
      </c>
      <c r="AV238" s="63">
        <v>297</v>
      </c>
      <c r="AW238" s="50">
        <v>52</v>
      </c>
      <c r="AX238" s="69">
        <v>5444</v>
      </c>
      <c r="AY238" s="69">
        <v>35032</v>
      </c>
      <c r="AZ238" s="54">
        <v>1877</v>
      </c>
      <c r="BA238" s="54">
        <v>10086</v>
      </c>
      <c r="BB238" s="54">
        <v>466</v>
      </c>
      <c r="BC238" s="54">
        <v>1191</v>
      </c>
      <c r="BD238" s="54">
        <v>1303</v>
      </c>
      <c r="BE238" s="70">
        <v>3572</v>
      </c>
      <c r="BF238" s="63">
        <v>423</v>
      </c>
      <c r="BG238" s="71">
        <v>5298</v>
      </c>
      <c r="BH238" s="67"/>
      <c r="BI238" s="68"/>
      <c r="BJ238" s="72">
        <v>2585</v>
      </c>
      <c r="BK238" s="62"/>
      <c r="BL238" s="70">
        <v>3135</v>
      </c>
      <c r="BM238" s="70">
        <v>389</v>
      </c>
      <c r="BN238" s="70">
        <v>282</v>
      </c>
      <c r="BO238" s="70">
        <v>1880</v>
      </c>
      <c r="BP238" s="73">
        <v>34</v>
      </c>
      <c r="BQ238" s="74">
        <v>679</v>
      </c>
      <c r="BR238" s="54">
        <v>353</v>
      </c>
      <c r="BS238" s="75">
        <v>95</v>
      </c>
      <c r="BT238" s="76">
        <v>70.4192546583851</v>
      </c>
      <c r="BU238" s="77">
        <v>29.580745341614907</v>
      </c>
      <c r="BV238" s="78">
        <v>907</v>
      </c>
      <c r="BW238" s="79">
        <v>381</v>
      </c>
      <c r="BX238" s="69">
        <v>493</v>
      </c>
      <c r="BY238" s="70">
        <v>139</v>
      </c>
      <c r="BZ238" s="70">
        <v>218</v>
      </c>
      <c r="CA238" s="70">
        <v>275</v>
      </c>
      <c r="CB238" s="70">
        <v>11</v>
      </c>
      <c r="CC238" s="70">
        <v>124</v>
      </c>
      <c r="CD238" s="70">
        <v>17</v>
      </c>
      <c r="CE238" s="73">
        <v>11</v>
      </c>
    </row>
    <row r="239" spans="2:83" x14ac:dyDescent="0.3">
      <c r="B239" s="46">
        <v>46</v>
      </c>
      <c r="C239" s="47">
        <v>43418</v>
      </c>
      <c r="D239" s="48">
        <v>42</v>
      </c>
      <c r="E239" s="49">
        <v>1847</v>
      </c>
      <c r="F239" s="50">
        <v>460</v>
      </c>
      <c r="G239" s="51">
        <v>5.2200789127575629</v>
      </c>
      <c r="H239" s="52">
        <v>8.8791946308724832</v>
      </c>
      <c r="I239" s="53">
        <v>1341</v>
      </c>
      <c r="J239" s="54">
        <v>2281</v>
      </c>
      <c r="K239" s="54">
        <v>11907</v>
      </c>
      <c r="L239" s="55">
        <v>8463.7000000000007</v>
      </c>
      <c r="M239" s="56">
        <v>791.15599999999995</v>
      </c>
      <c r="N239" s="57">
        <v>1786.05</v>
      </c>
      <c r="O239" s="58">
        <v>749.02</v>
      </c>
      <c r="P239" s="59">
        <v>15.896771781794879</v>
      </c>
      <c r="Q239" s="60">
        <v>941.8900000000001</v>
      </c>
      <c r="R239" s="61">
        <v>12.641603584282665</v>
      </c>
      <c r="S239" s="48"/>
      <c r="T239" s="50"/>
      <c r="U239" s="62">
        <v>0</v>
      </c>
      <c r="V239" s="63">
        <v>97</v>
      </c>
      <c r="W239" s="50">
        <v>106</v>
      </c>
      <c r="X239" s="48">
        <v>51</v>
      </c>
      <c r="Y239" s="63">
        <v>213</v>
      </c>
      <c r="Z239" s="63">
        <v>623</v>
      </c>
      <c r="AA239" s="64">
        <v>988.1</v>
      </c>
      <c r="AB239" s="65">
        <v>144.20500000000001</v>
      </c>
      <c r="AC239" s="66"/>
      <c r="AD239" s="67"/>
      <c r="AE239" s="68"/>
      <c r="AF239" s="48">
        <v>124</v>
      </c>
      <c r="AG239" s="63">
        <v>175</v>
      </c>
      <c r="AH239" s="63">
        <v>40</v>
      </c>
      <c r="AI239" s="63">
        <v>66</v>
      </c>
      <c r="AJ239" s="63">
        <v>57</v>
      </c>
      <c r="AK239" s="63">
        <v>182</v>
      </c>
      <c r="AL239" s="63">
        <v>149</v>
      </c>
      <c r="AM239" s="63">
        <v>131</v>
      </c>
      <c r="AN239" s="63">
        <v>360</v>
      </c>
      <c r="AO239" s="63">
        <v>123</v>
      </c>
      <c r="AP239" s="63">
        <v>112</v>
      </c>
      <c r="AQ239" s="63">
        <v>186</v>
      </c>
      <c r="AR239" s="63">
        <v>15</v>
      </c>
      <c r="AS239" s="63">
        <v>3</v>
      </c>
      <c r="AT239" s="63">
        <v>5</v>
      </c>
      <c r="AU239" s="63">
        <v>195</v>
      </c>
      <c r="AV239" s="63">
        <v>211</v>
      </c>
      <c r="AW239" s="50">
        <v>44</v>
      </c>
      <c r="AX239" s="69">
        <v>5680</v>
      </c>
      <c r="AY239" s="69">
        <v>31465</v>
      </c>
      <c r="AZ239" s="54">
        <v>2248</v>
      </c>
      <c r="BA239" s="54">
        <v>6179</v>
      </c>
      <c r="BB239" s="54">
        <v>365</v>
      </c>
      <c r="BC239" s="54">
        <v>801</v>
      </c>
      <c r="BD239" s="54">
        <v>1525</v>
      </c>
      <c r="BE239" s="70">
        <v>2663</v>
      </c>
      <c r="BF239" s="63">
        <v>342</v>
      </c>
      <c r="BG239" s="71">
        <v>4530</v>
      </c>
      <c r="BH239" s="67"/>
      <c r="BI239" s="68"/>
      <c r="BJ239" s="72">
        <v>2461</v>
      </c>
      <c r="BK239" s="62"/>
      <c r="BL239" s="70">
        <v>3255</v>
      </c>
      <c r="BM239" s="70">
        <v>326</v>
      </c>
      <c r="BN239" s="70">
        <v>194</v>
      </c>
      <c r="BO239" s="70">
        <v>1918</v>
      </c>
      <c r="BP239" s="73">
        <v>23</v>
      </c>
      <c r="BQ239" s="74">
        <v>694</v>
      </c>
      <c r="BR239" s="54">
        <v>388</v>
      </c>
      <c r="BS239" s="75">
        <v>114</v>
      </c>
      <c r="BT239" s="76">
        <v>70.811220621683091</v>
      </c>
      <c r="BU239" s="77">
        <v>29.188779378316905</v>
      </c>
      <c r="BV239" s="78">
        <v>934</v>
      </c>
      <c r="BW239" s="79">
        <v>385</v>
      </c>
      <c r="BX239" s="69">
        <v>462</v>
      </c>
      <c r="BY239" s="70">
        <v>188</v>
      </c>
      <c r="BZ239" s="70">
        <v>215</v>
      </c>
      <c r="CA239" s="70">
        <v>284</v>
      </c>
      <c r="CB239" s="70">
        <v>12</v>
      </c>
      <c r="CC239" s="70">
        <v>135</v>
      </c>
      <c r="CD239" s="70">
        <v>11</v>
      </c>
      <c r="CE239" s="73">
        <v>12</v>
      </c>
    </row>
    <row r="240" spans="2:83" x14ac:dyDescent="0.3">
      <c r="B240" s="46">
        <v>46</v>
      </c>
      <c r="C240" s="47">
        <v>43419</v>
      </c>
      <c r="D240" s="48">
        <v>41</v>
      </c>
      <c r="E240" s="49">
        <v>1812</v>
      </c>
      <c r="F240" s="50">
        <v>477</v>
      </c>
      <c r="G240" s="51">
        <v>2.9414114513981358</v>
      </c>
      <c r="H240" s="52">
        <v>5.5971283783783781</v>
      </c>
      <c r="I240" s="53">
        <v>1184</v>
      </c>
      <c r="J240" s="54">
        <v>2253</v>
      </c>
      <c r="K240" s="54">
        <v>6627</v>
      </c>
      <c r="L240" s="55">
        <v>10783.1</v>
      </c>
      <c r="M240" s="56">
        <v>777.57799999999997</v>
      </c>
      <c r="N240" s="57">
        <v>994.05</v>
      </c>
      <c r="O240" s="58">
        <v>696.53</v>
      </c>
      <c r="P240" s="59">
        <v>9.5143066343158225</v>
      </c>
      <c r="Q240" s="60">
        <v>889.16</v>
      </c>
      <c r="R240" s="61">
        <v>7.4531018039497958</v>
      </c>
      <c r="S240" s="48"/>
      <c r="T240" s="50"/>
      <c r="U240" s="62">
        <v>0</v>
      </c>
      <c r="V240" s="63">
        <v>54</v>
      </c>
      <c r="W240" s="50">
        <v>118</v>
      </c>
      <c r="X240" s="48">
        <v>41</v>
      </c>
      <c r="Y240" s="63">
        <v>194</v>
      </c>
      <c r="Z240" s="63">
        <v>370</v>
      </c>
      <c r="AA240" s="64">
        <v>1810</v>
      </c>
      <c r="AB240" s="65">
        <v>193.04300000000001</v>
      </c>
      <c r="AC240" s="66"/>
      <c r="AD240" s="67"/>
      <c r="AE240" s="68"/>
      <c r="AF240" s="48">
        <v>116</v>
      </c>
      <c r="AG240" s="63">
        <v>141</v>
      </c>
      <c r="AH240" s="63">
        <v>30</v>
      </c>
      <c r="AI240" s="63">
        <v>57</v>
      </c>
      <c r="AJ240" s="63">
        <v>54</v>
      </c>
      <c r="AK240" s="63">
        <v>151</v>
      </c>
      <c r="AL240" s="63">
        <v>119</v>
      </c>
      <c r="AM240" s="63">
        <v>122</v>
      </c>
      <c r="AN240" s="63">
        <v>452</v>
      </c>
      <c r="AO240" s="63">
        <v>120</v>
      </c>
      <c r="AP240" s="63">
        <v>179</v>
      </c>
      <c r="AQ240" s="63">
        <v>231</v>
      </c>
      <c r="AR240" s="63">
        <v>6</v>
      </c>
      <c r="AS240" s="63">
        <v>1</v>
      </c>
      <c r="AT240" s="63">
        <v>4</v>
      </c>
      <c r="AU240" s="63">
        <v>121</v>
      </c>
      <c r="AV240" s="63">
        <v>323</v>
      </c>
      <c r="AW240" s="50">
        <v>33</v>
      </c>
      <c r="AX240" s="69">
        <v>3223</v>
      </c>
      <c r="AY240" s="69">
        <v>39337</v>
      </c>
      <c r="AZ240" s="54">
        <v>1458</v>
      </c>
      <c r="BA240" s="54">
        <v>6926</v>
      </c>
      <c r="BB240" s="54">
        <v>28</v>
      </c>
      <c r="BC240" s="54">
        <v>160</v>
      </c>
      <c r="BD240" s="54">
        <v>1292</v>
      </c>
      <c r="BE240" s="70">
        <v>1589</v>
      </c>
      <c r="BF240" s="63">
        <v>192</v>
      </c>
      <c r="BG240" s="71">
        <v>3073</v>
      </c>
      <c r="BH240" s="67"/>
      <c r="BI240" s="68"/>
      <c r="BJ240" s="72">
        <v>2488</v>
      </c>
      <c r="BK240" s="62"/>
      <c r="BL240" s="70">
        <v>2481</v>
      </c>
      <c r="BM240" s="70">
        <v>368</v>
      </c>
      <c r="BN240" s="70">
        <v>303</v>
      </c>
      <c r="BO240" s="70">
        <v>1766</v>
      </c>
      <c r="BP240" s="73">
        <v>51</v>
      </c>
      <c r="BQ240" s="74">
        <v>415</v>
      </c>
      <c r="BR240" s="54">
        <v>313</v>
      </c>
      <c r="BS240" s="75">
        <v>243</v>
      </c>
      <c r="BT240" s="76">
        <v>68.605645851154833</v>
      </c>
      <c r="BU240" s="77">
        <v>31.394354148845167</v>
      </c>
      <c r="BV240" s="78">
        <v>802</v>
      </c>
      <c r="BW240" s="79">
        <v>367</v>
      </c>
      <c r="BX240" s="69">
        <v>449</v>
      </c>
      <c r="BY240" s="70">
        <v>173</v>
      </c>
      <c r="BZ240" s="70">
        <v>176</v>
      </c>
      <c r="CA240" s="70">
        <v>180</v>
      </c>
      <c r="CB240" s="70">
        <v>9</v>
      </c>
      <c r="CC240" s="70">
        <v>134</v>
      </c>
      <c r="CD240" s="70">
        <v>21</v>
      </c>
      <c r="CE240" s="73">
        <v>27</v>
      </c>
    </row>
    <row r="241" spans="2:83" x14ac:dyDescent="0.3">
      <c r="B241" s="46">
        <v>46</v>
      </c>
      <c r="C241" s="47">
        <v>43420</v>
      </c>
      <c r="D241" s="48">
        <v>20</v>
      </c>
      <c r="E241" s="49">
        <v>2024</v>
      </c>
      <c r="F241" s="50">
        <v>603</v>
      </c>
      <c r="G241" s="51">
        <v>2.6418426103646833</v>
      </c>
      <c r="H241" s="52">
        <v>4.836261419536191</v>
      </c>
      <c r="I241" s="53">
        <v>1423</v>
      </c>
      <c r="J241" s="54">
        <v>2605</v>
      </c>
      <c r="K241" s="54">
        <v>6882</v>
      </c>
      <c r="L241" s="55">
        <v>9107.2000000000007</v>
      </c>
      <c r="M241" s="56">
        <v>852.07600000000002</v>
      </c>
      <c r="N241" s="57">
        <v>1032.3</v>
      </c>
      <c r="O241" s="58">
        <v>702.98</v>
      </c>
      <c r="P241" s="59">
        <v>9.7897521977865658</v>
      </c>
      <c r="Q241" s="60">
        <v>892.81999999999994</v>
      </c>
      <c r="R241" s="61">
        <v>7.7081606594834353</v>
      </c>
      <c r="S241" s="48"/>
      <c r="T241" s="50"/>
      <c r="U241" s="62">
        <v>0</v>
      </c>
      <c r="V241" s="63">
        <v>60</v>
      </c>
      <c r="W241" s="50">
        <v>129</v>
      </c>
      <c r="X241" s="48">
        <v>35</v>
      </c>
      <c r="Y241" s="63">
        <v>177</v>
      </c>
      <c r="Z241" s="63">
        <v>174</v>
      </c>
      <c r="AA241" s="64">
        <v>2131</v>
      </c>
      <c r="AB241" s="65">
        <v>132.84299999999999</v>
      </c>
      <c r="AC241" s="66"/>
      <c r="AD241" s="67"/>
      <c r="AE241" s="68"/>
      <c r="AF241" s="48">
        <v>150</v>
      </c>
      <c r="AG241" s="63">
        <v>110</v>
      </c>
      <c r="AH241" s="63">
        <v>42</v>
      </c>
      <c r="AI241" s="63">
        <v>52</v>
      </c>
      <c r="AJ241" s="63">
        <v>76</v>
      </c>
      <c r="AK241" s="63">
        <v>191</v>
      </c>
      <c r="AL241" s="63">
        <v>140</v>
      </c>
      <c r="AM241" s="63">
        <v>171</v>
      </c>
      <c r="AN241" s="63">
        <v>493</v>
      </c>
      <c r="AO241" s="63">
        <v>198</v>
      </c>
      <c r="AP241" s="63">
        <v>137</v>
      </c>
      <c r="AQ241" s="63">
        <v>211</v>
      </c>
      <c r="AR241" s="63">
        <v>8</v>
      </c>
      <c r="AS241" s="63">
        <v>1</v>
      </c>
      <c r="AT241" s="63">
        <v>4</v>
      </c>
      <c r="AU241" s="63">
        <v>239</v>
      </c>
      <c r="AV241" s="63">
        <v>341</v>
      </c>
      <c r="AW241" s="50">
        <v>22</v>
      </c>
      <c r="AX241" s="69">
        <v>4790</v>
      </c>
      <c r="AY241" s="69">
        <v>28816</v>
      </c>
      <c r="AZ241" s="54">
        <v>1733</v>
      </c>
      <c r="BA241" s="54">
        <v>6887</v>
      </c>
      <c r="BB241" s="54">
        <v>443</v>
      </c>
      <c r="BC241" s="54">
        <v>823</v>
      </c>
      <c r="BD241" s="54">
        <v>1165</v>
      </c>
      <c r="BE241" s="70">
        <v>2002</v>
      </c>
      <c r="BF241" s="63">
        <v>344</v>
      </c>
      <c r="BG241" s="71">
        <v>3511</v>
      </c>
      <c r="BH241" s="67"/>
      <c r="BI241" s="68"/>
      <c r="BJ241" s="72">
        <v>1599</v>
      </c>
      <c r="BK241" s="62"/>
      <c r="BL241" s="70">
        <v>1879</v>
      </c>
      <c r="BM241" s="70">
        <v>122</v>
      </c>
      <c r="BN241" s="70">
        <v>141</v>
      </c>
      <c r="BO241" s="70">
        <v>1322</v>
      </c>
      <c r="BP241" s="73">
        <v>14</v>
      </c>
      <c r="BQ241" s="74">
        <v>649</v>
      </c>
      <c r="BR241" s="54">
        <v>453</v>
      </c>
      <c r="BS241" s="75">
        <v>87</v>
      </c>
      <c r="BT241" s="76">
        <v>67.487684729064043</v>
      </c>
      <c r="BU241" s="77">
        <v>32.512315270935957</v>
      </c>
      <c r="BV241" s="78">
        <v>959</v>
      </c>
      <c r="BW241" s="79">
        <v>462</v>
      </c>
      <c r="BX241" s="69">
        <v>531</v>
      </c>
      <c r="BY241" s="70">
        <v>185</v>
      </c>
      <c r="BZ241" s="70">
        <v>268</v>
      </c>
      <c r="CA241" s="70">
        <v>243</v>
      </c>
      <c r="CB241" s="70">
        <v>16</v>
      </c>
      <c r="CC241" s="70">
        <v>127</v>
      </c>
      <c r="CD241" s="70">
        <v>13</v>
      </c>
      <c r="CE241" s="73">
        <v>38</v>
      </c>
    </row>
    <row r="242" spans="2:83" x14ac:dyDescent="0.3">
      <c r="B242" s="46">
        <v>46</v>
      </c>
      <c r="C242" s="47">
        <v>43421</v>
      </c>
      <c r="D242" s="48">
        <v>3</v>
      </c>
      <c r="E242" s="49">
        <v>677</v>
      </c>
      <c r="F242" s="50">
        <v>117</v>
      </c>
      <c r="G242" s="51">
        <v>2.5706806282722514</v>
      </c>
      <c r="H242" s="52">
        <v>4.0081632653061225</v>
      </c>
      <c r="I242" s="53">
        <v>490</v>
      </c>
      <c r="J242" s="54">
        <v>764</v>
      </c>
      <c r="K242" s="54">
        <v>1964</v>
      </c>
      <c r="L242" s="55">
        <v>6230.6</v>
      </c>
      <c r="M242" s="56">
        <v>174.43199999999999</v>
      </c>
      <c r="N242" s="57">
        <v>294.60000000000002</v>
      </c>
      <c r="O242" s="58">
        <v>227.67</v>
      </c>
      <c r="P242" s="59">
        <v>8.6265208415689383</v>
      </c>
      <c r="Q242" s="60">
        <v>291.97999999999996</v>
      </c>
      <c r="R242" s="61">
        <v>6.7264881156243588</v>
      </c>
      <c r="S242" s="48"/>
      <c r="T242" s="50"/>
      <c r="U242" s="62">
        <v>0</v>
      </c>
      <c r="V242" s="63">
        <v>24</v>
      </c>
      <c r="W242" s="50">
        <v>34</v>
      </c>
      <c r="X242" s="48">
        <v>22</v>
      </c>
      <c r="Y242" s="63">
        <v>40</v>
      </c>
      <c r="Z242" s="63">
        <v>146</v>
      </c>
      <c r="AA242" s="64">
        <v>115.9</v>
      </c>
      <c r="AB242" s="65">
        <v>22.256</v>
      </c>
      <c r="AC242" s="66"/>
      <c r="AD242" s="67"/>
      <c r="AE242" s="68"/>
      <c r="AF242" s="48">
        <v>54</v>
      </c>
      <c r="AG242" s="63">
        <v>47</v>
      </c>
      <c r="AH242" s="63">
        <v>16</v>
      </c>
      <c r="AI242" s="63">
        <v>28</v>
      </c>
      <c r="AJ242" s="63">
        <v>16</v>
      </c>
      <c r="AK242" s="63">
        <v>80</v>
      </c>
      <c r="AL242" s="63">
        <v>39</v>
      </c>
      <c r="AM242" s="63">
        <v>38</v>
      </c>
      <c r="AN242" s="63">
        <v>90</v>
      </c>
      <c r="AO242" s="63">
        <v>110</v>
      </c>
      <c r="AP242" s="63">
        <v>49</v>
      </c>
      <c r="AQ242" s="63">
        <v>79</v>
      </c>
      <c r="AR242" s="63">
        <v>6</v>
      </c>
      <c r="AS242" s="63">
        <v>0</v>
      </c>
      <c r="AT242" s="63">
        <v>21</v>
      </c>
      <c r="AU242" s="63">
        <v>52</v>
      </c>
      <c r="AV242" s="63">
        <v>85</v>
      </c>
      <c r="AW242" s="50">
        <v>12</v>
      </c>
      <c r="AX242" s="69">
        <v>1258</v>
      </c>
      <c r="AY242" s="69">
        <v>5265</v>
      </c>
      <c r="AZ242" s="54">
        <v>30</v>
      </c>
      <c r="BA242" s="54">
        <v>103</v>
      </c>
      <c r="BB242" s="54">
        <v>20</v>
      </c>
      <c r="BC242" s="54">
        <v>57</v>
      </c>
      <c r="BD242" s="54">
        <v>377</v>
      </c>
      <c r="BE242" s="70">
        <v>156</v>
      </c>
      <c r="BF242" s="63">
        <v>8</v>
      </c>
      <c r="BG242" s="71">
        <v>541</v>
      </c>
      <c r="BH242" s="67"/>
      <c r="BI242" s="68"/>
      <c r="BJ242" s="72">
        <v>1659</v>
      </c>
      <c r="BK242" s="62"/>
      <c r="BL242" s="70">
        <v>938</v>
      </c>
      <c r="BM242" s="70">
        <v>244</v>
      </c>
      <c r="BN242" s="70">
        <v>344</v>
      </c>
      <c r="BO242" s="70">
        <v>1037</v>
      </c>
      <c r="BP242" s="73">
        <v>34</v>
      </c>
      <c r="BQ242" s="74">
        <v>247</v>
      </c>
      <c r="BR242" s="54">
        <v>89</v>
      </c>
      <c r="BS242" s="75">
        <v>10</v>
      </c>
      <c r="BT242" s="76">
        <v>56.477732793522264</v>
      </c>
      <c r="BU242" s="77">
        <v>43.522267206477736</v>
      </c>
      <c r="BV242" s="78">
        <v>279</v>
      </c>
      <c r="BW242" s="79">
        <v>215</v>
      </c>
      <c r="BX242" s="69">
        <v>170</v>
      </c>
      <c r="BY242" s="70">
        <v>36</v>
      </c>
      <c r="BZ242" s="70">
        <v>58</v>
      </c>
      <c r="CA242" s="70">
        <v>73</v>
      </c>
      <c r="CB242" s="70">
        <v>10</v>
      </c>
      <c r="CC242" s="70">
        <v>133</v>
      </c>
      <c r="CD242" s="70">
        <v>9</v>
      </c>
      <c r="CE242" s="73">
        <v>5</v>
      </c>
    </row>
    <row r="243" spans="2:83" x14ac:dyDescent="0.3">
      <c r="B243" s="46">
        <v>47</v>
      </c>
      <c r="C243" s="47">
        <v>43423</v>
      </c>
      <c r="D243" s="48">
        <v>45</v>
      </c>
      <c r="E243" s="49">
        <v>2512</v>
      </c>
      <c r="F243" s="50">
        <v>531</v>
      </c>
      <c r="G243" s="51">
        <v>3.6338207247298158</v>
      </c>
      <c r="H243" s="52">
        <v>5.58203125</v>
      </c>
      <c r="I243" s="53">
        <v>2048</v>
      </c>
      <c r="J243" s="54">
        <v>3146</v>
      </c>
      <c r="K243" s="54">
        <v>11432</v>
      </c>
      <c r="L243" s="55">
        <v>13913.3</v>
      </c>
      <c r="M243" s="56">
        <v>990.55600000000004</v>
      </c>
      <c r="N243" s="57">
        <v>1714.8</v>
      </c>
      <c r="O243" s="58">
        <v>779.42000000000007</v>
      </c>
      <c r="P243" s="59">
        <v>14.667316722691231</v>
      </c>
      <c r="Q243" s="60">
        <v>982.39999999999986</v>
      </c>
      <c r="R243" s="61">
        <v>11.636807817589577</v>
      </c>
      <c r="S243" s="48"/>
      <c r="T243" s="50"/>
      <c r="U243" s="62">
        <v>0</v>
      </c>
      <c r="V243" s="63">
        <v>43</v>
      </c>
      <c r="W243" s="50">
        <v>71</v>
      </c>
      <c r="X243" s="48">
        <v>41</v>
      </c>
      <c r="Y243" s="63">
        <v>114</v>
      </c>
      <c r="Z243" s="63">
        <v>206</v>
      </c>
      <c r="AA243" s="64">
        <v>2353.6999999999998</v>
      </c>
      <c r="AB243" s="65">
        <v>80.36</v>
      </c>
      <c r="AC243" s="66"/>
      <c r="AD243" s="67"/>
      <c r="AE243" s="68"/>
      <c r="AF243" s="48">
        <v>255</v>
      </c>
      <c r="AG243" s="63">
        <v>157</v>
      </c>
      <c r="AH243" s="63">
        <v>61</v>
      </c>
      <c r="AI243" s="63">
        <v>92</v>
      </c>
      <c r="AJ243" s="63">
        <v>83</v>
      </c>
      <c r="AK243" s="63">
        <v>358</v>
      </c>
      <c r="AL243" s="63">
        <v>215</v>
      </c>
      <c r="AM243" s="63">
        <v>151</v>
      </c>
      <c r="AN243" s="63">
        <v>502</v>
      </c>
      <c r="AO243" s="63">
        <v>171</v>
      </c>
      <c r="AP243" s="63">
        <v>148</v>
      </c>
      <c r="AQ243" s="63">
        <v>228</v>
      </c>
      <c r="AR243" s="63">
        <v>6</v>
      </c>
      <c r="AS243" s="63">
        <v>4</v>
      </c>
      <c r="AT243" s="63">
        <v>13</v>
      </c>
      <c r="AU243" s="63">
        <v>130</v>
      </c>
      <c r="AV243" s="63">
        <v>380</v>
      </c>
      <c r="AW243" s="50">
        <v>19</v>
      </c>
      <c r="AX243" s="69">
        <v>5279</v>
      </c>
      <c r="AY243" s="69">
        <v>27779</v>
      </c>
      <c r="AZ243" s="54">
        <v>2430</v>
      </c>
      <c r="BA243" s="54">
        <v>8332</v>
      </c>
      <c r="BB243" s="54">
        <v>592</v>
      </c>
      <c r="BC243" s="54">
        <v>1065</v>
      </c>
      <c r="BD243" s="54">
        <v>1667</v>
      </c>
      <c r="BE243" s="70">
        <v>3124</v>
      </c>
      <c r="BF243" s="63">
        <v>520</v>
      </c>
      <c r="BG243" s="71">
        <v>5311</v>
      </c>
      <c r="BH243" s="67"/>
      <c r="BI243" s="68"/>
      <c r="BJ243" s="72">
        <v>2010</v>
      </c>
      <c r="BK243" s="62"/>
      <c r="BL243" s="70">
        <v>2891</v>
      </c>
      <c r="BM243" s="70">
        <v>176</v>
      </c>
      <c r="BN243" s="70">
        <v>279</v>
      </c>
      <c r="BO243" s="70">
        <v>1516</v>
      </c>
      <c r="BP243" s="73">
        <v>39</v>
      </c>
      <c r="BQ243" s="74">
        <v>1071</v>
      </c>
      <c r="BR243" s="54">
        <v>584</v>
      </c>
      <c r="BS243" s="75">
        <v>105</v>
      </c>
      <c r="BT243" s="76">
        <v>70.235655737704917</v>
      </c>
      <c r="BU243" s="77">
        <v>29.764344262295083</v>
      </c>
      <c r="BV243" s="78">
        <v>1371</v>
      </c>
      <c r="BW243" s="79">
        <v>581</v>
      </c>
      <c r="BX243" s="69">
        <v>788</v>
      </c>
      <c r="BY243" s="70">
        <v>248</v>
      </c>
      <c r="BZ243" s="70">
        <v>361</v>
      </c>
      <c r="CA243" s="70">
        <v>335</v>
      </c>
      <c r="CB243" s="70">
        <v>14</v>
      </c>
      <c r="CC243" s="70">
        <v>172</v>
      </c>
      <c r="CD243" s="70">
        <v>17</v>
      </c>
      <c r="CE243" s="73">
        <v>17</v>
      </c>
    </row>
    <row r="244" spans="2:83" x14ac:dyDescent="0.3">
      <c r="B244" s="46">
        <v>47</v>
      </c>
      <c r="C244" s="47">
        <v>43424</v>
      </c>
      <c r="D244" s="48">
        <v>53</v>
      </c>
      <c r="E244" s="49">
        <v>2017</v>
      </c>
      <c r="F244" s="50">
        <v>525</v>
      </c>
      <c r="G244" s="51">
        <v>2.9420348601540334</v>
      </c>
      <c r="H244" s="52">
        <v>4.6053299492385786</v>
      </c>
      <c r="I244" s="53">
        <v>1576</v>
      </c>
      <c r="J244" s="54">
        <v>2467</v>
      </c>
      <c r="K244" s="54">
        <v>7258</v>
      </c>
      <c r="L244" s="55">
        <v>7500.1</v>
      </c>
      <c r="M244" s="56">
        <v>728.44500000000005</v>
      </c>
      <c r="N244" s="57">
        <v>1088.7</v>
      </c>
      <c r="O244" s="58">
        <v>781.28000000000009</v>
      </c>
      <c r="P244" s="59">
        <v>9.2898832684824892</v>
      </c>
      <c r="Q244" s="60">
        <v>980.63000000000011</v>
      </c>
      <c r="R244" s="61">
        <v>7.4013644289895266</v>
      </c>
      <c r="S244" s="48"/>
      <c r="T244" s="50"/>
      <c r="U244" s="62">
        <v>0</v>
      </c>
      <c r="V244" s="63">
        <v>35</v>
      </c>
      <c r="W244" s="50">
        <v>96</v>
      </c>
      <c r="X244" s="48">
        <v>26</v>
      </c>
      <c r="Y244" s="63">
        <v>92</v>
      </c>
      <c r="Z244" s="63">
        <v>114</v>
      </c>
      <c r="AA244" s="64">
        <v>762.3</v>
      </c>
      <c r="AB244" s="65">
        <v>76.352999999999994</v>
      </c>
      <c r="AC244" s="66"/>
      <c r="AD244" s="67"/>
      <c r="AE244" s="68"/>
      <c r="AF244" s="48">
        <v>142</v>
      </c>
      <c r="AG244" s="63">
        <v>91</v>
      </c>
      <c r="AH244" s="63">
        <v>44</v>
      </c>
      <c r="AI244" s="63">
        <v>66</v>
      </c>
      <c r="AJ244" s="63">
        <v>60</v>
      </c>
      <c r="AK244" s="63">
        <v>315</v>
      </c>
      <c r="AL244" s="63">
        <v>187</v>
      </c>
      <c r="AM244" s="63">
        <v>163</v>
      </c>
      <c r="AN244" s="63">
        <v>335</v>
      </c>
      <c r="AO244" s="63">
        <v>207</v>
      </c>
      <c r="AP244" s="63">
        <v>122</v>
      </c>
      <c r="AQ244" s="63">
        <v>236</v>
      </c>
      <c r="AR244" s="63">
        <v>10</v>
      </c>
      <c r="AS244" s="63">
        <v>2</v>
      </c>
      <c r="AT244" s="63">
        <v>3</v>
      </c>
      <c r="AU244" s="63">
        <v>126</v>
      </c>
      <c r="AV244" s="63">
        <v>351</v>
      </c>
      <c r="AW244" s="50">
        <v>48</v>
      </c>
      <c r="AX244" s="69">
        <v>3630</v>
      </c>
      <c r="AY244" s="69">
        <v>43473</v>
      </c>
      <c r="AZ244" s="54">
        <v>1476</v>
      </c>
      <c r="BA244" s="54">
        <v>7975</v>
      </c>
      <c r="BB244" s="54">
        <v>419</v>
      </c>
      <c r="BC244" s="54">
        <v>602</v>
      </c>
      <c r="BD244" s="54">
        <v>1463</v>
      </c>
      <c r="BE244" s="70">
        <v>1895</v>
      </c>
      <c r="BF244" s="63">
        <v>294</v>
      </c>
      <c r="BG244" s="71">
        <v>3652</v>
      </c>
      <c r="BH244" s="67"/>
      <c r="BI244" s="68"/>
      <c r="BJ244" s="72">
        <v>2009</v>
      </c>
      <c r="BK244" s="62"/>
      <c r="BL244" s="70">
        <v>1642</v>
      </c>
      <c r="BM244" s="70">
        <v>244</v>
      </c>
      <c r="BN244" s="70">
        <v>315</v>
      </c>
      <c r="BO244" s="70">
        <v>1383</v>
      </c>
      <c r="BP244" s="73">
        <v>67</v>
      </c>
      <c r="BQ244" s="74">
        <v>756</v>
      </c>
      <c r="BR244" s="54">
        <v>361</v>
      </c>
      <c r="BS244" s="75">
        <v>114</v>
      </c>
      <c r="BT244" s="76">
        <v>68.181818181818187</v>
      </c>
      <c r="BU244" s="77">
        <v>31.818181818181817</v>
      </c>
      <c r="BV244" s="78">
        <v>1035</v>
      </c>
      <c r="BW244" s="79">
        <v>483</v>
      </c>
      <c r="BX244" s="69">
        <v>627</v>
      </c>
      <c r="BY244" s="70">
        <v>174</v>
      </c>
      <c r="BZ244" s="70">
        <v>239</v>
      </c>
      <c r="CA244" s="70">
        <v>234</v>
      </c>
      <c r="CB244" s="70">
        <v>33</v>
      </c>
      <c r="CC244" s="70">
        <v>201</v>
      </c>
      <c r="CD244" s="70">
        <v>10</v>
      </c>
      <c r="CE244" s="73">
        <v>0</v>
      </c>
    </row>
    <row r="245" spans="2:83" x14ac:dyDescent="0.3">
      <c r="B245" s="46">
        <v>47</v>
      </c>
      <c r="C245" s="47">
        <v>43425</v>
      </c>
      <c r="D245" s="48">
        <v>31</v>
      </c>
      <c r="E245" s="49">
        <v>2262</v>
      </c>
      <c r="F245" s="50">
        <v>496</v>
      </c>
      <c r="G245" s="51">
        <v>3.0278770550393137</v>
      </c>
      <c r="H245" s="52">
        <v>4.9255813953488374</v>
      </c>
      <c r="I245" s="53">
        <v>1720</v>
      </c>
      <c r="J245" s="54">
        <v>2798</v>
      </c>
      <c r="K245" s="54">
        <v>8472</v>
      </c>
      <c r="L245" s="55">
        <v>13138.5</v>
      </c>
      <c r="M245" s="56">
        <v>875.83399999999995</v>
      </c>
      <c r="N245" s="57">
        <v>1270.8</v>
      </c>
      <c r="O245" s="58">
        <v>750.65000000000009</v>
      </c>
      <c r="P245" s="59">
        <v>11.286218610537533</v>
      </c>
      <c r="Q245" s="60">
        <v>953.85</v>
      </c>
      <c r="R245" s="61">
        <v>8.8818996697593953</v>
      </c>
      <c r="S245" s="48"/>
      <c r="T245" s="50"/>
      <c r="U245" s="62">
        <v>0</v>
      </c>
      <c r="V245" s="63">
        <v>89</v>
      </c>
      <c r="W245" s="50">
        <v>120</v>
      </c>
      <c r="X245" s="48">
        <v>33</v>
      </c>
      <c r="Y245" s="63">
        <v>127</v>
      </c>
      <c r="Z245" s="63">
        <v>256</v>
      </c>
      <c r="AA245" s="64">
        <v>548.1</v>
      </c>
      <c r="AB245" s="65">
        <v>56.167999999999999</v>
      </c>
      <c r="AC245" s="66"/>
      <c r="AD245" s="67"/>
      <c r="AE245" s="68"/>
      <c r="AF245" s="48">
        <v>209</v>
      </c>
      <c r="AG245" s="63">
        <v>156</v>
      </c>
      <c r="AH245" s="63">
        <v>48</v>
      </c>
      <c r="AI245" s="63">
        <v>86</v>
      </c>
      <c r="AJ245" s="63">
        <v>72</v>
      </c>
      <c r="AK245" s="63">
        <v>365</v>
      </c>
      <c r="AL245" s="63">
        <v>194</v>
      </c>
      <c r="AM245" s="63">
        <v>179</v>
      </c>
      <c r="AN245" s="63">
        <v>463</v>
      </c>
      <c r="AO245" s="63">
        <v>95</v>
      </c>
      <c r="AP245" s="63">
        <v>116</v>
      </c>
      <c r="AQ245" s="63">
        <v>252</v>
      </c>
      <c r="AR245" s="63">
        <v>2</v>
      </c>
      <c r="AS245" s="63">
        <v>1</v>
      </c>
      <c r="AT245" s="63">
        <v>8</v>
      </c>
      <c r="AU245" s="63">
        <v>99</v>
      </c>
      <c r="AV245" s="63">
        <v>361</v>
      </c>
      <c r="AW245" s="50">
        <v>32</v>
      </c>
      <c r="AX245" s="69">
        <v>4082</v>
      </c>
      <c r="AY245" s="69">
        <v>34249</v>
      </c>
      <c r="AZ245" s="54">
        <v>2190</v>
      </c>
      <c r="BA245" s="54">
        <v>12014</v>
      </c>
      <c r="BB245" s="54">
        <v>735</v>
      </c>
      <c r="BC245" s="54">
        <v>1453</v>
      </c>
      <c r="BD245" s="54">
        <v>1595</v>
      </c>
      <c r="BE245" s="70">
        <v>3329</v>
      </c>
      <c r="BF245" s="63">
        <v>654</v>
      </c>
      <c r="BG245" s="71">
        <v>5578</v>
      </c>
      <c r="BH245" s="67"/>
      <c r="BI245" s="68"/>
      <c r="BJ245" s="72">
        <v>2096</v>
      </c>
      <c r="BK245" s="62"/>
      <c r="BL245" s="70">
        <v>2579</v>
      </c>
      <c r="BM245" s="70">
        <v>283</v>
      </c>
      <c r="BN245" s="70">
        <v>240</v>
      </c>
      <c r="BO245" s="70">
        <v>1514</v>
      </c>
      <c r="BP245" s="73">
        <v>59</v>
      </c>
      <c r="BQ245" s="74">
        <v>970</v>
      </c>
      <c r="BR245" s="54">
        <v>498</v>
      </c>
      <c r="BS245" s="75">
        <v>97</v>
      </c>
      <c r="BT245" s="76">
        <v>76.14571092831963</v>
      </c>
      <c r="BU245" s="77">
        <v>23.854289071680377</v>
      </c>
      <c r="BV245" s="78">
        <v>1296</v>
      </c>
      <c r="BW245" s="79">
        <v>406</v>
      </c>
      <c r="BX245" s="69">
        <v>776</v>
      </c>
      <c r="BY245" s="70">
        <v>226</v>
      </c>
      <c r="BZ245" s="70">
        <v>266</v>
      </c>
      <c r="CA245" s="70">
        <v>294</v>
      </c>
      <c r="CB245" s="70">
        <v>7</v>
      </c>
      <c r="CC245" s="70">
        <v>121</v>
      </c>
      <c r="CD245" s="70">
        <v>12</v>
      </c>
      <c r="CE245" s="73">
        <v>0</v>
      </c>
    </row>
    <row r="246" spans="2:83" x14ac:dyDescent="0.3">
      <c r="B246" s="46">
        <v>47</v>
      </c>
      <c r="C246" s="47">
        <v>43426</v>
      </c>
      <c r="D246" s="48">
        <v>35</v>
      </c>
      <c r="E246" s="49">
        <v>2157</v>
      </c>
      <c r="F246" s="50">
        <v>560</v>
      </c>
      <c r="G246" s="51">
        <v>2.5470668485675305</v>
      </c>
      <c r="H246" s="52">
        <v>4.7057340894770006</v>
      </c>
      <c r="I246" s="53">
        <v>1587</v>
      </c>
      <c r="J246" s="54">
        <v>2932</v>
      </c>
      <c r="K246" s="54">
        <v>7468</v>
      </c>
      <c r="L246" s="55">
        <v>8588.1</v>
      </c>
      <c r="M246" s="56">
        <v>1226.6110000000001</v>
      </c>
      <c r="N246" s="57">
        <v>1120.2</v>
      </c>
      <c r="O246" s="58">
        <v>773.56000000000006</v>
      </c>
      <c r="P246" s="59">
        <v>9.6540669114225128</v>
      </c>
      <c r="Q246" s="60">
        <v>974.97</v>
      </c>
      <c r="R246" s="61">
        <v>7.6597228632675876</v>
      </c>
      <c r="S246" s="48"/>
      <c r="T246" s="50"/>
      <c r="U246" s="62">
        <v>0</v>
      </c>
      <c r="V246" s="63">
        <v>73</v>
      </c>
      <c r="W246" s="50">
        <v>87</v>
      </c>
      <c r="X246" s="48">
        <v>51</v>
      </c>
      <c r="Y246" s="63">
        <v>294</v>
      </c>
      <c r="Z246" s="63">
        <v>654</v>
      </c>
      <c r="AA246" s="64">
        <v>1641.9</v>
      </c>
      <c r="AB246" s="65">
        <v>308.44299999999998</v>
      </c>
      <c r="AC246" s="66"/>
      <c r="AD246" s="67"/>
      <c r="AE246" s="68"/>
      <c r="AF246" s="48">
        <v>169</v>
      </c>
      <c r="AG246" s="63">
        <v>148</v>
      </c>
      <c r="AH246" s="63">
        <v>38</v>
      </c>
      <c r="AI246" s="63">
        <v>72</v>
      </c>
      <c r="AJ246" s="63">
        <v>67</v>
      </c>
      <c r="AK246" s="63">
        <v>282</v>
      </c>
      <c r="AL246" s="63">
        <v>190</v>
      </c>
      <c r="AM246" s="63">
        <v>130</v>
      </c>
      <c r="AN246" s="63">
        <v>409</v>
      </c>
      <c r="AO246" s="63">
        <v>174</v>
      </c>
      <c r="AP246" s="63">
        <v>140</v>
      </c>
      <c r="AQ246" s="63">
        <v>312</v>
      </c>
      <c r="AR246" s="63">
        <v>0</v>
      </c>
      <c r="AS246" s="63">
        <v>0</v>
      </c>
      <c r="AT246" s="63">
        <v>3</v>
      </c>
      <c r="AU246" s="63">
        <v>111</v>
      </c>
      <c r="AV246" s="63">
        <v>414</v>
      </c>
      <c r="AW246" s="50">
        <v>35</v>
      </c>
      <c r="AX246" s="69">
        <v>4276</v>
      </c>
      <c r="AY246" s="69">
        <v>24383</v>
      </c>
      <c r="AZ246" s="54">
        <v>2327</v>
      </c>
      <c r="BA246" s="54">
        <v>11210</v>
      </c>
      <c r="BB246" s="54">
        <v>650</v>
      </c>
      <c r="BC246" s="54">
        <v>1134</v>
      </c>
      <c r="BD246" s="54">
        <v>1453</v>
      </c>
      <c r="BE246" s="70">
        <v>2445</v>
      </c>
      <c r="BF246" s="63">
        <v>586</v>
      </c>
      <c r="BG246" s="71">
        <v>4484</v>
      </c>
      <c r="BH246" s="67"/>
      <c r="BI246" s="68"/>
      <c r="BJ246" s="72">
        <v>2124</v>
      </c>
      <c r="BK246" s="62"/>
      <c r="BL246" s="70">
        <v>2649</v>
      </c>
      <c r="BM246" s="70">
        <v>411</v>
      </c>
      <c r="BN246" s="70">
        <v>237</v>
      </c>
      <c r="BO246" s="70">
        <v>1443</v>
      </c>
      <c r="BP246" s="73">
        <v>33</v>
      </c>
      <c r="BQ246" s="74">
        <v>720</v>
      </c>
      <c r="BR246" s="54">
        <v>549</v>
      </c>
      <c r="BS246" s="75">
        <v>119</v>
      </c>
      <c r="BT246" s="76">
        <v>65.626989178866964</v>
      </c>
      <c r="BU246" s="77">
        <v>34.373010821133036</v>
      </c>
      <c r="BV246" s="78">
        <v>1031</v>
      </c>
      <c r="BW246" s="79">
        <v>540</v>
      </c>
      <c r="BX246" s="69">
        <v>590</v>
      </c>
      <c r="BY246" s="70">
        <v>229</v>
      </c>
      <c r="BZ246" s="70">
        <v>327</v>
      </c>
      <c r="CA246" s="70">
        <v>212</v>
      </c>
      <c r="CB246" s="70">
        <v>18</v>
      </c>
      <c r="CC246" s="70">
        <v>177</v>
      </c>
      <c r="CD246" s="70">
        <v>18</v>
      </c>
      <c r="CE246" s="73">
        <v>0</v>
      </c>
    </row>
    <row r="247" spans="2:83" x14ac:dyDescent="0.3">
      <c r="B247" s="46">
        <v>47</v>
      </c>
      <c r="C247" s="47">
        <v>43427</v>
      </c>
      <c r="D247" s="48">
        <v>27</v>
      </c>
      <c r="E247" s="49">
        <v>2395</v>
      </c>
      <c r="F247" s="50">
        <v>436</v>
      </c>
      <c r="G247" s="51">
        <v>3.3070671378091872</v>
      </c>
      <c r="H247" s="52">
        <v>5.2965478211658175</v>
      </c>
      <c r="I247" s="53">
        <v>1767</v>
      </c>
      <c r="J247" s="54">
        <v>2830</v>
      </c>
      <c r="K247" s="54">
        <v>9359</v>
      </c>
      <c r="L247" s="55">
        <v>8643.2999999999993</v>
      </c>
      <c r="M247" s="56">
        <v>764.03399999999999</v>
      </c>
      <c r="N247" s="57">
        <v>1403.85</v>
      </c>
      <c r="O247" s="58">
        <v>733.75000000000011</v>
      </c>
      <c r="P247" s="59">
        <v>12.755025553662689</v>
      </c>
      <c r="Q247" s="60">
        <v>918.3900000000001</v>
      </c>
      <c r="R247" s="61">
        <v>10.190659741504152</v>
      </c>
      <c r="S247" s="48"/>
      <c r="T247" s="50"/>
      <c r="U247" s="62">
        <v>0</v>
      </c>
      <c r="V247" s="63">
        <v>179</v>
      </c>
      <c r="W247" s="50">
        <v>159</v>
      </c>
      <c r="X247" s="48">
        <v>84</v>
      </c>
      <c r="Y247" s="63">
        <v>223</v>
      </c>
      <c r="Z247" s="63">
        <v>333</v>
      </c>
      <c r="AA247" s="64">
        <v>1124.3</v>
      </c>
      <c r="AB247" s="65">
        <v>116.81399999999999</v>
      </c>
      <c r="AC247" s="66"/>
      <c r="AD247" s="67"/>
      <c r="AE247" s="68"/>
      <c r="AF247" s="48">
        <v>153</v>
      </c>
      <c r="AG247" s="63">
        <v>140</v>
      </c>
      <c r="AH247" s="63">
        <v>35</v>
      </c>
      <c r="AI247" s="63">
        <v>102</v>
      </c>
      <c r="AJ247" s="63">
        <v>76</v>
      </c>
      <c r="AK247" s="63">
        <v>330</v>
      </c>
      <c r="AL247" s="63">
        <v>218</v>
      </c>
      <c r="AM247" s="63">
        <v>139</v>
      </c>
      <c r="AN247" s="63">
        <v>520</v>
      </c>
      <c r="AO247" s="63">
        <v>184</v>
      </c>
      <c r="AP247" s="63">
        <v>222</v>
      </c>
      <c r="AQ247" s="63">
        <v>173</v>
      </c>
      <c r="AR247" s="63">
        <v>14</v>
      </c>
      <c r="AS247" s="63">
        <v>0</v>
      </c>
      <c r="AT247" s="63">
        <v>12</v>
      </c>
      <c r="AU247" s="63">
        <v>149</v>
      </c>
      <c r="AV247" s="63">
        <v>278</v>
      </c>
      <c r="AW247" s="50">
        <v>5</v>
      </c>
      <c r="AX247" s="69">
        <v>3621</v>
      </c>
      <c r="AY247" s="69">
        <v>33885</v>
      </c>
      <c r="AZ247" s="54">
        <v>1497</v>
      </c>
      <c r="BA247" s="54">
        <v>6136</v>
      </c>
      <c r="BB247" s="54">
        <v>429</v>
      </c>
      <c r="BC247" s="54">
        <v>867</v>
      </c>
      <c r="BD247" s="54">
        <v>1325</v>
      </c>
      <c r="BE247" s="70">
        <v>2770</v>
      </c>
      <c r="BF247" s="63">
        <v>385</v>
      </c>
      <c r="BG247" s="71">
        <v>4480</v>
      </c>
      <c r="BH247" s="67"/>
      <c r="BI247" s="68"/>
      <c r="BJ247" s="72">
        <v>1873</v>
      </c>
      <c r="BK247" s="62"/>
      <c r="BL247" s="70">
        <v>2928</v>
      </c>
      <c r="BM247" s="70">
        <v>258</v>
      </c>
      <c r="BN247" s="70">
        <v>240</v>
      </c>
      <c r="BO247" s="70">
        <v>1346</v>
      </c>
      <c r="BP247" s="73">
        <v>29</v>
      </c>
      <c r="BQ247" s="74">
        <v>770</v>
      </c>
      <c r="BR247" s="54">
        <v>577</v>
      </c>
      <c r="BS247" s="75">
        <v>121</v>
      </c>
      <c r="BT247" s="76">
        <v>66.553480475382003</v>
      </c>
      <c r="BU247" s="77">
        <v>33.446519524617997</v>
      </c>
      <c r="BV247" s="78">
        <v>1176</v>
      </c>
      <c r="BW247" s="79">
        <v>591</v>
      </c>
      <c r="BX247" s="69">
        <v>656</v>
      </c>
      <c r="BY247" s="70">
        <v>248</v>
      </c>
      <c r="BZ247" s="70">
        <v>365</v>
      </c>
      <c r="CA247" s="70">
        <v>272</v>
      </c>
      <c r="CB247" s="70">
        <v>29</v>
      </c>
      <c r="CC247" s="70">
        <v>156</v>
      </c>
      <c r="CD247" s="70">
        <v>9</v>
      </c>
      <c r="CE247" s="73">
        <v>32</v>
      </c>
    </row>
    <row r="248" spans="2:83" x14ac:dyDescent="0.3">
      <c r="B248" s="46">
        <v>47</v>
      </c>
      <c r="C248" s="47">
        <v>43428</v>
      </c>
      <c r="D248" s="48">
        <v>0</v>
      </c>
      <c r="E248" s="49">
        <v>1049</v>
      </c>
      <c r="F248" s="50">
        <v>234</v>
      </c>
      <c r="G248" s="51">
        <v>1.8550272798129384</v>
      </c>
      <c r="H248" s="52">
        <v>2.5427350427350426</v>
      </c>
      <c r="I248" s="53">
        <v>936</v>
      </c>
      <c r="J248" s="54">
        <v>1283</v>
      </c>
      <c r="K248" s="54">
        <v>2380</v>
      </c>
      <c r="L248" s="55">
        <v>2240</v>
      </c>
      <c r="M248" s="56">
        <v>352.56400000000002</v>
      </c>
      <c r="N248" s="57">
        <v>357</v>
      </c>
      <c r="O248" s="58">
        <v>252.22</v>
      </c>
      <c r="P248" s="59">
        <v>9.4362064864007618</v>
      </c>
      <c r="Q248" s="60">
        <v>318.43999999999994</v>
      </c>
      <c r="R248" s="61">
        <v>7.4739354352468297</v>
      </c>
      <c r="S248" s="48"/>
      <c r="T248" s="50"/>
      <c r="U248" s="62">
        <v>0</v>
      </c>
      <c r="V248" s="63">
        <v>64</v>
      </c>
      <c r="W248" s="50">
        <v>108</v>
      </c>
      <c r="X248" s="48">
        <v>17</v>
      </c>
      <c r="Y248" s="63">
        <v>81</v>
      </c>
      <c r="Z248" s="63">
        <v>58</v>
      </c>
      <c r="AA248" s="64">
        <v>184.8</v>
      </c>
      <c r="AB248" s="65">
        <v>31.788</v>
      </c>
      <c r="AC248" s="66"/>
      <c r="AD248" s="67"/>
      <c r="AE248" s="68"/>
      <c r="AF248" s="48">
        <v>90</v>
      </c>
      <c r="AG248" s="63">
        <v>136</v>
      </c>
      <c r="AH248" s="63">
        <v>18</v>
      </c>
      <c r="AI248" s="63">
        <v>42</v>
      </c>
      <c r="AJ248" s="63">
        <v>36</v>
      </c>
      <c r="AK248" s="63">
        <v>206</v>
      </c>
      <c r="AL248" s="63">
        <v>76</v>
      </c>
      <c r="AM248" s="63">
        <v>72</v>
      </c>
      <c r="AN248" s="63">
        <v>111</v>
      </c>
      <c r="AO248" s="63">
        <v>81</v>
      </c>
      <c r="AP248" s="63">
        <v>41</v>
      </c>
      <c r="AQ248" s="63">
        <v>76</v>
      </c>
      <c r="AR248" s="63">
        <v>11</v>
      </c>
      <c r="AS248" s="63">
        <v>3</v>
      </c>
      <c r="AT248" s="63">
        <v>37</v>
      </c>
      <c r="AU248" s="63">
        <v>57</v>
      </c>
      <c r="AV248" s="63">
        <v>171</v>
      </c>
      <c r="AW248" s="50">
        <v>4</v>
      </c>
      <c r="AX248" s="69">
        <v>1734</v>
      </c>
      <c r="AY248" s="69">
        <v>8447</v>
      </c>
      <c r="AZ248" s="54">
        <v>625</v>
      </c>
      <c r="BA248" s="54">
        <v>2392</v>
      </c>
      <c r="BB248" s="54">
        <v>303</v>
      </c>
      <c r="BC248" s="54">
        <v>511</v>
      </c>
      <c r="BD248" s="54">
        <v>667</v>
      </c>
      <c r="BE248" s="70">
        <v>604</v>
      </c>
      <c r="BF248" s="63">
        <v>250</v>
      </c>
      <c r="BG248" s="71">
        <v>1521</v>
      </c>
      <c r="BH248" s="67"/>
      <c r="BI248" s="68"/>
      <c r="BJ248" s="72">
        <v>470</v>
      </c>
      <c r="BK248" s="62"/>
      <c r="BL248" s="70">
        <v>846</v>
      </c>
      <c r="BM248" s="70">
        <v>0</v>
      </c>
      <c r="BN248" s="70">
        <v>122</v>
      </c>
      <c r="BO248" s="70">
        <v>342</v>
      </c>
      <c r="BP248" s="73">
        <v>6</v>
      </c>
      <c r="BQ248" s="74">
        <v>580</v>
      </c>
      <c r="BR248" s="54">
        <v>101</v>
      </c>
      <c r="BS248" s="75">
        <v>27</v>
      </c>
      <c r="BT248" s="76">
        <v>68.235294117647058</v>
      </c>
      <c r="BU248" s="77">
        <v>31.764705882352942</v>
      </c>
      <c r="BV248" s="78">
        <v>638</v>
      </c>
      <c r="BW248" s="79">
        <v>297</v>
      </c>
      <c r="BX248" s="69">
        <v>407</v>
      </c>
      <c r="BY248" s="70">
        <v>59</v>
      </c>
      <c r="BZ248" s="70">
        <v>48</v>
      </c>
      <c r="CA248" s="70">
        <v>172</v>
      </c>
      <c r="CB248" s="70">
        <v>8</v>
      </c>
      <c r="CC248" s="70">
        <v>218</v>
      </c>
      <c r="CD248" s="70">
        <v>11</v>
      </c>
      <c r="CE248" s="73">
        <v>12</v>
      </c>
    </row>
    <row r="249" spans="2:83" x14ac:dyDescent="0.3">
      <c r="B249" s="46">
        <v>48</v>
      </c>
      <c r="C249" s="47">
        <v>43430</v>
      </c>
      <c r="D249" s="48">
        <v>23</v>
      </c>
      <c r="E249" s="49">
        <v>3517</v>
      </c>
      <c r="F249" s="50">
        <v>301</v>
      </c>
      <c r="G249" s="51">
        <v>2.7300182244207236</v>
      </c>
      <c r="H249" s="52">
        <v>3.4802522402920677</v>
      </c>
      <c r="I249" s="53">
        <v>3013</v>
      </c>
      <c r="J249" s="54">
        <v>3841</v>
      </c>
      <c r="K249" s="54">
        <v>10486</v>
      </c>
      <c r="L249" s="55">
        <v>9647.7000000000007</v>
      </c>
      <c r="M249" s="56">
        <v>696.52700000000004</v>
      </c>
      <c r="N249" s="57">
        <v>1572.9</v>
      </c>
      <c r="O249" s="58">
        <v>737.86999999999989</v>
      </c>
      <c r="P249" s="59">
        <v>14.21117541030263</v>
      </c>
      <c r="Q249" s="60">
        <v>954.83999999999992</v>
      </c>
      <c r="R249" s="61">
        <v>10.98194461899376</v>
      </c>
      <c r="S249" s="48"/>
      <c r="T249" s="50"/>
      <c r="U249" s="62">
        <v>0</v>
      </c>
      <c r="V249" s="63">
        <v>76</v>
      </c>
      <c r="W249" s="50">
        <v>100</v>
      </c>
      <c r="X249" s="48">
        <v>38</v>
      </c>
      <c r="Y249" s="63">
        <v>180</v>
      </c>
      <c r="Z249" s="63">
        <v>181</v>
      </c>
      <c r="AA249" s="64">
        <v>1420.1</v>
      </c>
      <c r="AB249" s="65">
        <v>185.798</v>
      </c>
      <c r="AC249" s="66"/>
      <c r="AD249" s="67"/>
      <c r="AE249" s="68"/>
      <c r="AF249" s="48">
        <v>351</v>
      </c>
      <c r="AG249" s="63">
        <v>404</v>
      </c>
      <c r="AH249" s="63">
        <v>118</v>
      </c>
      <c r="AI249" s="63">
        <v>172</v>
      </c>
      <c r="AJ249" s="63">
        <v>118</v>
      </c>
      <c r="AK249" s="63">
        <v>706</v>
      </c>
      <c r="AL249" s="63">
        <v>303</v>
      </c>
      <c r="AM249" s="63">
        <v>202</v>
      </c>
      <c r="AN249" s="63">
        <v>491</v>
      </c>
      <c r="AO249" s="63">
        <v>126</v>
      </c>
      <c r="AP249" s="63">
        <v>138</v>
      </c>
      <c r="AQ249" s="63">
        <v>178</v>
      </c>
      <c r="AR249" s="63">
        <v>89</v>
      </c>
      <c r="AS249" s="63">
        <v>4</v>
      </c>
      <c r="AT249" s="63">
        <v>37</v>
      </c>
      <c r="AU249" s="63">
        <v>56</v>
      </c>
      <c r="AV249" s="63">
        <v>212</v>
      </c>
      <c r="AW249" s="50">
        <v>31</v>
      </c>
      <c r="AX249" s="69">
        <v>25882</v>
      </c>
      <c r="AY249" s="54">
        <v>5150</v>
      </c>
      <c r="AZ249" s="54">
        <v>4328</v>
      </c>
      <c r="BA249" s="54">
        <v>2107</v>
      </c>
      <c r="BB249" s="158">
        <v>723</v>
      </c>
      <c r="BC249" s="54">
        <v>1211</v>
      </c>
      <c r="BD249" s="54">
        <v>1656</v>
      </c>
      <c r="BE249" s="70">
        <v>3117</v>
      </c>
      <c r="BF249" s="63">
        <v>927</v>
      </c>
      <c r="BG249" s="71">
        <v>5700</v>
      </c>
      <c r="BH249" s="67"/>
      <c r="BI249" s="68"/>
      <c r="BJ249" s="72">
        <v>1300</v>
      </c>
      <c r="BK249" s="62"/>
      <c r="BL249" s="70">
        <v>2382</v>
      </c>
      <c r="BM249" s="70">
        <v>131</v>
      </c>
      <c r="BN249" s="70">
        <v>184</v>
      </c>
      <c r="BO249" s="70">
        <v>970</v>
      </c>
      <c r="BP249" s="73">
        <v>15</v>
      </c>
      <c r="BQ249" s="74">
        <v>2155</v>
      </c>
      <c r="BR249" s="54">
        <v>461</v>
      </c>
      <c r="BS249" s="75">
        <v>112</v>
      </c>
      <c r="BT249" s="76">
        <v>82.093023255813947</v>
      </c>
      <c r="BU249" s="77">
        <v>17.906976744186046</v>
      </c>
      <c r="BV249" s="78">
        <v>2471</v>
      </c>
      <c r="BW249" s="79">
        <v>539</v>
      </c>
      <c r="BX249" s="69">
        <v>1491</v>
      </c>
      <c r="BY249" s="70">
        <v>208</v>
      </c>
      <c r="BZ249" s="70">
        <v>264</v>
      </c>
      <c r="CA249" s="70">
        <v>772</v>
      </c>
      <c r="CB249" s="70">
        <v>7</v>
      </c>
      <c r="CC249" s="70">
        <v>244</v>
      </c>
      <c r="CD249" s="70">
        <v>13</v>
      </c>
      <c r="CE249" s="73">
        <v>11</v>
      </c>
    </row>
    <row r="250" spans="2:83" x14ac:dyDescent="0.3">
      <c r="B250" s="46">
        <v>48</v>
      </c>
      <c r="C250" s="47">
        <v>43431</v>
      </c>
      <c r="D250" s="48">
        <v>19</v>
      </c>
      <c r="E250" s="49">
        <v>2191</v>
      </c>
      <c r="F250" s="50">
        <v>541</v>
      </c>
      <c r="G250" s="51">
        <v>3.3940385314431114</v>
      </c>
      <c r="H250" s="52">
        <v>5.1021857923497267</v>
      </c>
      <c r="I250" s="53">
        <v>1830</v>
      </c>
      <c r="J250" s="54">
        <v>2751</v>
      </c>
      <c r="K250" s="54">
        <v>9337</v>
      </c>
      <c r="L250" s="55">
        <v>8742.4</v>
      </c>
      <c r="M250" s="56">
        <v>821.11099999999999</v>
      </c>
      <c r="N250" s="57">
        <v>1400.55</v>
      </c>
      <c r="O250" s="58">
        <v>725.74</v>
      </c>
      <c r="P250" s="59">
        <v>12.865489018105658</v>
      </c>
      <c r="Q250" s="60">
        <v>939.56</v>
      </c>
      <c r="R250" s="61">
        <v>9.9376303801779571</v>
      </c>
      <c r="S250" s="48"/>
      <c r="T250" s="50"/>
      <c r="U250" s="62">
        <v>0</v>
      </c>
      <c r="V250" s="63">
        <v>108</v>
      </c>
      <c r="W250" s="50">
        <v>174</v>
      </c>
      <c r="X250" s="48">
        <v>47</v>
      </c>
      <c r="Y250" s="63">
        <v>153</v>
      </c>
      <c r="Z250" s="63">
        <v>259</v>
      </c>
      <c r="AA250" s="64">
        <v>1919</v>
      </c>
      <c r="AB250" s="65">
        <v>125.813</v>
      </c>
      <c r="AC250" s="66"/>
      <c r="AD250" s="67"/>
      <c r="AE250" s="68"/>
      <c r="AF250" s="48">
        <v>150</v>
      </c>
      <c r="AG250" s="63">
        <v>210</v>
      </c>
      <c r="AH250" s="63">
        <v>60</v>
      </c>
      <c r="AI250" s="63">
        <v>84</v>
      </c>
      <c r="AJ250" s="63">
        <v>97</v>
      </c>
      <c r="AK250" s="63">
        <v>301</v>
      </c>
      <c r="AL250" s="63">
        <v>238</v>
      </c>
      <c r="AM250" s="63">
        <v>166</v>
      </c>
      <c r="AN250" s="63">
        <v>440</v>
      </c>
      <c r="AO250" s="63">
        <v>154</v>
      </c>
      <c r="AP250" s="63">
        <v>126</v>
      </c>
      <c r="AQ250" s="63">
        <v>92</v>
      </c>
      <c r="AR250" s="63">
        <v>18</v>
      </c>
      <c r="AS250" s="63">
        <v>1</v>
      </c>
      <c r="AT250" s="63">
        <v>10</v>
      </c>
      <c r="AU250" s="63">
        <v>80</v>
      </c>
      <c r="AV250" s="63">
        <v>430</v>
      </c>
      <c r="AW250" s="50">
        <v>29</v>
      </c>
      <c r="AX250" s="159">
        <v>5767</v>
      </c>
      <c r="AY250" s="159">
        <v>39998</v>
      </c>
      <c r="AZ250" s="158">
        <v>2667</v>
      </c>
      <c r="BA250" s="158">
        <v>8676</v>
      </c>
      <c r="BB250" s="54">
        <v>407</v>
      </c>
      <c r="BC250" s="54">
        <v>707</v>
      </c>
      <c r="BD250" s="54">
        <v>1512</v>
      </c>
      <c r="BE250" s="70">
        <v>2593</v>
      </c>
      <c r="BF250" s="63">
        <v>657</v>
      </c>
      <c r="BG250" s="71">
        <v>4762</v>
      </c>
      <c r="BH250" s="67"/>
      <c r="BI250" s="68"/>
      <c r="BJ250" s="72">
        <v>1312</v>
      </c>
      <c r="BK250" s="62"/>
      <c r="BL250" s="70">
        <v>2576</v>
      </c>
      <c r="BM250" s="70">
        <v>150</v>
      </c>
      <c r="BN250" s="70">
        <v>236</v>
      </c>
      <c r="BO250" s="70">
        <v>894</v>
      </c>
      <c r="BP250" s="73">
        <v>32</v>
      </c>
      <c r="BQ250" s="74">
        <v>1088</v>
      </c>
      <c r="BR250" s="54">
        <v>406</v>
      </c>
      <c r="BS250" s="75">
        <v>82</v>
      </c>
      <c r="BT250" s="76">
        <v>74.385581649371929</v>
      </c>
      <c r="BU250" s="77">
        <v>25.614418350628071</v>
      </c>
      <c r="BV250" s="78">
        <v>1362</v>
      </c>
      <c r="BW250" s="79">
        <v>469</v>
      </c>
      <c r="BX250" s="69">
        <v>682</v>
      </c>
      <c r="BY250" s="70">
        <v>194</v>
      </c>
      <c r="BZ250" s="70">
        <v>211</v>
      </c>
      <c r="CA250" s="70">
        <v>486</v>
      </c>
      <c r="CB250" s="70">
        <v>16</v>
      </c>
      <c r="CC250" s="70">
        <v>172</v>
      </c>
      <c r="CD250" s="70">
        <v>11</v>
      </c>
      <c r="CE250" s="73">
        <v>59</v>
      </c>
    </row>
    <row r="251" spans="2:83" x14ac:dyDescent="0.3">
      <c r="B251" s="46">
        <v>48</v>
      </c>
      <c r="C251" s="47">
        <v>43432</v>
      </c>
      <c r="D251" s="48">
        <v>15</v>
      </c>
      <c r="E251" s="49">
        <v>2625</v>
      </c>
      <c r="F251" s="50">
        <v>372</v>
      </c>
      <c r="G251" s="51">
        <v>3.991035856573705</v>
      </c>
      <c r="H251" s="52">
        <v>5.7106888361045129</v>
      </c>
      <c r="I251" s="53">
        <v>2105</v>
      </c>
      <c r="J251" s="54">
        <v>3012</v>
      </c>
      <c r="K251" s="54">
        <v>12021</v>
      </c>
      <c r="L251" s="55">
        <v>10925.2</v>
      </c>
      <c r="M251" s="56">
        <v>602.34900000000005</v>
      </c>
      <c r="N251" s="57">
        <v>1803.15</v>
      </c>
      <c r="O251" s="58">
        <v>730.32999999999993</v>
      </c>
      <c r="P251" s="59">
        <v>16.459682609231447</v>
      </c>
      <c r="Q251" s="60">
        <v>935.83999999999992</v>
      </c>
      <c r="R251" s="61">
        <v>12.845144469140026</v>
      </c>
      <c r="S251" s="48"/>
      <c r="T251" s="50"/>
      <c r="U251" s="62">
        <v>0</v>
      </c>
      <c r="V251" s="63">
        <v>137</v>
      </c>
      <c r="W251" s="50">
        <v>164</v>
      </c>
      <c r="X251" s="48">
        <v>52</v>
      </c>
      <c r="Y251" s="63">
        <v>174</v>
      </c>
      <c r="Z251" s="63">
        <v>668</v>
      </c>
      <c r="AA251" s="64">
        <v>1024.0999999999999</v>
      </c>
      <c r="AB251" s="65">
        <v>70.941999999999993</v>
      </c>
      <c r="AC251" s="66"/>
      <c r="AD251" s="67"/>
      <c r="AE251" s="68"/>
      <c r="AF251" s="48">
        <v>181</v>
      </c>
      <c r="AG251" s="63">
        <v>243</v>
      </c>
      <c r="AH251" s="63">
        <v>70</v>
      </c>
      <c r="AI251" s="63">
        <v>117</v>
      </c>
      <c r="AJ251" s="63">
        <v>120</v>
      </c>
      <c r="AK251" s="63">
        <v>437</v>
      </c>
      <c r="AL251" s="63">
        <v>225</v>
      </c>
      <c r="AM251" s="63">
        <v>206</v>
      </c>
      <c r="AN251" s="63">
        <v>533</v>
      </c>
      <c r="AO251" s="63">
        <v>140</v>
      </c>
      <c r="AP251" s="63">
        <v>192</v>
      </c>
      <c r="AQ251" s="63">
        <v>99</v>
      </c>
      <c r="AR251" s="63">
        <v>15</v>
      </c>
      <c r="AS251" s="63">
        <v>0</v>
      </c>
      <c r="AT251" s="63">
        <v>9</v>
      </c>
      <c r="AU251" s="63">
        <v>105</v>
      </c>
      <c r="AV251" s="63">
        <v>239</v>
      </c>
      <c r="AW251" s="50">
        <v>25</v>
      </c>
      <c r="AX251" s="69">
        <v>5332</v>
      </c>
      <c r="AY251" s="69">
        <v>37816</v>
      </c>
      <c r="AZ251" s="54">
        <v>3487</v>
      </c>
      <c r="BA251" s="54">
        <v>12941</v>
      </c>
      <c r="BB251" s="54">
        <v>645</v>
      </c>
      <c r="BC251" s="54">
        <v>1070</v>
      </c>
      <c r="BD251" s="54">
        <v>4119</v>
      </c>
      <c r="BE251" s="70">
        <v>1590</v>
      </c>
      <c r="BF251" s="63">
        <v>755</v>
      </c>
      <c r="BG251" s="71">
        <v>6464</v>
      </c>
      <c r="BH251" s="67"/>
      <c r="BI251" s="68"/>
      <c r="BJ251" s="72">
        <v>1470</v>
      </c>
      <c r="BK251" s="62"/>
      <c r="BL251" s="70">
        <v>2537</v>
      </c>
      <c r="BM251" s="70">
        <v>262</v>
      </c>
      <c r="BN251" s="70">
        <v>159</v>
      </c>
      <c r="BO251" s="70">
        <v>1014</v>
      </c>
      <c r="BP251" s="73">
        <v>35</v>
      </c>
      <c r="BQ251" s="74">
        <v>1273</v>
      </c>
      <c r="BR251" s="54">
        <v>463</v>
      </c>
      <c r="BS251" s="75">
        <v>195</v>
      </c>
      <c r="BT251" s="76">
        <v>81.226235741444867</v>
      </c>
      <c r="BU251" s="77">
        <v>18.773764258555133</v>
      </c>
      <c r="BV251" s="78">
        <v>1709</v>
      </c>
      <c r="BW251" s="79">
        <v>395</v>
      </c>
      <c r="BX251" s="69">
        <v>923</v>
      </c>
      <c r="BY251" s="70">
        <v>234</v>
      </c>
      <c r="BZ251" s="70">
        <v>232</v>
      </c>
      <c r="CA251" s="70">
        <v>552</v>
      </c>
      <c r="CB251" s="70">
        <v>18</v>
      </c>
      <c r="CC251" s="70">
        <v>117</v>
      </c>
      <c r="CD251" s="70">
        <v>8</v>
      </c>
      <c r="CE251" s="73">
        <v>20</v>
      </c>
    </row>
    <row r="252" spans="2:83" x14ac:dyDescent="0.3">
      <c r="B252" s="46">
        <v>48</v>
      </c>
      <c r="C252" s="47">
        <v>43433</v>
      </c>
      <c r="D252" s="48">
        <v>9</v>
      </c>
      <c r="E252" s="49">
        <v>2221</v>
      </c>
      <c r="F252" s="50">
        <v>443</v>
      </c>
      <c r="G252" s="51">
        <v>3.8978675645342311</v>
      </c>
      <c r="H252" s="52">
        <v>5.6934426229508199</v>
      </c>
      <c r="I252" s="53">
        <v>1830</v>
      </c>
      <c r="J252" s="54">
        <v>2673</v>
      </c>
      <c r="K252" s="54">
        <v>10419</v>
      </c>
      <c r="L252" s="55">
        <v>10700.7</v>
      </c>
      <c r="M252" s="56">
        <v>792.14400000000001</v>
      </c>
      <c r="N252" s="57">
        <v>1562.8500000000001</v>
      </c>
      <c r="O252" s="58">
        <v>747.24</v>
      </c>
      <c r="P252" s="59">
        <v>13.943311385900111</v>
      </c>
      <c r="Q252" s="60">
        <v>964.75</v>
      </c>
      <c r="R252" s="61">
        <v>10.799689038611039</v>
      </c>
      <c r="S252" s="48"/>
      <c r="T252" s="50"/>
      <c r="U252" s="62">
        <v>0</v>
      </c>
      <c r="V252" s="63">
        <v>120</v>
      </c>
      <c r="W252" s="50">
        <v>151</v>
      </c>
      <c r="X252" s="48">
        <v>44</v>
      </c>
      <c r="Y252" s="63">
        <v>122</v>
      </c>
      <c r="Z252" s="63">
        <v>235</v>
      </c>
      <c r="AA252" s="64">
        <v>635.9</v>
      </c>
      <c r="AB252" s="65">
        <v>76.406000000000006</v>
      </c>
      <c r="AC252" s="66"/>
      <c r="AD252" s="67"/>
      <c r="AE252" s="68"/>
      <c r="AF252" s="48">
        <v>102</v>
      </c>
      <c r="AG252" s="63">
        <v>202</v>
      </c>
      <c r="AH252" s="63">
        <v>38</v>
      </c>
      <c r="AI252" s="63">
        <v>92</v>
      </c>
      <c r="AJ252" s="63">
        <v>91</v>
      </c>
      <c r="AK252" s="63">
        <v>385</v>
      </c>
      <c r="AL252" s="63">
        <v>197</v>
      </c>
      <c r="AM252" s="63">
        <v>144</v>
      </c>
      <c r="AN252" s="63">
        <v>545</v>
      </c>
      <c r="AO252" s="63">
        <v>155</v>
      </c>
      <c r="AP252" s="63">
        <v>156</v>
      </c>
      <c r="AQ252" s="63">
        <v>71</v>
      </c>
      <c r="AR252" s="63">
        <v>6</v>
      </c>
      <c r="AS252" s="63">
        <v>0</v>
      </c>
      <c r="AT252" s="63">
        <v>0</v>
      </c>
      <c r="AU252" s="63">
        <v>162</v>
      </c>
      <c r="AV252" s="63">
        <v>256</v>
      </c>
      <c r="AW252" s="50">
        <v>22</v>
      </c>
      <c r="AX252" s="69">
        <v>5634</v>
      </c>
      <c r="AY252" s="69">
        <v>44043</v>
      </c>
      <c r="AZ252" s="54">
        <v>2681</v>
      </c>
      <c r="BA252" s="54">
        <v>16608</v>
      </c>
      <c r="BB252" s="54">
        <v>1077</v>
      </c>
      <c r="BC252" s="54">
        <v>1738</v>
      </c>
      <c r="BD252" s="54">
        <v>1729</v>
      </c>
      <c r="BE252" s="70">
        <v>3915</v>
      </c>
      <c r="BF252" s="63">
        <v>903</v>
      </c>
      <c r="BG252" s="71">
        <v>6547</v>
      </c>
      <c r="BH252" s="67"/>
      <c r="BI252" s="68"/>
      <c r="BJ252" s="72">
        <v>1423</v>
      </c>
      <c r="BK252" s="62"/>
      <c r="BL252" s="70">
        <v>2227</v>
      </c>
      <c r="BM252" s="70">
        <v>261</v>
      </c>
      <c r="BN252" s="70">
        <v>118</v>
      </c>
      <c r="BO252" s="70">
        <v>1005</v>
      </c>
      <c r="BP252" s="73">
        <v>39</v>
      </c>
      <c r="BQ252" s="74">
        <v>1040</v>
      </c>
      <c r="BR252" s="54">
        <v>518</v>
      </c>
      <c r="BS252" s="75">
        <v>123</v>
      </c>
      <c r="BT252" s="76">
        <v>79.945355191256837</v>
      </c>
      <c r="BU252" s="77">
        <v>20.05464480874317</v>
      </c>
      <c r="BV252" s="78">
        <v>1463</v>
      </c>
      <c r="BW252" s="79">
        <v>367</v>
      </c>
      <c r="BX252" s="69">
        <v>822</v>
      </c>
      <c r="BY252" s="70">
        <v>269</v>
      </c>
      <c r="BZ252" s="70">
        <v>215</v>
      </c>
      <c r="CA252" s="70">
        <v>372</v>
      </c>
      <c r="CB252" s="70">
        <v>16</v>
      </c>
      <c r="CC252" s="70">
        <v>93</v>
      </c>
      <c r="CD252" s="70">
        <v>16</v>
      </c>
      <c r="CE252" s="73">
        <v>27</v>
      </c>
    </row>
    <row r="253" spans="2:83" x14ac:dyDescent="0.3">
      <c r="B253" s="46">
        <v>48</v>
      </c>
      <c r="C253" s="47">
        <v>43434</v>
      </c>
      <c r="D253" s="48">
        <v>2</v>
      </c>
      <c r="E253" s="49">
        <v>2415</v>
      </c>
      <c r="F253" s="50">
        <v>388</v>
      </c>
      <c r="G253" s="51">
        <v>4.0566844919786096</v>
      </c>
      <c r="H253" s="52">
        <v>5.829405737704918</v>
      </c>
      <c r="I253" s="53">
        <v>1952</v>
      </c>
      <c r="J253" s="54">
        <v>2805</v>
      </c>
      <c r="K253" s="54">
        <v>11379</v>
      </c>
      <c r="L253" s="55">
        <v>7632.9</v>
      </c>
      <c r="M253" s="56">
        <v>613.27300000000002</v>
      </c>
      <c r="N253" s="57">
        <v>1706.85</v>
      </c>
      <c r="O253" s="58">
        <v>735.88</v>
      </c>
      <c r="P253" s="59">
        <v>15.463118986791324</v>
      </c>
      <c r="Q253" s="60">
        <v>925.4899999999999</v>
      </c>
      <c r="R253" s="61">
        <v>12.295108537099267</v>
      </c>
      <c r="S253" s="48"/>
      <c r="T253" s="50"/>
      <c r="U253" s="62">
        <v>0</v>
      </c>
      <c r="V253" s="63">
        <v>107</v>
      </c>
      <c r="W253" s="50">
        <v>79</v>
      </c>
      <c r="X253" s="48">
        <v>42</v>
      </c>
      <c r="Y253" s="63">
        <v>144</v>
      </c>
      <c r="Z253" s="63">
        <v>400</v>
      </c>
      <c r="AA253" s="64">
        <v>1442.6</v>
      </c>
      <c r="AB253" s="65">
        <v>85.167000000000002</v>
      </c>
      <c r="AC253" s="66"/>
      <c r="AD253" s="67"/>
      <c r="AE253" s="68"/>
      <c r="AF253" s="48">
        <v>218</v>
      </c>
      <c r="AG253" s="63">
        <v>242</v>
      </c>
      <c r="AH253" s="63">
        <v>84</v>
      </c>
      <c r="AI253" s="63">
        <v>137</v>
      </c>
      <c r="AJ253" s="63">
        <v>122</v>
      </c>
      <c r="AK253" s="63">
        <v>302</v>
      </c>
      <c r="AL253" s="63">
        <v>181</v>
      </c>
      <c r="AM253" s="63">
        <v>185</v>
      </c>
      <c r="AN253" s="63">
        <v>494</v>
      </c>
      <c r="AO253" s="63">
        <v>126</v>
      </c>
      <c r="AP253" s="63">
        <v>163</v>
      </c>
      <c r="AQ253" s="63">
        <v>117</v>
      </c>
      <c r="AR253" s="63">
        <v>4</v>
      </c>
      <c r="AS253" s="63">
        <v>1</v>
      </c>
      <c r="AT253" s="63">
        <v>3</v>
      </c>
      <c r="AU253" s="63">
        <v>191</v>
      </c>
      <c r="AV253" s="63">
        <v>193</v>
      </c>
      <c r="AW253" s="50">
        <v>5</v>
      </c>
      <c r="AX253" s="69">
        <v>7317</v>
      </c>
      <c r="AY253" s="69">
        <v>32071</v>
      </c>
      <c r="AZ253" s="54">
        <v>4335</v>
      </c>
      <c r="BA253" s="54">
        <v>10355</v>
      </c>
      <c r="BB253" s="54">
        <v>1063</v>
      </c>
      <c r="BC253" s="54">
        <v>1628</v>
      </c>
      <c r="BD253" s="54">
        <v>1809</v>
      </c>
      <c r="BE253" s="70">
        <v>4166</v>
      </c>
      <c r="BF253" s="63">
        <v>871</v>
      </c>
      <c r="BG253" s="71">
        <v>6846</v>
      </c>
      <c r="BH253" s="67"/>
      <c r="BI253" s="68"/>
      <c r="BJ253" s="72">
        <v>1706</v>
      </c>
      <c r="BK253" s="62"/>
      <c r="BL253" s="70">
        <v>2598</v>
      </c>
      <c r="BM253" s="70">
        <v>354</v>
      </c>
      <c r="BN253" s="70">
        <v>112</v>
      </c>
      <c r="BO253" s="70">
        <v>1223</v>
      </c>
      <c r="BP253" s="73">
        <v>17</v>
      </c>
      <c r="BQ253" s="74">
        <v>1266</v>
      </c>
      <c r="BR253" s="54">
        <v>409</v>
      </c>
      <c r="BS253" s="75">
        <v>97</v>
      </c>
      <c r="BT253" s="76">
        <v>81.822889694458823</v>
      </c>
      <c r="BU253" s="77">
        <v>18.17711030554117</v>
      </c>
      <c r="BV253" s="78">
        <v>1580</v>
      </c>
      <c r="BW253" s="79">
        <v>351</v>
      </c>
      <c r="BX253" s="69">
        <v>1185</v>
      </c>
      <c r="BY253" s="70">
        <v>179</v>
      </c>
      <c r="BZ253" s="70">
        <v>227</v>
      </c>
      <c r="CA253" s="70">
        <v>216</v>
      </c>
      <c r="CB253" s="70">
        <v>17</v>
      </c>
      <c r="CC253" s="70">
        <v>99</v>
      </c>
      <c r="CD253" s="70">
        <v>8</v>
      </c>
      <c r="CE253" s="73">
        <v>0</v>
      </c>
    </row>
    <row r="254" spans="2:83" x14ac:dyDescent="0.3">
      <c r="B254" s="46">
        <v>48</v>
      </c>
      <c r="C254" s="47">
        <v>43435</v>
      </c>
      <c r="D254" s="48">
        <v>5</v>
      </c>
      <c r="E254" s="49">
        <v>2776</v>
      </c>
      <c r="F254" s="50">
        <v>405</v>
      </c>
      <c r="G254" s="51">
        <v>4.4621745788667688</v>
      </c>
      <c r="H254" s="52">
        <v>7.0313706563706564</v>
      </c>
      <c r="I254" s="53">
        <v>2072</v>
      </c>
      <c r="J254" s="54">
        <v>3265</v>
      </c>
      <c r="K254" s="54">
        <v>14569</v>
      </c>
      <c r="L254" s="55">
        <v>6459.2</v>
      </c>
      <c r="M254" s="56">
        <v>828.58699999999999</v>
      </c>
      <c r="N254" s="57">
        <v>2185.35</v>
      </c>
      <c r="O254" s="58">
        <v>802.31</v>
      </c>
      <c r="P254" s="59">
        <v>18.158816417594199</v>
      </c>
      <c r="Q254" s="60">
        <v>969.02</v>
      </c>
      <c r="R254" s="61">
        <v>15.03477740397515</v>
      </c>
      <c r="S254" s="48"/>
      <c r="T254" s="50"/>
      <c r="U254" s="62">
        <v>0</v>
      </c>
      <c r="V254" s="63">
        <v>73</v>
      </c>
      <c r="W254" s="50">
        <v>47</v>
      </c>
      <c r="X254" s="48">
        <v>32</v>
      </c>
      <c r="Y254" s="63">
        <v>181</v>
      </c>
      <c r="Z254" s="63">
        <v>262</v>
      </c>
      <c r="AA254" s="64">
        <v>846</v>
      </c>
      <c r="AB254" s="65">
        <v>108.432</v>
      </c>
      <c r="AC254" s="66"/>
      <c r="AD254" s="67"/>
      <c r="AE254" s="68"/>
      <c r="AF254" s="48">
        <v>126</v>
      </c>
      <c r="AG254" s="63">
        <v>208</v>
      </c>
      <c r="AH254" s="63">
        <v>47</v>
      </c>
      <c r="AI254" s="63">
        <v>119</v>
      </c>
      <c r="AJ254" s="63">
        <v>73</v>
      </c>
      <c r="AK254" s="63">
        <v>283</v>
      </c>
      <c r="AL254" s="63">
        <v>237</v>
      </c>
      <c r="AM254" s="63">
        <v>247</v>
      </c>
      <c r="AN254" s="63">
        <v>737</v>
      </c>
      <c r="AO254" s="63">
        <v>183</v>
      </c>
      <c r="AP254" s="63">
        <v>195</v>
      </c>
      <c r="AQ254" s="63">
        <v>216</v>
      </c>
      <c r="AR254" s="63">
        <v>6</v>
      </c>
      <c r="AS254" s="63">
        <v>0</v>
      </c>
      <c r="AT254" s="63">
        <v>5</v>
      </c>
      <c r="AU254" s="63">
        <v>158</v>
      </c>
      <c r="AV254" s="63">
        <v>240</v>
      </c>
      <c r="AW254" s="50">
        <v>6</v>
      </c>
      <c r="AX254" s="69">
        <v>3706</v>
      </c>
      <c r="AY254" s="69">
        <v>15688</v>
      </c>
      <c r="AZ254" s="54">
        <v>2246</v>
      </c>
      <c r="BA254" s="54">
        <v>4152</v>
      </c>
      <c r="BB254" s="54">
        <v>1343</v>
      </c>
      <c r="BC254" s="54">
        <v>2379</v>
      </c>
      <c r="BD254" s="54">
        <v>1259</v>
      </c>
      <c r="BE254" s="70">
        <v>4462</v>
      </c>
      <c r="BF254" s="63">
        <v>926</v>
      </c>
      <c r="BG254" s="71">
        <v>6647</v>
      </c>
      <c r="BH254" s="67"/>
      <c r="BI254" s="68"/>
      <c r="BJ254" s="72">
        <v>1276</v>
      </c>
      <c r="BK254" s="62"/>
      <c r="BL254" s="70">
        <v>3272</v>
      </c>
      <c r="BM254" s="70">
        <v>37</v>
      </c>
      <c r="BN254" s="70">
        <v>118</v>
      </c>
      <c r="BO254" s="70">
        <v>1099</v>
      </c>
      <c r="BP254" s="73">
        <v>22</v>
      </c>
      <c r="BQ254" s="74">
        <v>806</v>
      </c>
      <c r="BR254" s="54">
        <v>918</v>
      </c>
      <c r="BS254" s="75">
        <v>119</v>
      </c>
      <c r="BT254" s="76">
        <v>74.515503875968989</v>
      </c>
      <c r="BU254" s="77">
        <v>25.484496124031008</v>
      </c>
      <c r="BV254" s="78">
        <v>1538</v>
      </c>
      <c r="BW254" s="79">
        <v>526</v>
      </c>
      <c r="BX254" s="69">
        <v>720</v>
      </c>
      <c r="BY254" s="70">
        <v>591</v>
      </c>
      <c r="BZ254" s="70">
        <v>320</v>
      </c>
      <c r="CA254" s="70">
        <v>227</v>
      </c>
      <c r="CB254" s="70">
        <v>17</v>
      </c>
      <c r="CC254" s="70">
        <v>184</v>
      </c>
      <c r="CD254" s="70">
        <v>5</v>
      </c>
      <c r="CE254" s="73">
        <v>0</v>
      </c>
    </row>
    <row r="255" spans="2:83" x14ac:dyDescent="0.3">
      <c r="B255" s="46">
        <v>49</v>
      </c>
      <c r="C255" s="47">
        <v>43437</v>
      </c>
      <c r="D255" s="48">
        <v>58</v>
      </c>
      <c r="E255" s="49">
        <v>3003</v>
      </c>
      <c r="F255" s="50">
        <v>335</v>
      </c>
      <c r="G255" s="51">
        <v>3.5267962308598353</v>
      </c>
      <c r="H255" s="52">
        <v>5.0008350730688935</v>
      </c>
      <c r="I255" s="53">
        <v>2395</v>
      </c>
      <c r="J255" s="54">
        <v>3396</v>
      </c>
      <c r="K255" s="54">
        <v>11977</v>
      </c>
      <c r="L255" s="55">
        <v>5231.5</v>
      </c>
      <c r="M255" s="56">
        <v>638.75900000000001</v>
      </c>
      <c r="N255" s="57">
        <v>1796.55</v>
      </c>
      <c r="O255" s="58">
        <v>780.2</v>
      </c>
      <c r="P255" s="59">
        <v>15.351192002050755</v>
      </c>
      <c r="Q255" s="60">
        <v>991.79</v>
      </c>
      <c r="R255" s="61">
        <v>12.076145151695419</v>
      </c>
      <c r="S255" s="48"/>
      <c r="T255" s="50"/>
      <c r="U255" s="62">
        <v>0</v>
      </c>
      <c r="V255" s="63">
        <v>76</v>
      </c>
      <c r="W255" s="50">
        <v>82</v>
      </c>
      <c r="X255" s="48">
        <v>32</v>
      </c>
      <c r="Y255" s="63">
        <v>88</v>
      </c>
      <c r="Z255" s="63">
        <v>142</v>
      </c>
      <c r="AA255" s="64">
        <v>271.2</v>
      </c>
      <c r="AB255" s="65">
        <v>47.247999999999998</v>
      </c>
      <c r="AC255" s="66"/>
      <c r="AD255" s="67"/>
      <c r="AE255" s="68"/>
      <c r="AF255" s="48"/>
      <c r="AG255" s="63">
        <v>377</v>
      </c>
      <c r="AH255" s="63">
        <v>78</v>
      </c>
      <c r="AI255" s="63">
        <v>120</v>
      </c>
      <c r="AJ255" s="63">
        <v>91</v>
      </c>
      <c r="AK255" s="63">
        <v>598</v>
      </c>
      <c r="AL255" s="63">
        <v>195</v>
      </c>
      <c r="AM255" s="63">
        <v>152</v>
      </c>
      <c r="AN255" s="63">
        <v>503</v>
      </c>
      <c r="AO255" s="63">
        <v>163</v>
      </c>
      <c r="AP255" s="63">
        <v>215</v>
      </c>
      <c r="AQ255" s="63">
        <v>235</v>
      </c>
      <c r="AR255" s="63">
        <v>16</v>
      </c>
      <c r="AS255" s="63">
        <v>1</v>
      </c>
      <c r="AT255" s="63">
        <v>7</v>
      </c>
      <c r="AU255" s="63">
        <v>88</v>
      </c>
      <c r="AV255" s="63">
        <v>233</v>
      </c>
      <c r="AW255" s="50">
        <v>14</v>
      </c>
      <c r="AX255" s="69">
        <v>5122</v>
      </c>
      <c r="AY255" s="69">
        <v>24706</v>
      </c>
      <c r="AZ255" s="54">
        <v>3189</v>
      </c>
      <c r="BA255" s="54">
        <v>7709</v>
      </c>
      <c r="BB255" s="54">
        <v>944</v>
      </c>
      <c r="BC255" s="54">
        <v>1873</v>
      </c>
      <c r="BD255" s="54">
        <v>1566</v>
      </c>
      <c r="BE255" s="70">
        <v>3696</v>
      </c>
      <c r="BF255" s="63">
        <v>932</v>
      </c>
      <c r="BG255" s="71">
        <v>6194</v>
      </c>
      <c r="BH255" s="67"/>
      <c r="BI255" s="68"/>
      <c r="BJ255" s="72">
        <v>1230</v>
      </c>
      <c r="BK255" s="62"/>
      <c r="BL255" s="70">
        <v>2390</v>
      </c>
      <c r="BM255" s="70">
        <v>236</v>
      </c>
      <c r="BN255" s="70">
        <v>131</v>
      </c>
      <c r="BO255" s="70">
        <v>854</v>
      </c>
      <c r="BP255" s="73">
        <v>9</v>
      </c>
      <c r="BQ255" s="74">
        <v>1703</v>
      </c>
      <c r="BR255" s="54">
        <v>371</v>
      </c>
      <c r="BS255" s="75">
        <v>143</v>
      </c>
      <c r="BT255" s="76">
        <v>79.208754208754215</v>
      </c>
      <c r="BU255" s="77">
        <v>20.791245791245792</v>
      </c>
      <c r="BV255" s="78">
        <v>1882</v>
      </c>
      <c r="BW255" s="79">
        <v>494</v>
      </c>
      <c r="BX255" s="69">
        <v>888</v>
      </c>
      <c r="BY255" s="70">
        <v>119</v>
      </c>
      <c r="BZ255" s="70">
        <v>303</v>
      </c>
      <c r="CA255" s="70">
        <v>875</v>
      </c>
      <c r="CB255" s="70">
        <v>10</v>
      </c>
      <c r="CC255" s="70">
        <v>156</v>
      </c>
      <c r="CD255" s="70">
        <v>16</v>
      </c>
      <c r="CE255" s="73">
        <v>9</v>
      </c>
    </row>
    <row r="256" spans="2:83" x14ac:dyDescent="0.3">
      <c r="B256" s="46">
        <v>49</v>
      </c>
      <c r="C256" s="47">
        <v>43438</v>
      </c>
      <c r="D256" s="48">
        <v>78</v>
      </c>
      <c r="E256" s="49">
        <v>3256</v>
      </c>
      <c r="F256" s="50">
        <v>325</v>
      </c>
      <c r="G256" s="51">
        <v>3.0639518994260726</v>
      </c>
      <c r="H256" s="52">
        <v>4.3827208756841278</v>
      </c>
      <c r="I256" s="53">
        <v>2558</v>
      </c>
      <c r="J256" s="54">
        <v>3659</v>
      </c>
      <c r="K256" s="54">
        <v>11211</v>
      </c>
      <c r="L256" s="55">
        <v>6463.2</v>
      </c>
      <c r="M256" s="56">
        <v>602</v>
      </c>
      <c r="N256" s="57">
        <v>1681.65</v>
      </c>
      <c r="O256" s="58">
        <v>777.03</v>
      </c>
      <c r="P256" s="59">
        <v>14.428014362379832</v>
      </c>
      <c r="Q256" s="60">
        <v>982.31999999999994</v>
      </c>
      <c r="R256" s="61">
        <v>11.412777913510872</v>
      </c>
      <c r="S256" s="48"/>
      <c r="T256" s="50"/>
      <c r="U256" s="62">
        <v>0</v>
      </c>
      <c r="V256" s="63">
        <v>124</v>
      </c>
      <c r="W256" s="50">
        <v>110</v>
      </c>
      <c r="X256" s="48">
        <v>44</v>
      </c>
      <c r="Y256" s="63">
        <v>97</v>
      </c>
      <c r="Z256" s="63">
        <v>238</v>
      </c>
      <c r="AA256" s="64">
        <v>382</v>
      </c>
      <c r="AB256" s="65">
        <v>41.502000000000002</v>
      </c>
      <c r="AC256" s="66"/>
      <c r="AD256" s="67"/>
      <c r="AE256" s="68"/>
      <c r="AF256" s="48">
        <v>267</v>
      </c>
      <c r="AG256" s="63">
        <v>327</v>
      </c>
      <c r="AH256" s="63">
        <v>68</v>
      </c>
      <c r="AI256" s="63">
        <v>143</v>
      </c>
      <c r="AJ256" s="63">
        <v>155</v>
      </c>
      <c r="AK256" s="63">
        <v>493</v>
      </c>
      <c r="AL256" s="63">
        <v>285</v>
      </c>
      <c r="AM256" s="63">
        <v>238</v>
      </c>
      <c r="AN256" s="63">
        <v>568</v>
      </c>
      <c r="AO256" s="63">
        <v>185</v>
      </c>
      <c r="AP256" s="63">
        <v>234</v>
      </c>
      <c r="AQ256" s="63">
        <v>239</v>
      </c>
      <c r="AR256" s="63">
        <v>16</v>
      </c>
      <c r="AS256" s="63">
        <v>6</v>
      </c>
      <c r="AT256" s="63">
        <v>21</v>
      </c>
      <c r="AU256" s="63">
        <v>105</v>
      </c>
      <c r="AV256" s="63">
        <v>176</v>
      </c>
      <c r="AW256" s="50">
        <v>43</v>
      </c>
      <c r="AX256" s="69">
        <v>4976</v>
      </c>
      <c r="AY256" s="69">
        <v>29933</v>
      </c>
      <c r="AZ256" s="54">
        <v>3344</v>
      </c>
      <c r="BA256" s="54">
        <v>9047</v>
      </c>
      <c r="BB256" s="54">
        <v>640</v>
      </c>
      <c r="BC256" s="54">
        <v>1016</v>
      </c>
      <c r="BD256" s="54">
        <v>1558</v>
      </c>
      <c r="BE256" s="70">
        <v>4648</v>
      </c>
      <c r="BF256" s="63">
        <v>899</v>
      </c>
      <c r="BG256" s="71">
        <v>7105</v>
      </c>
      <c r="BH256" s="67"/>
      <c r="BI256" s="68"/>
      <c r="BJ256" s="72">
        <v>1047</v>
      </c>
      <c r="BK256" s="62"/>
      <c r="BL256" s="70">
        <v>2145</v>
      </c>
      <c r="BM256" s="70">
        <v>264</v>
      </c>
      <c r="BN256" s="70">
        <v>100</v>
      </c>
      <c r="BO256" s="70">
        <v>658</v>
      </c>
      <c r="BP256" s="73">
        <v>25</v>
      </c>
      <c r="BQ256" s="74">
        <v>1668</v>
      </c>
      <c r="BR256" s="54">
        <v>566</v>
      </c>
      <c r="BS256" s="75">
        <v>128</v>
      </c>
      <c r="BT256" s="76">
        <v>84.766391833529639</v>
      </c>
      <c r="BU256" s="77">
        <v>15.233608166470358</v>
      </c>
      <c r="BV256" s="78">
        <v>2159</v>
      </c>
      <c r="BW256" s="79">
        <v>388</v>
      </c>
      <c r="BX256" s="69">
        <v>1448</v>
      </c>
      <c r="BY256" s="70">
        <v>359</v>
      </c>
      <c r="BZ256" s="70">
        <v>236</v>
      </c>
      <c r="CA256" s="70">
        <v>352</v>
      </c>
      <c r="CB256" s="70">
        <v>9</v>
      </c>
      <c r="CC256" s="70">
        <v>104</v>
      </c>
      <c r="CD256" s="70">
        <v>10</v>
      </c>
      <c r="CE256" s="73">
        <v>29</v>
      </c>
    </row>
    <row r="257" spans="2:83" x14ac:dyDescent="0.3">
      <c r="B257" s="46">
        <v>49</v>
      </c>
      <c r="C257" s="47">
        <v>43439</v>
      </c>
      <c r="D257" s="48">
        <v>44</v>
      </c>
      <c r="E257" s="49">
        <v>2124</v>
      </c>
      <c r="F257" s="50">
        <v>428</v>
      </c>
      <c r="G257" s="51">
        <v>4.6987673343605545</v>
      </c>
      <c r="H257" s="52">
        <v>6.9385665529010243</v>
      </c>
      <c r="I257" s="53">
        <v>1758</v>
      </c>
      <c r="J257" s="54">
        <v>2596</v>
      </c>
      <c r="K257" s="54">
        <v>12198</v>
      </c>
      <c r="L257" s="55">
        <v>8530.7000000000007</v>
      </c>
      <c r="M257" s="56">
        <v>831.70500000000004</v>
      </c>
      <c r="N257" s="57">
        <v>1829.7</v>
      </c>
      <c r="O257" s="58">
        <v>765.74</v>
      </c>
      <c r="P257" s="59">
        <v>15.929688928356883</v>
      </c>
      <c r="Q257" s="60">
        <v>976.31999999999994</v>
      </c>
      <c r="R257" s="61">
        <v>12.493854473942971</v>
      </c>
      <c r="S257" s="48"/>
      <c r="T257" s="50"/>
      <c r="U257" s="62">
        <v>0</v>
      </c>
      <c r="V257" s="63">
        <v>38</v>
      </c>
      <c r="W257" s="50">
        <v>119</v>
      </c>
      <c r="X257" s="48">
        <v>46</v>
      </c>
      <c r="Y257" s="63">
        <v>108</v>
      </c>
      <c r="Z257" s="63">
        <v>612</v>
      </c>
      <c r="AA257" s="64">
        <v>1280.0999999999999</v>
      </c>
      <c r="AB257" s="65">
        <v>66.42</v>
      </c>
      <c r="AC257" s="66"/>
      <c r="AD257" s="67"/>
      <c r="AE257" s="68"/>
      <c r="AF257" s="48">
        <v>200</v>
      </c>
      <c r="AG257" s="63">
        <v>286</v>
      </c>
      <c r="AH257" s="63">
        <v>68</v>
      </c>
      <c r="AI257" s="63">
        <v>147</v>
      </c>
      <c r="AJ257" s="63">
        <v>95</v>
      </c>
      <c r="AK257" s="63">
        <v>251</v>
      </c>
      <c r="AL257" s="63">
        <v>153</v>
      </c>
      <c r="AM257" s="63">
        <v>147</v>
      </c>
      <c r="AN257" s="63">
        <v>416</v>
      </c>
      <c r="AO257" s="63">
        <v>97</v>
      </c>
      <c r="AP257" s="63">
        <v>119</v>
      </c>
      <c r="AQ257" s="63">
        <v>121</v>
      </c>
      <c r="AR257" s="63">
        <v>9</v>
      </c>
      <c r="AS257" s="63">
        <v>1</v>
      </c>
      <c r="AT257" s="63">
        <v>1</v>
      </c>
      <c r="AU257" s="63">
        <v>119</v>
      </c>
      <c r="AV257" s="63">
        <v>289</v>
      </c>
      <c r="AW257" s="50">
        <v>20</v>
      </c>
      <c r="AX257" s="69">
        <v>6098</v>
      </c>
      <c r="AY257" s="69">
        <v>28812</v>
      </c>
      <c r="AZ257" s="54">
        <v>4263</v>
      </c>
      <c r="BA257" s="54">
        <v>18262</v>
      </c>
      <c r="BB257" s="54">
        <v>635</v>
      </c>
      <c r="BC257" s="54">
        <v>1203</v>
      </c>
      <c r="BD257" s="54">
        <v>1779</v>
      </c>
      <c r="BE257" s="70">
        <v>3987</v>
      </c>
      <c r="BF257" s="63">
        <v>844</v>
      </c>
      <c r="BG257" s="71">
        <v>6610</v>
      </c>
      <c r="BH257" s="67"/>
      <c r="BI257" s="68"/>
      <c r="BJ257" s="72">
        <v>964</v>
      </c>
      <c r="BK257" s="62"/>
      <c r="BL257" s="70">
        <v>1875</v>
      </c>
      <c r="BM257" s="70">
        <v>201</v>
      </c>
      <c r="BN257" s="70">
        <v>199</v>
      </c>
      <c r="BO257" s="70">
        <v>545</v>
      </c>
      <c r="BP257" s="73">
        <v>19</v>
      </c>
      <c r="BQ257" s="74">
        <v>1133</v>
      </c>
      <c r="BR257" s="54">
        <v>347</v>
      </c>
      <c r="BS257" s="75">
        <v>83</v>
      </c>
      <c r="BT257" s="76">
        <v>79.351535836177476</v>
      </c>
      <c r="BU257" s="77">
        <v>20.648464163822524</v>
      </c>
      <c r="BV257" s="78">
        <v>1395</v>
      </c>
      <c r="BW257" s="79">
        <v>363</v>
      </c>
      <c r="BX257" s="69">
        <v>847</v>
      </c>
      <c r="BY257" s="70">
        <v>172</v>
      </c>
      <c r="BZ257" s="70">
        <v>188</v>
      </c>
      <c r="CA257" s="70">
        <v>376</v>
      </c>
      <c r="CB257" s="70">
        <v>16</v>
      </c>
      <c r="CC257" s="70">
        <v>113</v>
      </c>
      <c r="CD257" s="70">
        <v>22</v>
      </c>
      <c r="CE257" s="73">
        <v>24</v>
      </c>
    </row>
    <row r="258" spans="2:83" x14ac:dyDescent="0.3">
      <c r="B258" s="46">
        <v>49</v>
      </c>
      <c r="C258" s="47">
        <v>43440</v>
      </c>
      <c r="D258" s="48">
        <v>7</v>
      </c>
      <c r="E258" s="49">
        <v>2027</v>
      </c>
      <c r="F258" s="50">
        <v>381</v>
      </c>
      <c r="G258" s="51">
        <v>3.4782608695652173</v>
      </c>
      <c r="H258" s="52">
        <v>5.045045045045045</v>
      </c>
      <c r="I258" s="53">
        <v>1665</v>
      </c>
      <c r="J258" s="54">
        <v>2415</v>
      </c>
      <c r="K258" s="54">
        <v>8400</v>
      </c>
      <c r="L258" s="55">
        <v>7486.6</v>
      </c>
      <c r="M258" s="56">
        <v>725</v>
      </c>
      <c r="N258" s="57">
        <v>1260</v>
      </c>
      <c r="O258" s="58">
        <v>718.17</v>
      </c>
      <c r="P258" s="59">
        <v>11.696395003968421</v>
      </c>
      <c r="Q258" s="60">
        <v>902.44</v>
      </c>
      <c r="R258" s="61">
        <v>9.3080980452994098</v>
      </c>
      <c r="S258" s="48"/>
      <c r="T258" s="50"/>
      <c r="U258" s="62">
        <v>0</v>
      </c>
      <c r="V258" s="63">
        <v>91</v>
      </c>
      <c r="W258" s="50">
        <v>194</v>
      </c>
      <c r="X258" s="48">
        <v>43</v>
      </c>
      <c r="Y258" s="63">
        <v>160</v>
      </c>
      <c r="Z258" s="63">
        <v>225</v>
      </c>
      <c r="AA258" s="64">
        <v>651.1</v>
      </c>
      <c r="AB258" s="65">
        <v>157</v>
      </c>
      <c r="AC258" s="66"/>
      <c r="AD258" s="67"/>
      <c r="AE258" s="68"/>
      <c r="AF258" s="48">
        <v>145</v>
      </c>
      <c r="AG258" s="63">
        <v>205</v>
      </c>
      <c r="AH258" s="63">
        <v>45</v>
      </c>
      <c r="AI258" s="63">
        <v>92</v>
      </c>
      <c r="AJ258" s="63">
        <v>115</v>
      </c>
      <c r="AK258" s="63">
        <v>252</v>
      </c>
      <c r="AL258" s="63">
        <v>194</v>
      </c>
      <c r="AM258" s="63">
        <v>164</v>
      </c>
      <c r="AN258" s="63">
        <v>409</v>
      </c>
      <c r="AO258" s="63">
        <v>76</v>
      </c>
      <c r="AP258" s="63">
        <v>93</v>
      </c>
      <c r="AQ258" s="63">
        <v>201</v>
      </c>
      <c r="AR258" s="63">
        <v>8</v>
      </c>
      <c r="AS258" s="63">
        <v>4</v>
      </c>
      <c r="AT258" s="63">
        <v>7</v>
      </c>
      <c r="AU258" s="63">
        <v>56</v>
      </c>
      <c r="AV258" s="63">
        <v>319</v>
      </c>
      <c r="AW258" s="50">
        <v>6</v>
      </c>
      <c r="AX258" s="69">
        <v>4900</v>
      </c>
      <c r="AY258" s="69">
        <v>36971</v>
      </c>
      <c r="AZ258" s="54">
        <v>2462</v>
      </c>
      <c r="BA258" s="54">
        <v>18375</v>
      </c>
      <c r="BB258" s="54">
        <v>226</v>
      </c>
      <c r="BC258" s="54">
        <v>507</v>
      </c>
      <c r="BD258" s="54">
        <v>1475</v>
      </c>
      <c r="BE258" s="70">
        <v>2994</v>
      </c>
      <c r="BF258" s="63">
        <v>532</v>
      </c>
      <c r="BG258" s="71">
        <v>5001</v>
      </c>
      <c r="BH258" s="67"/>
      <c r="BI258" s="68"/>
      <c r="BJ258" s="72">
        <v>908</v>
      </c>
      <c r="BK258" s="62"/>
      <c r="BL258" s="70">
        <v>2090</v>
      </c>
      <c r="BM258" s="70">
        <v>207</v>
      </c>
      <c r="BN258" s="70">
        <v>148</v>
      </c>
      <c r="BO258" s="70">
        <v>527</v>
      </c>
      <c r="BP258" s="73">
        <v>26</v>
      </c>
      <c r="BQ258" s="74">
        <v>938</v>
      </c>
      <c r="BR258" s="54">
        <v>435</v>
      </c>
      <c r="BS258" s="75">
        <v>136</v>
      </c>
      <c r="BT258" s="76">
        <v>80.48048048048048</v>
      </c>
      <c r="BU258" s="77">
        <v>19.51951951951952</v>
      </c>
      <c r="BV258" s="78">
        <v>1340</v>
      </c>
      <c r="BW258" s="79">
        <v>325</v>
      </c>
      <c r="BX258" s="69">
        <v>606</v>
      </c>
      <c r="BY258" s="70">
        <v>294</v>
      </c>
      <c r="BZ258" s="70">
        <v>128</v>
      </c>
      <c r="CA258" s="70">
        <v>440</v>
      </c>
      <c r="CB258" s="70">
        <v>10</v>
      </c>
      <c r="CC258" s="70">
        <v>170</v>
      </c>
      <c r="CD258" s="70">
        <v>6</v>
      </c>
      <c r="CE258" s="73">
        <v>11</v>
      </c>
    </row>
    <row r="259" spans="2:83" x14ac:dyDescent="0.3">
      <c r="B259" s="46">
        <v>49</v>
      </c>
      <c r="C259" s="47">
        <v>43441</v>
      </c>
      <c r="D259" s="48">
        <v>19</v>
      </c>
      <c r="E259" s="49">
        <v>2812</v>
      </c>
      <c r="F259" s="50">
        <v>406</v>
      </c>
      <c r="G259" s="51">
        <v>3.4305599493831065</v>
      </c>
      <c r="H259" s="52">
        <v>5.0672897196261681</v>
      </c>
      <c r="I259" s="53">
        <v>2140</v>
      </c>
      <c r="J259" s="54">
        <v>3161</v>
      </c>
      <c r="K259" s="54">
        <v>10844</v>
      </c>
      <c r="L259" s="55">
        <v>9198.6</v>
      </c>
      <c r="M259" s="56">
        <v>650.63499999999999</v>
      </c>
      <c r="N259" s="57">
        <v>1626.6</v>
      </c>
      <c r="O259" s="58">
        <v>667.98</v>
      </c>
      <c r="P259" s="59">
        <v>16.234018982604269</v>
      </c>
      <c r="Q259" s="60">
        <v>845.18000000000006</v>
      </c>
      <c r="R259" s="61">
        <v>12.830402991078822</v>
      </c>
      <c r="S259" s="48"/>
      <c r="T259" s="50"/>
      <c r="U259" s="62">
        <v>0</v>
      </c>
      <c r="V259" s="63">
        <v>130</v>
      </c>
      <c r="W259" s="50">
        <v>147</v>
      </c>
      <c r="X259" s="48">
        <v>85</v>
      </c>
      <c r="Y259" s="63">
        <v>175</v>
      </c>
      <c r="Z259" s="63">
        <v>361</v>
      </c>
      <c r="AA259" s="64">
        <v>1345.8</v>
      </c>
      <c r="AB259" s="65">
        <v>96.26</v>
      </c>
      <c r="AC259" s="66"/>
      <c r="AD259" s="67"/>
      <c r="AE259" s="68"/>
      <c r="AF259" s="48">
        <v>181</v>
      </c>
      <c r="AG259" s="63">
        <v>253</v>
      </c>
      <c r="AH259" s="63">
        <v>88</v>
      </c>
      <c r="AI259" s="63">
        <v>122</v>
      </c>
      <c r="AJ259" s="63">
        <v>106</v>
      </c>
      <c r="AK259" s="63">
        <v>318</v>
      </c>
      <c r="AL259" s="63">
        <v>210</v>
      </c>
      <c r="AM259" s="63">
        <v>196</v>
      </c>
      <c r="AN259" s="63">
        <v>581</v>
      </c>
      <c r="AO259" s="63">
        <v>159</v>
      </c>
      <c r="AP259" s="63">
        <v>135</v>
      </c>
      <c r="AQ259" s="63">
        <v>400</v>
      </c>
      <c r="AR259" s="63">
        <v>20</v>
      </c>
      <c r="AS259" s="63">
        <v>2</v>
      </c>
      <c r="AT259" s="63">
        <v>15</v>
      </c>
      <c r="AU259" s="63">
        <v>80</v>
      </c>
      <c r="AV259" s="63">
        <v>296</v>
      </c>
      <c r="AW259" s="50">
        <v>30</v>
      </c>
      <c r="AX259" s="69">
        <v>4825</v>
      </c>
      <c r="AY259" s="69">
        <v>28998</v>
      </c>
      <c r="AZ259" s="54">
        <v>2501</v>
      </c>
      <c r="BA259" s="54">
        <v>8997</v>
      </c>
      <c r="BB259" s="54">
        <v>984</v>
      </c>
      <c r="BC259" s="54">
        <v>1772</v>
      </c>
      <c r="BD259" s="54">
        <v>1373</v>
      </c>
      <c r="BE259" s="70">
        <v>3374</v>
      </c>
      <c r="BF259" s="63">
        <v>829</v>
      </c>
      <c r="BG259" s="71">
        <v>5576</v>
      </c>
      <c r="BH259" s="67"/>
      <c r="BI259" s="68"/>
      <c r="BJ259" s="72">
        <v>1080</v>
      </c>
      <c r="BK259" s="62"/>
      <c r="BL259" s="70">
        <v>1818</v>
      </c>
      <c r="BM259" s="70">
        <v>216</v>
      </c>
      <c r="BN259" s="70">
        <v>207</v>
      </c>
      <c r="BO259" s="70">
        <v>607</v>
      </c>
      <c r="BP259" s="73">
        <v>50</v>
      </c>
      <c r="BQ259" s="74">
        <v>1226</v>
      </c>
      <c r="BR259" s="54">
        <v>474</v>
      </c>
      <c r="BS259" s="75">
        <v>178</v>
      </c>
      <c r="BT259" s="76">
        <v>76.214953271028037</v>
      </c>
      <c r="BU259" s="77">
        <v>23.785046728971963</v>
      </c>
      <c r="BV259" s="78">
        <v>1631</v>
      </c>
      <c r="BW259" s="79">
        <v>509</v>
      </c>
      <c r="BX259" s="69">
        <v>1015</v>
      </c>
      <c r="BY259" s="70">
        <v>175</v>
      </c>
      <c r="BZ259" s="70">
        <v>276</v>
      </c>
      <c r="CA259" s="70">
        <v>441</v>
      </c>
      <c r="CB259" s="70">
        <v>17</v>
      </c>
      <c r="CC259" s="70">
        <v>175</v>
      </c>
      <c r="CD259" s="70">
        <v>3</v>
      </c>
      <c r="CE259" s="73">
        <v>38</v>
      </c>
    </row>
    <row r="260" spans="2:83" x14ac:dyDescent="0.3">
      <c r="B260" s="46">
        <v>49</v>
      </c>
      <c r="C260" s="47">
        <v>43442</v>
      </c>
      <c r="D260" s="48">
        <v>14</v>
      </c>
      <c r="E260" s="49">
        <v>413</v>
      </c>
      <c r="F260" s="50">
        <v>23</v>
      </c>
      <c r="G260" s="51">
        <v>2.8834498834498836</v>
      </c>
      <c r="H260" s="52">
        <v>5.1757322175732217</v>
      </c>
      <c r="I260" s="53">
        <v>239</v>
      </c>
      <c r="J260" s="54">
        <v>429</v>
      </c>
      <c r="K260" s="54">
        <v>1237</v>
      </c>
      <c r="L260" s="55">
        <v>5113</v>
      </c>
      <c r="M260" s="56">
        <v>46.3</v>
      </c>
      <c r="N260" s="57">
        <v>185.55</v>
      </c>
      <c r="O260" s="58">
        <v>76.490000000000009</v>
      </c>
      <c r="P260" s="59">
        <v>16.172048633808338</v>
      </c>
      <c r="Q260" s="60">
        <v>83.43</v>
      </c>
      <c r="R260" s="61">
        <v>14.826800910943305</v>
      </c>
      <c r="S260" s="48"/>
      <c r="T260" s="50"/>
      <c r="U260" s="62">
        <v>0</v>
      </c>
      <c r="V260" s="63">
        <v>0</v>
      </c>
      <c r="W260" s="50">
        <v>0</v>
      </c>
      <c r="X260" s="48">
        <v>0</v>
      </c>
      <c r="Y260" s="63">
        <v>0</v>
      </c>
      <c r="Z260" s="63">
        <v>0</v>
      </c>
      <c r="AA260" s="64">
        <v>0</v>
      </c>
      <c r="AB260" s="65">
        <v>0</v>
      </c>
      <c r="AC260" s="66"/>
      <c r="AD260" s="67"/>
      <c r="AE260" s="68"/>
      <c r="AF260" s="48">
        <v>0</v>
      </c>
      <c r="AG260" s="63">
        <v>0</v>
      </c>
      <c r="AH260" s="63">
        <v>1</v>
      </c>
      <c r="AI260" s="63">
        <v>3</v>
      </c>
      <c r="AJ260" s="63">
        <v>6</v>
      </c>
      <c r="AK260" s="63">
        <v>23</v>
      </c>
      <c r="AL260" s="63">
        <v>53</v>
      </c>
      <c r="AM260" s="63">
        <v>49</v>
      </c>
      <c r="AN260" s="63">
        <v>194</v>
      </c>
      <c r="AO260" s="63">
        <v>23</v>
      </c>
      <c r="AP260" s="63">
        <v>29</v>
      </c>
      <c r="AQ260" s="63">
        <v>33</v>
      </c>
      <c r="AR260" s="63">
        <v>0</v>
      </c>
      <c r="AS260" s="63">
        <v>0</v>
      </c>
      <c r="AT260" s="63">
        <v>0</v>
      </c>
      <c r="AU260" s="63">
        <v>13</v>
      </c>
      <c r="AV260" s="63">
        <v>6</v>
      </c>
      <c r="AW260" s="50">
        <v>3</v>
      </c>
      <c r="AX260" s="69">
        <v>0</v>
      </c>
      <c r="AY260" s="69">
        <v>0</v>
      </c>
      <c r="AZ260" s="54">
        <v>0</v>
      </c>
      <c r="BA260" s="54">
        <v>0</v>
      </c>
      <c r="BB260" s="54">
        <v>0</v>
      </c>
      <c r="BC260" s="54">
        <v>0</v>
      </c>
      <c r="BD260" s="54">
        <v>123</v>
      </c>
      <c r="BE260" s="70">
        <v>690</v>
      </c>
      <c r="BF260" s="63">
        <v>0</v>
      </c>
      <c r="BG260" s="71">
        <v>813</v>
      </c>
      <c r="BH260" s="67"/>
      <c r="BI260" s="68"/>
      <c r="BJ260" s="72">
        <v>173</v>
      </c>
      <c r="BK260" s="62"/>
      <c r="BL260" s="70">
        <v>640</v>
      </c>
      <c r="BM260" s="70">
        <v>81</v>
      </c>
      <c r="BN260" s="70">
        <v>0</v>
      </c>
      <c r="BO260" s="70">
        <v>92</v>
      </c>
      <c r="BP260" s="73">
        <v>0</v>
      </c>
      <c r="BQ260" s="74">
        <v>2</v>
      </c>
      <c r="BR260" s="54">
        <v>260</v>
      </c>
      <c r="BS260" s="75">
        <v>11</v>
      </c>
      <c r="BT260" s="76">
        <v>82.426778242677827</v>
      </c>
      <c r="BU260" s="77">
        <v>17.573221757322177</v>
      </c>
      <c r="BV260" s="78">
        <v>197</v>
      </c>
      <c r="BW260" s="79">
        <v>42</v>
      </c>
      <c r="BX260" s="69">
        <v>4</v>
      </c>
      <c r="BY260" s="70">
        <v>169</v>
      </c>
      <c r="BZ260" s="70">
        <v>42</v>
      </c>
      <c r="CA260" s="70">
        <v>24</v>
      </c>
      <c r="CB260" s="70">
        <v>0</v>
      </c>
      <c r="CC260" s="70">
        <v>0</v>
      </c>
      <c r="CD260" s="70">
        <v>0</v>
      </c>
      <c r="CE260" s="73">
        <v>0</v>
      </c>
    </row>
    <row r="261" spans="2:83" x14ac:dyDescent="0.3">
      <c r="B261" s="46">
        <v>50</v>
      </c>
      <c r="C261" s="47">
        <v>43444</v>
      </c>
      <c r="D261" s="48">
        <v>19</v>
      </c>
      <c r="E261" s="49">
        <v>4471</v>
      </c>
      <c r="F261" s="50">
        <v>262</v>
      </c>
      <c r="G261" s="51">
        <v>2.3465897383062022</v>
      </c>
      <c r="H261" s="52">
        <v>2.9088122605363984</v>
      </c>
      <c r="I261" s="53">
        <v>3915</v>
      </c>
      <c r="J261" s="54">
        <v>4853</v>
      </c>
      <c r="K261" s="54">
        <v>11388</v>
      </c>
      <c r="L261" s="55">
        <v>8954.2000000000007</v>
      </c>
      <c r="M261" s="56">
        <v>705.59799999999996</v>
      </c>
      <c r="N261" s="57">
        <v>1708.2</v>
      </c>
      <c r="O261" s="58">
        <v>707.79</v>
      </c>
      <c r="P261" s="59">
        <v>16.089518077395837</v>
      </c>
      <c r="Q261" s="60">
        <v>915.66</v>
      </c>
      <c r="R261" s="61">
        <v>12.436930738483717</v>
      </c>
      <c r="S261" s="48"/>
      <c r="T261" s="50"/>
      <c r="U261" s="62">
        <v>0</v>
      </c>
      <c r="V261" s="63">
        <v>97</v>
      </c>
      <c r="W261" s="50">
        <v>71</v>
      </c>
      <c r="X261" s="48">
        <v>40</v>
      </c>
      <c r="Y261" s="63">
        <v>170</v>
      </c>
      <c r="Z261" s="63">
        <v>266</v>
      </c>
      <c r="AA261" s="64">
        <v>925</v>
      </c>
      <c r="AB261" s="65">
        <v>80.951999999999998</v>
      </c>
      <c r="AC261" s="66"/>
      <c r="AD261" s="67"/>
      <c r="AE261" s="68"/>
      <c r="AF261" s="48">
        <v>450</v>
      </c>
      <c r="AG261" s="63">
        <v>759</v>
      </c>
      <c r="AH261" s="63">
        <v>163</v>
      </c>
      <c r="AI261" s="63">
        <v>244</v>
      </c>
      <c r="AJ261" s="63">
        <v>174</v>
      </c>
      <c r="AK261" s="63">
        <v>683</v>
      </c>
      <c r="AL261" s="63">
        <v>338</v>
      </c>
      <c r="AM261" s="63">
        <v>219</v>
      </c>
      <c r="AN261" s="63">
        <v>549</v>
      </c>
      <c r="AO261" s="63">
        <v>144</v>
      </c>
      <c r="AP261" s="63">
        <v>136</v>
      </c>
      <c r="AQ261" s="63">
        <v>386</v>
      </c>
      <c r="AR261" s="63">
        <v>66</v>
      </c>
      <c r="AS261" s="63">
        <v>5</v>
      </c>
      <c r="AT261" s="63">
        <v>48</v>
      </c>
      <c r="AU261" s="63">
        <v>94</v>
      </c>
      <c r="AV261" s="63">
        <v>157</v>
      </c>
      <c r="AW261" s="50">
        <v>9</v>
      </c>
      <c r="AX261" s="69">
        <v>5244</v>
      </c>
      <c r="AY261" s="69">
        <v>22428</v>
      </c>
      <c r="AZ261" s="54">
        <v>1669</v>
      </c>
      <c r="BA261" s="54">
        <v>3609</v>
      </c>
      <c r="BB261" s="54">
        <v>573</v>
      </c>
      <c r="BC261" s="54">
        <v>880</v>
      </c>
      <c r="BD261" s="54">
        <v>2125</v>
      </c>
      <c r="BE261" s="70">
        <v>2377</v>
      </c>
      <c r="BF261" s="63">
        <v>980</v>
      </c>
      <c r="BG261" s="71">
        <v>5482</v>
      </c>
      <c r="BH261" s="67"/>
      <c r="BI261" s="68"/>
      <c r="BJ261" s="72">
        <v>1839</v>
      </c>
      <c r="BK261" s="62"/>
      <c r="BL261" s="70">
        <v>3162</v>
      </c>
      <c r="BM261" s="70">
        <v>320</v>
      </c>
      <c r="BN261" s="70">
        <v>106</v>
      </c>
      <c r="BO261" s="70">
        <v>1375</v>
      </c>
      <c r="BP261" s="73">
        <v>38</v>
      </c>
      <c r="BQ261" s="74">
        <v>2902</v>
      </c>
      <c r="BR261" s="54">
        <v>419</v>
      </c>
      <c r="BS261" s="75">
        <v>65</v>
      </c>
      <c r="BT261" s="76">
        <v>81.496668375192215</v>
      </c>
      <c r="BU261" s="77">
        <v>18.503331624807792</v>
      </c>
      <c r="BV261" s="78">
        <v>3180</v>
      </c>
      <c r="BW261" s="79">
        <v>722</v>
      </c>
      <c r="BX261" s="69">
        <v>1958</v>
      </c>
      <c r="BY261" s="70">
        <v>238</v>
      </c>
      <c r="BZ261" s="70">
        <v>245</v>
      </c>
      <c r="CA261" s="70">
        <v>984</v>
      </c>
      <c r="CB261" s="70">
        <v>14</v>
      </c>
      <c r="CC261" s="70">
        <v>323</v>
      </c>
      <c r="CD261" s="70">
        <v>13</v>
      </c>
      <c r="CE261" s="73">
        <v>127</v>
      </c>
    </row>
    <row r="262" spans="2:83" x14ac:dyDescent="0.3">
      <c r="B262" s="46">
        <v>50</v>
      </c>
      <c r="C262" s="47">
        <v>43445</v>
      </c>
      <c r="D262" s="48">
        <v>47</v>
      </c>
      <c r="E262" s="49">
        <v>2689</v>
      </c>
      <c r="F262" s="50">
        <v>220</v>
      </c>
      <c r="G262" s="51">
        <v>3.0838445807770962</v>
      </c>
      <c r="H262" s="52">
        <v>4.3085714285714287</v>
      </c>
      <c r="I262" s="53">
        <v>2100</v>
      </c>
      <c r="J262" s="54">
        <v>2934</v>
      </c>
      <c r="K262" s="54">
        <v>9048</v>
      </c>
      <c r="L262" s="55">
        <v>6960.3</v>
      </c>
      <c r="M262" s="56">
        <v>454.53800000000001</v>
      </c>
      <c r="N262" s="57">
        <v>1357.2</v>
      </c>
      <c r="O262" s="58">
        <v>746.8599999999999</v>
      </c>
      <c r="P262" s="59">
        <v>12.114720295637738</v>
      </c>
      <c r="Q262" s="60">
        <v>929.98</v>
      </c>
      <c r="R262" s="61">
        <v>9.7292414890642807</v>
      </c>
      <c r="S262" s="48"/>
      <c r="T262" s="50"/>
      <c r="U262" s="62">
        <v>0</v>
      </c>
      <c r="V262" s="63">
        <v>58</v>
      </c>
      <c r="W262" s="50">
        <v>37</v>
      </c>
      <c r="X262" s="48">
        <v>52</v>
      </c>
      <c r="Y262" s="63">
        <v>85</v>
      </c>
      <c r="Z262" s="63">
        <v>373</v>
      </c>
      <c r="AA262" s="64">
        <v>392.7</v>
      </c>
      <c r="AB262" s="65">
        <v>41.890999999999998</v>
      </c>
      <c r="AC262" s="66"/>
      <c r="AD262" s="67"/>
      <c r="AE262" s="68"/>
      <c r="AF262" s="48">
        <v>235</v>
      </c>
      <c r="AG262" s="63">
        <v>418</v>
      </c>
      <c r="AH262" s="63">
        <v>78</v>
      </c>
      <c r="AI262" s="63">
        <v>113</v>
      </c>
      <c r="AJ262" s="63">
        <v>116</v>
      </c>
      <c r="AK262" s="63">
        <v>361</v>
      </c>
      <c r="AL262" s="63">
        <v>181</v>
      </c>
      <c r="AM262" s="63">
        <v>127</v>
      </c>
      <c r="AN262" s="63">
        <v>273</v>
      </c>
      <c r="AO262" s="63">
        <v>77</v>
      </c>
      <c r="AP262" s="63">
        <v>115</v>
      </c>
      <c r="AQ262" s="63">
        <v>405</v>
      </c>
      <c r="AR262" s="63">
        <v>29</v>
      </c>
      <c r="AS262" s="63">
        <v>13</v>
      </c>
      <c r="AT262" s="63">
        <v>63</v>
      </c>
      <c r="AU262" s="63">
        <v>45</v>
      </c>
      <c r="AV262" s="63">
        <v>148</v>
      </c>
      <c r="AW262" s="50">
        <v>27</v>
      </c>
      <c r="AX262" s="69">
        <v>5530</v>
      </c>
      <c r="AY262" s="69">
        <v>32576</v>
      </c>
      <c r="AZ262" s="54">
        <v>2453</v>
      </c>
      <c r="BA262" s="54">
        <v>9064</v>
      </c>
      <c r="BB262" s="54">
        <v>494</v>
      </c>
      <c r="BC262" s="54">
        <v>860</v>
      </c>
      <c r="BD262" s="54">
        <v>1612</v>
      </c>
      <c r="BE262" s="70">
        <v>2379</v>
      </c>
      <c r="BF262" s="63">
        <v>801</v>
      </c>
      <c r="BG262" s="71">
        <v>4792</v>
      </c>
      <c r="BH262" s="67"/>
      <c r="BI262" s="68"/>
      <c r="BJ262" s="72">
        <v>1810</v>
      </c>
      <c r="BK262" s="62"/>
      <c r="BL262" s="70">
        <v>3569</v>
      </c>
      <c r="BM262" s="70">
        <v>176</v>
      </c>
      <c r="BN262" s="70">
        <v>59</v>
      </c>
      <c r="BO262" s="70">
        <v>1549</v>
      </c>
      <c r="BP262" s="73">
        <v>26</v>
      </c>
      <c r="BQ262" s="74">
        <v>1518</v>
      </c>
      <c r="BR262" s="54">
        <v>326</v>
      </c>
      <c r="BS262" s="75">
        <v>79</v>
      </c>
      <c r="BT262" s="76">
        <v>80.289156626506028</v>
      </c>
      <c r="BU262" s="77">
        <v>19.710843373493976</v>
      </c>
      <c r="BV262" s="78">
        <v>1666</v>
      </c>
      <c r="BW262" s="79">
        <v>409</v>
      </c>
      <c r="BX262" s="69">
        <v>1037</v>
      </c>
      <c r="BY262" s="70">
        <v>124</v>
      </c>
      <c r="BZ262" s="70">
        <v>216</v>
      </c>
      <c r="CA262" s="70">
        <v>505</v>
      </c>
      <c r="CB262" s="70">
        <v>11</v>
      </c>
      <c r="CC262" s="70">
        <v>178</v>
      </c>
      <c r="CD262" s="70">
        <v>4</v>
      </c>
      <c r="CE262" s="73">
        <v>0</v>
      </c>
    </row>
    <row r="263" spans="2:83" x14ac:dyDescent="0.3">
      <c r="B263" s="46">
        <v>50</v>
      </c>
      <c r="C263" s="47">
        <v>43446</v>
      </c>
      <c r="D263" s="48">
        <v>21</v>
      </c>
      <c r="E263" s="49">
        <v>3689</v>
      </c>
      <c r="F263" s="50">
        <v>232</v>
      </c>
      <c r="G263" s="51">
        <v>2.8383248730964468</v>
      </c>
      <c r="H263" s="52">
        <v>4.1541604754829127</v>
      </c>
      <c r="I263" s="53">
        <v>2692</v>
      </c>
      <c r="J263" s="54">
        <v>3940</v>
      </c>
      <c r="K263" s="54">
        <v>11183</v>
      </c>
      <c r="L263" s="55">
        <v>6500.5</v>
      </c>
      <c r="M263" s="56">
        <v>501.65</v>
      </c>
      <c r="N263" s="57">
        <v>1677.45</v>
      </c>
      <c r="O263" s="58">
        <v>708.74</v>
      </c>
      <c r="P263" s="59">
        <v>15.77870587239326</v>
      </c>
      <c r="Q263" s="60">
        <v>902.23</v>
      </c>
      <c r="R263" s="61">
        <v>12.394843886813783</v>
      </c>
      <c r="S263" s="48"/>
      <c r="T263" s="50"/>
      <c r="U263" s="62">
        <v>0</v>
      </c>
      <c r="V263" s="63">
        <v>75</v>
      </c>
      <c r="W263" s="50">
        <v>37</v>
      </c>
      <c r="X263" s="48">
        <v>62</v>
      </c>
      <c r="Y263" s="63">
        <v>114</v>
      </c>
      <c r="Z263" s="63">
        <v>575</v>
      </c>
      <c r="AA263" s="64">
        <v>750.6</v>
      </c>
      <c r="AB263" s="65">
        <v>50</v>
      </c>
      <c r="AC263" s="66"/>
      <c r="AD263" s="67"/>
      <c r="AE263" s="68"/>
      <c r="AF263" s="48">
        <v>316</v>
      </c>
      <c r="AG263" s="63">
        <v>564</v>
      </c>
      <c r="AH263" s="63">
        <v>124</v>
      </c>
      <c r="AI263" s="63">
        <v>160</v>
      </c>
      <c r="AJ263" s="63">
        <v>123</v>
      </c>
      <c r="AK263" s="63">
        <v>337</v>
      </c>
      <c r="AL263" s="63">
        <v>273</v>
      </c>
      <c r="AM263" s="63">
        <v>163</v>
      </c>
      <c r="AN263" s="63">
        <v>392</v>
      </c>
      <c r="AO263" s="63">
        <v>141</v>
      </c>
      <c r="AP263" s="63">
        <v>174</v>
      </c>
      <c r="AQ263" s="63">
        <v>796</v>
      </c>
      <c r="AR263" s="63">
        <v>27</v>
      </c>
      <c r="AS263" s="63">
        <v>14</v>
      </c>
      <c r="AT263" s="63">
        <v>40</v>
      </c>
      <c r="AU263" s="63">
        <v>46</v>
      </c>
      <c r="AV263" s="63">
        <v>153</v>
      </c>
      <c r="AW263" s="50">
        <v>33</v>
      </c>
      <c r="AX263" s="69">
        <v>6145</v>
      </c>
      <c r="AY263" s="69">
        <v>29352</v>
      </c>
      <c r="AZ263" s="54">
        <v>2035</v>
      </c>
      <c r="BA263" s="54">
        <v>5046</v>
      </c>
      <c r="BB263" s="54">
        <v>638</v>
      </c>
      <c r="BC263" s="54">
        <v>1376</v>
      </c>
      <c r="BD263" s="54">
        <v>1884</v>
      </c>
      <c r="BE263" s="70">
        <v>2473</v>
      </c>
      <c r="BF263" s="63">
        <v>841</v>
      </c>
      <c r="BG263" s="71">
        <v>5198</v>
      </c>
      <c r="BH263" s="67"/>
      <c r="BI263" s="68"/>
      <c r="BJ263" s="72">
        <v>1717</v>
      </c>
      <c r="BK263" s="62"/>
      <c r="BL263" s="70">
        <v>3812</v>
      </c>
      <c r="BM263" s="70">
        <v>236</v>
      </c>
      <c r="BN263" s="70">
        <v>110</v>
      </c>
      <c r="BO263" s="70">
        <v>1358</v>
      </c>
      <c r="BP263" s="73">
        <v>13</v>
      </c>
      <c r="BQ263" s="74">
        <v>1805</v>
      </c>
      <c r="BR263" s="54">
        <v>506</v>
      </c>
      <c r="BS263" s="75">
        <v>75</v>
      </c>
      <c r="BT263" s="76">
        <v>75.607931163486725</v>
      </c>
      <c r="BU263" s="77">
        <v>24.392068836513282</v>
      </c>
      <c r="BV263" s="78">
        <v>2021</v>
      </c>
      <c r="BW263" s="79">
        <v>652</v>
      </c>
      <c r="BX263" s="69">
        <v>1335</v>
      </c>
      <c r="BY263" s="70">
        <v>147</v>
      </c>
      <c r="BZ263" s="70">
        <v>365</v>
      </c>
      <c r="CA263" s="70">
        <v>539</v>
      </c>
      <c r="CB263" s="70">
        <v>16</v>
      </c>
      <c r="CC263" s="70">
        <v>267</v>
      </c>
      <c r="CD263" s="70">
        <v>4</v>
      </c>
      <c r="CE263" s="73">
        <v>0</v>
      </c>
    </row>
    <row r="264" spans="2:83" x14ac:dyDescent="0.3">
      <c r="B264" s="46">
        <v>50</v>
      </c>
      <c r="C264" s="47">
        <v>43447</v>
      </c>
      <c r="D264" s="48">
        <v>41</v>
      </c>
      <c r="E264" s="49">
        <v>3339</v>
      </c>
      <c r="F264" s="50">
        <v>229</v>
      </c>
      <c r="G264" s="51">
        <v>2.7379619260918253</v>
      </c>
      <c r="H264" s="52">
        <v>4.0699126092384521</v>
      </c>
      <c r="I264" s="53">
        <v>2403</v>
      </c>
      <c r="J264" s="54">
        <v>3572</v>
      </c>
      <c r="K264" s="54">
        <v>9780</v>
      </c>
      <c r="L264" s="55">
        <v>6124</v>
      </c>
      <c r="M264" s="56">
        <v>495.06299999999999</v>
      </c>
      <c r="N264" s="57">
        <v>1467</v>
      </c>
      <c r="O264" s="58">
        <v>738.28</v>
      </c>
      <c r="P264" s="59">
        <v>13.247006555778295</v>
      </c>
      <c r="Q264" s="60">
        <v>929.33999999999992</v>
      </c>
      <c r="R264" s="61">
        <v>10.523597391697335</v>
      </c>
      <c r="S264" s="48"/>
      <c r="T264" s="50"/>
      <c r="U264" s="62">
        <v>0</v>
      </c>
      <c r="V264" s="63">
        <v>114</v>
      </c>
      <c r="W264" s="50">
        <v>25</v>
      </c>
      <c r="X264" s="48">
        <v>73</v>
      </c>
      <c r="Y264" s="63">
        <v>136</v>
      </c>
      <c r="Z264" s="63">
        <v>397</v>
      </c>
      <c r="AA264" s="64">
        <v>279.8</v>
      </c>
      <c r="AB264" s="65">
        <v>39.058</v>
      </c>
      <c r="AC264" s="66"/>
      <c r="AD264" s="67"/>
      <c r="AE264" s="68"/>
      <c r="AF264" s="48">
        <v>201</v>
      </c>
      <c r="AG264" s="63">
        <v>430</v>
      </c>
      <c r="AH264" s="63">
        <v>81</v>
      </c>
      <c r="AI264" s="63">
        <v>163</v>
      </c>
      <c r="AJ264" s="63">
        <v>114</v>
      </c>
      <c r="AK264" s="63">
        <v>311</v>
      </c>
      <c r="AL264" s="63">
        <v>233</v>
      </c>
      <c r="AM264" s="63">
        <v>151</v>
      </c>
      <c r="AN264" s="63">
        <v>422</v>
      </c>
      <c r="AO264" s="63">
        <v>159</v>
      </c>
      <c r="AP264" s="63">
        <v>186</v>
      </c>
      <c r="AQ264" s="63">
        <v>734</v>
      </c>
      <c r="AR264" s="63">
        <v>22</v>
      </c>
      <c r="AS264" s="63">
        <v>20</v>
      </c>
      <c r="AT264" s="63">
        <v>51</v>
      </c>
      <c r="AU264" s="63">
        <v>61</v>
      </c>
      <c r="AV264" s="63">
        <v>148</v>
      </c>
      <c r="AW264" s="50">
        <v>19</v>
      </c>
      <c r="AX264" s="69">
        <v>5053</v>
      </c>
      <c r="AY264" s="69">
        <v>26638</v>
      </c>
      <c r="AZ264" s="54">
        <v>2743</v>
      </c>
      <c r="BA264" s="54">
        <v>12873</v>
      </c>
      <c r="BB264" s="54">
        <v>349</v>
      </c>
      <c r="BC264" s="54">
        <v>1036</v>
      </c>
      <c r="BD264" s="54">
        <v>1418</v>
      </c>
      <c r="BE264" s="70">
        <v>3139</v>
      </c>
      <c r="BF264" s="63">
        <v>574</v>
      </c>
      <c r="BG264" s="71">
        <v>5131</v>
      </c>
      <c r="BH264" s="67"/>
      <c r="BI264" s="68"/>
      <c r="BJ264" s="72">
        <v>1832</v>
      </c>
      <c r="BK264" s="62"/>
      <c r="BL264" s="70">
        <v>3521</v>
      </c>
      <c r="BM264" s="70">
        <v>356</v>
      </c>
      <c r="BN264" s="70">
        <v>115</v>
      </c>
      <c r="BO264" s="70">
        <v>1325</v>
      </c>
      <c r="BP264" s="73">
        <v>36</v>
      </c>
      <c r="BQ264" s="74">
        <v>1449</v>
      </c>
      <c r="BR264" s="54">
        <v>325</v>
      </c>
      <c r="BS264" s="75">
        <v>101</v>
      </c>
      <c r="BT264" s="76">
        <v>71.075763917957303</v>
      </c>
      <c r="BU264" s="77">
        <v>28.924236082042697</v>
      </c>
      <c r="BV264" s="78">
        <v>1698</v>
      </c>
      <c r="BW264" s="79">
        <v>691</v>
      </c>
      <c r="BX264" s="69">
        <v>912</v>
      </c>
      <c r="BY264" s="70">
        <v>153</v>
      </c>
      <c r="BZ264" s="70">
        <v>239</v>
      </c>
      <c r="CA264" s="70">
        <v>633</v>
      </c>
      <c r="CB264" s="70">
        <v>51</v>
      </c>
      <c r="CC264" s="70">
        <v>399</v>
      </c>
      <c r="CD264" s="70">
        <v>2</v>
      </c>
      <c r="CE264" s="73">
        <v>0</v>
      </c>
    </row>
    <row r="265" spans="2:83" x14ac:dyDescent="0.3">
      <c r="B265" s="46">
        <v>50</v>
      </c>
      <c r="C265" s="47">
        <v>43448</v>
      </c>
      <c r="D265" s="48">
        <v>0</v>
      </c>
      <c r="E265" s="49">
        <v>3847</v>
      </c>
      <c r="F265" s="50">
        <v>290</v>
      </c>
      <c r="G265" s="51">
        <v>3.3010805500982316</v>
      </c>
      <c r="H265" s="52">
        <v>4.2551440329218106</v>
      </c>
      <c r="I265" s="53">
        <v>3159</v>
      </c>
      <c r="J265" s="54">
        <v>4072</v>
      </c>
      <c r="K265" s="54">
        <v>13442</v>
      </c>
      <c r="L265" s="55">
        <v>5778.2</v>
      </c>
      <c r="M265" s="56">
        <v>517.322</v>
      </c>
      <c r="N265" s="57">
        <v>2016.3</v>
      </c>
      <c r="O265" s="58">
        <v>773.61</v>
      </c>
      <c r="P265" s="59">
        <v>17.375680252323523</v>
      </c>
      <c r="Q265" s="60">
        <v>959.15</v>
      </c>
      <c r="R265" s="61">
        <v>14.014491998123338</v>
      </c>
      <c r="S265" s="48"/>
      <c r="T265" s="50"/>
      <c r="U265" s="62">
        <v>0</v>
      </c>
      <c r="V265" s="63">
        <v>127</v>
      </c>
      <c r="W265" s="50">
        <v>73</v>
      </c>
      <c r="X265" s="48">
        <v>56</v>
      </c>
      <c r="Y265" s="63">
        <v>188</v>
      </c>
      <c r="Z265" s="63">
        <v>564</v>
      </c>
      <c r="AA265" s="64">
        <v>1056</v>
      </c>
      <c r="AB265" s="65">
        <v>72.948999999999998</v>
      </c>
      <c r="AC265" s="66"/>
      <c r="AD265" s="67"/>
      <c r="AE265" s="68"/>
      <c r="AF265" s="48">
        <v>456</v>
      </c>
      <c r="AG265" s="63">
        <v>639</v>
      </c>
      <c r="AH265" s="63">
        <v>159</v>
      </c>
      <c r="AI265" s="63">
        <v>196</v>
      </c>
      <c r="AJ265" s="63">
        <v>170</v>
      </c>
      <c r="AK265" s="63">
        <v>482</v>
      </c>
      <c r="AL265" s="63">
        <v>334</v>
      </c>
      <c r="AM265" s="63">
        <v>196</v>
      </c>
      <c r="AN265" s="63">
        <v>443</v>
      </c>
      <c r="AO265" s="63">
        <v>132</v>
      </c>
      <c r="AP265" s="63">
        <v>185</v>
      </c>
      <c r="AQ265" s="63">
        <v>366</v>
      </c>
      <c r="AR265" s="63">
        <v>14</v>
      </c>
      <c r="AS265" s="63">
        <v>7</v>
      </c>
      <c r="AT265" s="63">
        <v>29</v>
      </c>
      <c r="AU265" s="63">
        <v>52</v>
      </c>
      <c r="AV265" s="63">
        <v>233</v>
      </c>
      <c r="AW265" s="50">
        <v>4</v>
      </c>
      <c r="AX265" s="69">
        <v>4787</v>
      </c>
      <c r="AY265" s="69">
        <v>20691</v>
      </c>
      <c r="AZ265" s="54">
        <v>3300</v>
      </c>
      <c r="BA265" s="54">
        <v>8992</v>
      </c>
      <c r="BB265" s="54">
        <v>728</v>
      </c>
      <c r="BC265" s="54">
        <v>1295</v>
      </c>
      <c r="BD265" s="54">
        <v>1928</v>
      </c>
      <c r="BE265" s="70">
        <v>3748</v>
      </c>
      <c r="BF265" s="63">
        <v>1035</v>
      </c>
      <c r="BG265" s="71">
        <v>6711</v>
      </c>
      <c r="BH265" s="67"/>
      <c r="BI265" s="68"/>
      <c r="BJ265" s="72">
        <v>1519</v>
      </c>
      <c r="BK265" s="62"/>
      <c r="BL265" s="70">
        <v>3780</v>
      </c>
      <c r="BM265" s="70">
        <v>166</v>
      </c>
      <c r="BN265" s="70">
        <v>109</v>
      </c>
      <c r="BO265" s="70">
        <v>1223</v>
      </c>
      <c r="BP265" s="73">
        <v>21</v>
      </c>
      <c r="BQ265" s="74">
        <v>2408</v>
      </c>
      <c r="BR265" s="54">
        <v>523</v>
      </c>
      <c r="BS265" s="75">
        <v>59</v>
      </c>
      <c r="BT265" s="76">
        <v>85.741444866920148</v>
      </c>
      <c r="BU265" s="77">
        <v>14.258555133079849</v>
      </c>
      <c r="BV265" s="78">
        <v>2706</v>
      </c>
      <c r="BW265" s="79">
        <v>450</v>
      </c>
      <c r="BX265" s="69">
        <v>1796</v>
      </c>
      <c r="BY265" s="70">
        <v>201</v>
      </c>
      <c r="BZ265" s="70">
        <v>282</v>
      </c>
      <c r="CA265" s="70">
        <v>709</v>
      </c>
      <c r="CB265" s="70">
        <v>24</v>
      </c>
      <c r="CC265" s="70">
        <v>137</v>
      </c>
      <c r="CD265" s="70">
        <v>7</v>
      </c>
      <c r="CE265" s="73">
        <v>0</v>
      </c>
    </row>
    <row r="266" spans="2:83" x14ac:dyDescent="0.3">
      <c r="B266" s="46">
        <v>50</v>
      </c>
      <c r="C266" s="47">
        <v>43449</v>
      </c>
      <c r="D266" s="48">
        <v>0</v>
      </c>
      <c r="E266" s="49">
        <v>3819</v>
      </c>
      <c r="F266" s="50">
        <v>220</v>
      </c>
      <c r="G266" s="51">
        <v>3.3221974758723087</v>
      </c>
      <c r="H266" s="52">
        <v>4.4175715695952613</v>
      </c>
      <c r="I266" s="53">
        <v>3039</v>
      </c>
      <c r="J266" s="54">
        <v>4041</v>
      </c>
      <c r="K266" s="54">
        <v>13425</v>
      </c>
      <c r="L266" s="55">
        <v>5511.5</v>
      </c>
      <c r="M266" s="56">
        <v>565</v>
      </c>
      <c r="N266" s="57">
        <v>2013.75</v>
      </c>
      <c r="O266" s="58">
        <v>737.92000000000007</v>
      </c>
      <c r="P266" s="59">
        <v>18.193029054640068</v>
      </c>
      <c r="Q266" s="60">
        <v>904.78</v>
      </c>
      <c r="R266" s="61">
        <v>14.837861137514093</v>
      </c>
      <c r="S266" s="48"/>
      <c r="T266" s="50"/>
      <c r="U266" s="62">
        <v>0</v>
      </c>
      <c r="V266" s="63">
        <v>87</v>
      </c>
      <c r="W266" s="50">
        <v>40</v>
      </c>
      <c r="X266" s="48">
        <v>59</v>
      </c>
      <c r="Y266" s="63">
        <v>157</v>
      </c>
      <c r="Z266" s="63">
        <v>1016</v>
      </c>
      <c r="AA266" s="64">
        <v>1037.8</v>
      </c>
      <c r="AB266" s="65">
        <v>126.8</v>
      </c>
      <c r="AC266" s="66"/>
      <c r="AD266" s="67"/>
      <c r="AE266" s="68"/>
      <c r="AF266" s="48">
        <v>272</v>
      </c>
      <c r="AG266" s="63">
        <v>428</v>
      </c>
      <c r="AH266" s="63">
        <v>106</v>
      </c>
      <c r="AI266" s="63">
        <v>161</v>
      </c>
      <c r="AJ266" s="63">
        <v>128</v>
      </c>
      <c r="AK266" s="63">
        <v>434</v>
      </c>
      <c r="AL266" s="63">
        <v>435</v>
      </c>
      <c r="AM266" s="63">
        <v>306</v>
      </c>
      <c r="AN266" s="63">
        <v>767</v>
      </c>
      <c r="AO266" s="63">
        <v>165</v>
      </c>
      <c r="AP266" s="63">
        <v>174</v>
      </c>
      <c r="AQ266" s="63">
        <v>335</v>
      </c>
      <c r="AR266" s="63">
        <v>20</v>
      </c>
      <c r="AS266" s="63">
        <v>12</v>
      </c>
      <c r="AT266" s="63">
        <v>60</v>
      </c>
      <c r="AU266" s="63">
        <v>103</v>
      </c>
      <c r="AV266" s="63">
        <v>108</v>
      </c>
      <c r="AW266" s="50">
        <v>9</v>
      </c>
      <c r="AX266" s="69">
        <v>5272</v>
      </c>
      <c r="AY266" s="160">
        <v>27326</v>
      </c>
      <c r="AZ266" s="54">
        <v>2471</v>
      </c>
      <c r="BA266" s="54">
        <v>11582</v>
      </c>
      <c r="BB266" s="54">
        <v>967</v>
      </c>
      <c r="BC266" s="54">
        <v>1479</v>
      </c>
      <c r="BD266" s="54">
        <v>1706</v>
      </c>
      <c r="BE266" s="70">
        <v>4044</v>
      </c>
      <c r="BF266" s="63">
        <v>1147</v>
      </c>
      <c r="BG266" s="71">
        <v>6897</v>
      </c>
      <c r="BH266" s="67"/>
      <c r="BI266" s="68"/>
      <c r="BJ266" s="72">
        <v>351</v>
      </c>
      <c r="BK266" s="62"/>
      <c r="BL266" s="70">
        <v>2941</v>
      </c>
      <c r="BM266" s="70">
        <v>10</v>
      </c>
      <c r="BN266" s="70">
        <v>32</v>
      </c>
      <c r="BO266" s="70">
        <v>301</v>
      </c>
      <c r="BP266" s="73">
        <v>8</v>
      </c>
      <c r="BQ266" s="74">
        <v>1756</v>
      </c>
      <c r="BR266" s="54">
        <v>969</v>
      </c>
      <c r="BS266" s="75">
        <v>128</v>
      </c>
      <c r="BT266" s="76">
        <v>82.488479262672811</v>
      </c>
      <c r="BU266" s="77">
        <v>17.511520737327189</v>
      </c>
      <c r="BV266" s="78">
        <v>2506</v>
      </c>
      <c r="BW266" s="79">
        <v>532</v>
      </c>
      <c r="BX266" s="69">
        <v>1363</v>
      </c>
      <c r="BY266" s="70">
        <v>600</v>
      </c>
      <c r="BZ266" s="70">
        <v>341</v>
      </c>
      <c r="CA266" s="70">
        <v>543</v>
      </c>
      <c r="CB266" s="70">
        <v>4</v>
      </c>
      <c r="CC266" s="70">
        <v>176</v>
      </c>
      <c r="CD266" s="70">
        <v>10</v>
      </c>
      <c r="CE266" s="73">
        <v>1</v>
      </c>
    </row>
    <row r="267" spans="2:83" x14ac:dyDescent="0.3">
      <c r="B267" s="46">
        <v>51</v>
      </c>
      <c r="C267" s="47">
        <v>43451</v>
      </c>
      <c r="D267" s="48">
        <v>15</v>
      </c>
      <c r="E267" s="49">
        <v>4802</v>
      </c>
      <c r="F267" s="50">
        <v>226</v>
      </c>
      <c r="G267" s="51">
        <v>2.287781350482315</v>
      </c>
      <c r="H267" s="52">
        <v>2.6158088235294117</v>
      </c>
      <c r="I267" s="53">
        <v>4352</v>
      </c>
      <c r="J267" s="54">
        <v>4976</v>
      </c>
      <c r="K267" s="54">
        <v>11384</v>
      </c>
      <c r="L267" s="55">
        <v>5590.9</v>
      </c>
      <c r="M267" s="56">
        <v>456.46499999999997</v>
      </c>
      <c r="N267" s="57">
        <v>1707.6000000000001</v>
      </c>
      <c r="O267" s="58">
        <v>766.89</v>
      </c>
      <c r="P267" s="59">
        <v>14.84437142223787</v>
      </c>
      <c r="Q267" s="60">
        <v>946.25000000000011</v>
      </c>
      <c r="R267" s="61">
        <v>12.030647291941875</v>
      </c>
      <c r="S267" s="48"/>
      <c r="T267" s="50"/>
      <c r="U267" s="62">
        <v>0</v>
      </c>
      <c r="V267" s="63">
        <v>43</v>
      </c>
      <c r="W267" s="50">
        <v>36</v>
      </c>
      <c r="X267" s="48">
        <v>24</v>
      </c>
      <c r="Y267" s="63">
        <v>69</v>
      </c>
      <c r="Z267" s="63">
        <v>117</v>
      </c>
      <c r="AA267" s="64">
        <v>187.9</v>
      </c>
      <c r="AB267" s="65">
        <v>42.582999999999998</v>
      </c>
      <c r="AC267" s="66"/>
      <c r="AD267" s="67"/>
      <c r="AE267" s="68"/>
      <c r="AF267" s="48">
        <v>448</v>
      </c>
      <c r="AG267" s="63">
        <v>917</v>
      </c>
      <c r="AH267" s="63">
        <v>158</v>
      </c>
      <c r="AI267" s="63">
        <v>304</v>
      </c>
      <c r="AJ267" s="63">
        <v>218</v>
      </c>
      <c r="AK267" s="63">
        <v>704</v>
      </c>
      <c r="AL267" s="63">
        <v>478</v>
      </c>
      <c r="AM267" s="63">
        <v>249</v>
      </c>
      <c r="AN267" s="63">
        <v>649</v>
      </c>
      <c r="AO267" s="63">
        <v>118</v>
      </c>
      <c r="AP267" s="63">
        <v>152</v>
      </c>
      <c r="AQ267" s="63">
        <v>215</v>
      </c>
      <c r="AR267" s="63">
        <v>49</v>
      </c>
      <c r="AS267" s="63">
        <v>15</v>
      </c>
      <c r="AT267" s="63">
        <v>73</v>
      </c>
      <c r="AU267" s="63">
        <v>43</v>
      </c>
      <c r="AV267" s="63">
        <v>145</v>
      </c>
      <c r="AW267" s="50">
        <v>37</v>
      </c>
      <c r="AX267" s="69">
        <v>5480</v>
      </c>
      <c r="AY267" s="69">
        <v>22688</v>
      </c>
      <c r="AZ267" s="54">
        <v>2371</v>
      </c>
      <c r="BA267" s="54">
        <v>9680</v>
      </c>
      <c r="BB267" s="54">
        <v>1035</v>
      </c>
      <c r="BC267" s="54">
        <v>1656</v>
      </c>
      <c r="BD267" s="54">
        <v>2346</v>
      </c>
      <c r="BE267" s="70">
        <v>3379</v>
      </c>
      <c r="BF267" s="63">
        <v>1125</v>
      </c>
      <c r="BG267" s="71">
        <v>6850</v>
      </c>
      <c r="BH267" s="67"/>
      <c r="BI267" s="68"/>
      <c r="BJ267" s="72">
        <v>942</v>
      </c>
      <c r="BK267" s="62"/>
      <c r="BL267" s="70">
        <v>3238</v>
      </c>
      <c r="BM267" s="70">
        <v>54</v>
      </c>
      <c r="BN267" s="70">
        <v>90</v>
      </c>
      <c r="BO267" s="70">
        <v>776</v>
      </c>
      <c r="BP267" s="73">
        <v>22</v>
      </c>
      <c r="BQ267" s="74">
        <v>3379</v>
      </c>
      <c r="BR267" s="54">
        <v>469</v>
      </c>
      <c r="BS267" s="75">
        <v>206</v>
      </c>
      <c r="BT267" s="76">
        <v>88.508388876120435</v>
      </c>
      <c r="BU267" s="77">
        <v>11.491611123879569</v>
      </c>
      <c r="BV267" s="78">
        <v>3851</v>
      </c>
      <c r="BW267" s="79">
        <v>500</v>
      </c>
      <c r="BX267" s="69">
        <v>2304</v>
      </c>
      <c r="BY267" s="70">
        <v>267</v>
      </c>
      <c r="BZ267" s="70">
        <v>220</v>
      </c>
      <c r="CA267" s="70">
        <v>1280</v>
      </c>
      <c r="CB267" s="70">
        <v>9</v>
      </c>
      <c r="CC267" s="70">
        <v>261</v>
      </c>
      <c r="CD267" s="70">
        <v>6</v>
      </c>
      <c r="CE267" s="73">
        <v>4</v>
      </c>
    </row>
    <row r="268" spans="2:83" x14ac:dyDescent="0.3">
      <c r="B268" s="46">
        <v>51</v>
      </c>
      <c r="C268" s="47">
        <v>43452</v>
      </c>
      <c r="D268" s="48">
        <v>23</v>
      </c>
      <c r="E268" s="49">
        <v>3235</v>
      </c>
      <c r="F268" s="50">
        <v>297</v>
      </c>
      <c r="G268" s="51">
        <v>3.3023057216054652</v>
      </c>
      <c r="H268" s="52">
        <v>4.2108892921960068</v>
      </c>
      <c r="I268" s="53">
        <v>2755</v>
      </c>
      <c r="J268" s="54">
        <v>3513</v>
      </c>
      <c r="K268" s="54">
        <v>11601</v>
      </c>
      <c r="L268" s="55">
        <v>6409.5</v>
      </c>
      <c r="M268" s="56">
        <v>531.899</v>
      </c>
      <c r="N268" s="57">
        <v>1740.15</v>
      </c>
      <c r="O268" s="58">
        <v>744.40000000000009</v>
      </c>
      <c r="P268" s="59">
        <v>15.584363245566898</v>
      </c>
      <c r="Q268" s="60">
        <v>916.02</v>
      </c>
      <c r="R268" s="61">
        <v>12.66457064256239</v>
      </c>
      <c r="S268" s="48"/>
      <c r="T268" s="50"/>
      <c r="U268" s="62">
        <v>0</v>
      </c>
      <c r="V268" s="63">
        <v>109</v>
      </c>
      <c r="W268" s="50">
        <v>60</v>
      </c>
      <c r="X268" s="48">
        <v>62</v>
      </c>
      <c r="Y268" s="63">
        <v>150</v>
      </c>
      <c r="Z268" s="63">
        <v>387</v>
      </c>
      <c r="AA268" s="64">
        <v>598.70000000000005</v>
      </c>
      <c r="AB268" s="65">
        <v>59.32</v>
      </c>
      <c r="AC268" s="66"/>
      <c r="AD268" s="67"/>
      <c r="AE268" s="68"/>
      <c r="AF268" s="48">
        <v>60</v>
      </c>
      <c r="AG268" s="63">
        <v>105</v>
      </c>
      <c r="AH268" s="63">
        <v>18</v>
      </c>
      <c r="AI268" s="63">
        <v>41</v>
      </c>
      <c r="AJ268" s="63">
        <v>20</v>
      </c>
      <c r="AK268" s="63">
        <v>96</v>
      </c>
      <c r="AL268" s="63">
        <v>49</v>
      </c>
      <c r="AM268" s="63">
        <v>29</v>
      </c>
      <c r="AN268" s="63">
        <v>76</v>
      </c>
      <c r="AO268" s="63">
        <v>10</v>
      </c>
      <c r="AP268" s="63">
        <v>29</v>
      </c>
      <c r="AQ268" s="63">
        <v>35</v>
      </c>
      <c r="AR268" s="63">
        <v>10</v>
      </c>
      <c r="AS268" s="63">
        <v>0</v>
      </c>
      <c r="AT268" s="63">
        <v>8</v>
      </c>
      <c r="AU268" s="63">
        <v>10</v>
      </c>
      <c r="AV268" s="63">
        <v>24</v>
      </c>
      <c r="AW268" s="50">
        <v>16</v>
      </c>
      <c r="AX268" s="69">
        <v>6407</v>
      </c>
      <c r="AY268" s="69">
        <v>36379</v>
      </c>
      <c r="AZ268" s="54">
        <v>3225</v>
      </c>
      <c r="BA268" s="54">
        <v>15094</v>
      </c>
      <c r="BB268" s="54">
        <v>456</v>
      </c>
      <c r="BC268" s="54">
        <v>1544</v>
      </c>
      <c r="BD268" s="54">
        <v>1819</v>
      </c>
      <c r="BE268" s="70">
        <v>3793</v>
      </c>
      <c r="BF268" s="63">
        <v>783</v>
      </c>
      <c r="BG268" s="71">
        <v>6395</v>
      </c>
      <c r="BH268" s="67"/>
      <c r="BI268" s="68"/>
      <c r="BJ268" s="72">
        <v>1259</v>
      </c>
      <c r="BK268" s="62"/>
      <c r="BL268" s="70">
        <v>3466</v>
      </c>
      <c r="BM268" s="70">
        <v>153</v>
      </c>
      <c r="BN268" s="70">
        <v>71</v>
      </c>
      <c r="BO268" s="70">
        <v>1009</v>
      </c>
      <c r="BP268" s="73">
        <v>26</v>
      </c>
      <c r="BQ268" s="74">
        <v>208</v>
      </c>
      <c r="BR268" s="54">
        <v>477</v>
      </c>
      <c r="BS268" s="75">
        <v>80</v>
      </c>
      <c r="BT268" s="76">
        <v>87.472766884531595</v>
      </c>
      <c r="BU268" s="77">
        <v>12.527233115468409</v>
      </c>
      <c r="BV268" s="78">
        <v>2409</v>
      </c>
      <c r="BW268" s="79">
        <v>345</v>
      </c>
      <c r="BX268" s="69">
        <v>1360</v>
      </c>
      <c r="BY268" s="70">
        <v>288</v>
      </c>
      <c r="BZ268" s="70">
        <v>180</v>
      </c>
      <c r="CA268" s="70">
        <v>761</v>
      </c>
      <c r="CB268" s="70">
        <v>18</v>
      </c>
      <c r="CC268" s="70">
        <v>143</v>
      </c>
      <c r="CD268" s="70">
        <v>4</v>
      </c>
      <c r="CE268" s="73">
        <v>0</v>
      </c>
    </row>
    <row r="269" spans="2:83" x14ac:dyDescent="0.3">
      <c r="B269" s="46">
        <v>51</v>
      </c>
      <c r="C269" s="47">
        <v>43453</v>
      </c>
      <c r="D269" s="48">
        <v>13</v>
      </c>
      <c r="E269" s="49">
        <v>2802</v>
      </c>
      <c r="F269" s="50">
        <v>236</v>
      </c>
      <c r="G269" s="51">
        <v>4.9649855444908448</v>
      </c>
      <c r="H269" s="52">
        <v>7.2224299065420556</v>
      </c>
      <c r="I269" s="53">
        <v>2140</v>
      </c>
      <c r="J269" s="54">
        <v>3113</v>
      </c>
      <c r="K269" s="54">
        <v>15456</v>
      </c>
      <c r="L269" s="55">
        <v>10692.5</v>
      </c>
      <c r="M269" s="56">
        <v>601.85</v>
      </c>
      <c r="N269" s="57">
        <v>2318.4</v>
      </c>
      <c r="O269" s="58">
        <v>754.39</v>
      </c>
      <c r="P269" s="59">
        <v>20.488076459125917</v>
      </c>
      <c r="Q269" s="60">
        <v>921.4</v>
      </c>
      <c r="R269" s="61">
        <v>16.774473627089211</v>
      </c>
      <c r="S269" s="48"/>
      <c r="T269" s="50"/>
      <c r="U269" s="62">
        <v>0</v>
      </c>
      <c r="V269" s="63">
        <v>56</v>
      </c>
      <c r="W269" s="50">
        <v>19</v>
      </c>
      <c r="X269" s="48">
        <v>36</v>
      </c>
      <c r="Y269" s="63">
        <v>104</v>
      </c>
      <c r="Z269" s="63">
        <v>343</v>
      </c>
      <c r="AA269" s="64">
        <v>1118.0999999999999</v>
      </c>
      <c r="AB269" s="65">
        <v>69.816999999999993</v>
      </c>
      <c r="AC269" s="66"/>
      <c r="AD269" s="67"/>
      <c r="AE269" s="68"/>
      <c r="AF269" s="48">
        <v>197</v>
      </c>
      <c r="AG269" s="63">
        <v>373</v>
      </c>
      <c r="AH269" s="63">
        <v>55</v>
      </c>
      <c r="AI269" s="63">
        <v>135</v>
      </c>
      <c r="AJ269" s="63">
        <v>98</v>
      </c>
      <c r="AK269" s="63">
        <v>291</v>
      </c>
      <c r="AL269" s="63">
        <v>224</v>
      </c>
      <c r="AM269" s="63">
        <v>178</v>
      </c>
      <c r="AN269" s="63">
        <v>649</v>
      </c>
      <c r="AO269" s="63">
        <v>103</v>
      </c>
      <c r="AP269" s="63">
        <v>223</v>
      </c>
      <c r="AQ269" s="63">
        <v>179</v>
      </c>
      <c r="AR269" s="63">
        <v>25</v>
      </c>
      <c r="AS269" s="63">
        <v>7</v>
      </c>
      <c r="AT269" s="63">
        <v>35</v>
      </c>
      <c r="AU269" s="63">
        <v>77</v>
      </c>
      <c r="AV269" s="63">
        <v>117</v>
      </c>
      <c r="AW269" s="50">
        <v>42</v>
      </c>
      <c r="AX269" s="69">
        <v>5625</v>
      </c>
      <c r="AY269" s="69">
        <v>36368</v>
      </c>
      <c r="AZ269" s="54">
        <v>2394</v>
      </c>
      <c r="BA269" s="54">
        <v>7737</v>
      </c>
      <c r="BB269" s="54">
        <v>580</v>
      </c>
      <c r="BC269" s="54">
        <v>1167</v>
      </c>
      <c r="BD269" s="54">
        <v>1569</v>
      </c>
      <c r="BE269" s="70">
        <v>3939</v>
      </c>
      <c r="BF269" s="63">
        <v>616</v>
      </c>
      <c r="BG269" s="71">
        <v>6124</v>
      </c>
      <c r="BH269" s="67"/>
      <c r="BI269" s="68"/>
      <c r="BJ269" s="72">
        <v>1509</v>
      </c>
      <c r="BK269" s="62"/>
      <c r="BL269" s="70">
        <v>2751</v>
      </c>
      <c r="BM269" s="70">
        <v>257</v>
      </c>
      <c r="BN269" s="70">
        <v>59</v>
      </c>
      <c r="BO269" s="70">
        <v>1176</v>
      </c>
      <c r="BP269" s="73">
        <v>17</v>
      </c>
      <c r="BQ269" s="74">
        <v>1317</v>
      </c>
      <c r="BR269" s="54">
        <v>439</v>
      </c>
      <c r="BS269" s="75">
        <v>187</v>
      </c>
      <c r="BT269" s="76">
        <v>79.694218824653603</v>
      </c>
      <c r="BU269" s="77">
        <v>20.305781175346393</v>
      </c>
      <c r="BV269" s="78">
        <v>1668</v>
      </c>
      <c r="BW269" s="79">
        <v>425</v>
      </c>
      <c r="BX269" s="69">
        <v>898</v>
      </c>
      <c r="BY269" s="70">
        <v>222</v>
      </c>
      <c r="BZ269" s="70">
        <v>281</v>
      </c>
      <c r="CA269" s="70">
        <v>548</v>
      </c>
      <c r="CB269" s="70">
        <v>9</v>
      </c>
      <c r="CC269" s="70">
        <v>133</v>
      </c>
      <c r="CD269" s="70">
        <v>2</v>
      </c>
      <c r="CE269" s="73">
        <v>0</v>
      </c>
    </row>
    <row r="270" spans="2:83" x14ac:dyDescent="0.3">
      <c r="B270" s="46">
        <v>51</v>
      </c>
      <c r="C270" s="47">
        <v>43454</v>
      </c>
      <c r="D270" s="48">
        <v>37</v>
      </c>
      <c r="E270" s="49">
        <v>1713</v>
      </c>
      <c r="F270" s="50">
        <v>180</v>
      </c>
      <c r="G270" s="51">
        <v>1.7860441251924064</v>
      </c>
      <c r="H270" s="52">
        <v>2.1797119599248593</v>
      </c>
      <c r="I270" s="53">
        <v>1597</v>
      </c>
      <c r="J270" s="54">
        <v>1949</v>
      </c>
      <c r="K270" s="54">
        <v>3481</v>
      </c>
      <c r="L270" s="55">
        <v>4438</v>
      </c>
      <c r="M270" s="56">
        <v>355.17</v>
      </c>
      <c r="N270" s="57">
        <v>522.15</v>
      </c>
      <c r="O270" s="58">
        <v>540.51</v>
      </c>
      <c r="P270" s="59">
        <v>6.4402138720837732</v>
      </c>
      <c r="Q270" s="60">
        <v>690.43000000000006</v>
      </c>
      <c r="R270" s="61">
        <v>5.0417855539301586</v>
      </c>
      <c r="S270" s="48"/>
      <c r="T270" s="50"/>
      <c r="U270" s="62">
        <v>0</v>
      </c>
      <c r="V270" s="63">
        <v>34</v>
      </c>
      <c r="W270" s="50">
        <v>100</v>
      </c>
      <c r="X270" s="48">
        <v>34</v>
      </c>
      <c r="Y270" s="63">
        <v>128</v>
      </c>
      <c r="Z270" s="63">
        <v>67</v>
      </c>
      <c r="AA270" s="64">
        <v>1610.9</v>
      </c>
      <c r="AB270" s="65">
        <v>130.161</v>
      </c>
      <c r="AC270" s="66"/>
      <c r="AD270" s="67"/>
      <c r="AE270" s="68"/>
      <c r="AF270" s="48">
        <v>216</v>
      </c>
      <c r="AG270" s="63">
        <v>351</v>
      </c>
      <c r="AH270" s="63">
        <v>62</v>
      </c>
      <c r="AI270" s="63">
        <v>105</v>
      </c>
      <c r="AJ270" s="63">
        <v>77</v>
      </c>
      <c r="AK270" s="63">
        <v>223</v>
      </c>
      <c r="AL270" s="63">
        <v>132</v>
      </c>
      <c r="AM270" s="63">
        <v>83</v>
      </c>
      <c r="AN270" s="63">
        <v>228</v>
      </c>
      <c r="AO270" s="63">
        <v>49</v>
      </c>
      <c r="AP270" s="63">
        <v>39</v>
      </c>
      <c r="AQ270" s="63">
        <v>77</v>
      </c>
      <c r="AR270" s="63">
        <v>20</v>
      </c>
      <c r="AS270" s="63">
        <v>7</v>
      </c>
      <c r="AT270" s="63">
        <v>17</v>
      </c>
      <c r="AU270" s="63">
        <v>30</v>
      </c>
      <c r="AV270" s="63">
        <v>149</v>
      </c>
      <c r="AW270" s="50">
        <v>1</v>
      </c>
      <c r="AX270" s="69">
        <v>2297</v>
      </c>
      <c r="AY270" s="69">
        <v>10898</v>
      </c>
      <c r="AZ270" s="54">
        <v>102</v>
      </c>
      <c r="BA270" s="54">
        <v>313</v>
      </c>
      <c r="BB270" s="54">
        <v>54</v>
      </c>
      <c r="BC270" s="54">
        <v>96</v>
      </c>
      <c r="BD270" s="54">
        <v>1061</v>
      </c>
      <c r="BE270" s="70">
        <v>185</v>
      </c>
      <c r="BF270" s="63">
        <v>56</v>
      </c>
      <c r="BG270" s="71">
        <v>1302</v>
      </c>
      <c r="BH270" s="67"/>
      <c r="BI270" s="68"/>
      <c r="BJ270" s="72">
        <v>892</v>
      </c>
      <c r="BK270" s="62"/>
      <c r="BL270" s="70">
        <v>975</v>
      </c>
      <c r="BM270" s="70">
        <v>89</v>
      </c>
      <c r="BN270" s="70">
        <v>82</v>
      </c>
      <c r="BO270" s="70">
        <v>708</v>
      </c>
      <c r="BP270" s="73">
        <v>13</v>
      </c>
      <c r="BQ270" s="74">
        <v>1154</v>
      </c>
      <c r="BR270" s="54">
        <v>210</v>
      </c>
      <c r="BS270" s="75">
        <v>31</v>
      </c>
      <c r="BT270" s="76">
        <v>86.574654956085325</v>
      </c>
      <c r="BU270" s="77">
        <v>13.42534504391468</v>
      </c>
      <c r="BV270" s="78">
        <v>1380</v>
      </c>
      <c r="BW270" s="79">
        <v>214</v>
      </c>
      <c r="BX270" s="69">
        <v>801</v>
      </c>
      <c r="BY270" s="70">
        <v>156</v>
      </c>
      <c r="BZ270" s="70">
        <v>39</v>
      </c>
      <c r="CA270" s="70">
        <v>423</v>
      </c>
      <c r="CB270" s="70">
        <v>9</v>
      </c>
      <c r="CC270" s="70">
        <v>156</v>
      </c>
      <c r="CD270" s="70">
        <v>10</v>
      </c>
      <c r="CE270" s="73">
        <v>0</v>
      </c>
    </row>
    <row r="271" spans="2:83" x14ac:dyDescent="0.3">
      <c r="B271" s="46">
        <v>51</v>
      </c>
      <c r="C271" s="47">
        <v>43455</v>
      </c>
      <c r="D271" s="48">
        <v>18</v>
      </c>
      <c r="E271" s="49">
        <v>576</v>
      </c>
      <c r="F271" s="50">
        <v>68</v>
      </c>
      <c r="G271" s="51">
        <v>2.1669242658423493</v>
      </c>
      <c r="H271" s="52">
        <v>2.6353383458646618</v>
      </c>
      <c r="I271" s="53">
        <v>532</v>
      </c>
      <c r="J271" s="54">
        <v>647</v>
      </c>
      <c r="K271" s="54">
        <v>1402</v>
      </c>
      <c r="L271" s="55">
        <v>1492.2</v>
      </c>
      <c r="M271" s="56">
        <v>108.797</v>
      </c>
      <c r="N271" s="57">
        <v>210.29999999999998</v>
      </c>
      <c r="O271" s="58">
        <v>342.73</v>
      </c>
      <c r="P271" s="59">
        <v>4.0906836285122399</v>
      </c>
      <c r="Q271" s="60">
        <v>462.70999999999992</v>
      </c>
      <c r="R271" s="61">
        <v>3.0299755786561784</v>
      </c>
      <c r="S271" s="48"/>
      <c r="T271" s="50"/>
      <c r="U271" s="62">
        <v>0</v>
      </c>
      <c r="V271" s="63">
        <v>7</v>
      </c>
      <c r="W271" s="50">
        <v>0</v>
      </c>
      <c r="X271" s="48">
        <v>9</v>
      </c>
      <c r="Y271" s="63">
        <v>13</v>
      </c>
      <c r="Z271" s="63">
        <v>50</v>
      </c>
      <c r="AA271" s="64">
        <v>289.5</v>
      </c>
      <c r="AB271" s="65">
        <v>7.0839999999999996</v>
      </c>
      <c r="AC271" s="66"/>
      <c r="AD271" s="67"/>
      <c r="AE271" s="68"/>
      <c r="AF271" s="48">
        <v>47</v>
      </c>
      <c r="AG271" s="63">
        <v>81</v>
      </c>
      <c r="AH271" s="63">
        <v>18</v>
      </c>
      <c r="AI271" s="63">
        <v>34</v>
      </c>
      <c r="AJ271" s="63">
        <v>27</v>
      </c>
      <c r="AK271" s="63">
        <v>95</v>
      </c>
      <c r="AL271" s="63">
        <v>44</v>
      </c>
      <c r="AM271" s="63">
        <v>34</v>
      </c>
      <c r="AN271" s="63">
        <v>96</v>
      </c>
      <c r="AO271" s="63">
        <v>22</v>
      </c>
      <c r="AP271" s="63">
        <v>44</v>
      </c>
      <c r="AQ271" s="63">
        <v>18</v>
      </c>
      <c r="AR271" s="63">
        <v>7</v>
      </c>
      <c r="AS271" s="63">
        <v>1</v>
      </c>
      <c r="AT271" s="63">
        <v>7</v>
      </c>
      <c r="AU271" s="63">
        <v>18</v>
      </c>
      <c r="AV271" s="63">
        <v>50</v>
      </c>
      <c r="AW271" s="50">
        <v>0</v>
      </c>
      <c r="AX271" s="69">
        <v>340</v>
      </c>
      <c r="AY271" s="69">
        <v>966</v>
      </c>
      <c r="AZ271" s="54">
        <v>13</v>
      </c>
      <c r="BA271" s="54">
        <v>48</v>
      </c>
      <c r="BB271" s="54">
        <v>0</v>
      </c>
      <c r="BC271" s="54">
        <v>0</v>
      </c>
      <c r="BD271" s="54">
        <v>196</v>
      </c>
      <c r="BE271" s="70">
        <v>28</v>
      </c>
      <c r="BF271" s="63">
        <v>6</v>
      </c>
      <c r="BG271" s="71">
        <v>230</v>
      </c>
      <c r="BH271" s="67"/>
      <c r="BI271" s="68"/>
      <c r="BJ271" s="72">
        <v>438</v>
      </c>
      <c r="BK271" s="62"/>
      <c r="BL271" s="70">
        <v>556</v>
      </c>
      <c r="BM271" s="70">
        <v>130</v>
      </c>
      <c r="BN271" s="70">
        <v>53</v>
      </c>
      <c r="BO271" s="70">
        <v>254</v>
      </c>
      <c r="BP271" s="73">
        <v>1</v>
      </c>
      <c r="BQ271" s="74">
        <v>363</v>
      </c>
      <c r="BR271" s="54">
        <v>76</v>
      </c>
      <c r="BS271" s="75">
        <v>13</v>
      </c>
      <c r="BT271" s="76">
        <v>79.770992366412216</v>
      </c>
      <c r="BU271" s="77">
        <v>20.229007633587788</v>
      </c>
      <c r="BV271" s="78">
        <v>418</v>
      </c>
      <c r="BW271" s="79">
        <v>106</v>
      </c>
      <c r="BX271" s="69">
        <v>171</v>
      </c>
      <c r="BY271" s="70">
        <v>37</v>
      </c>
      <c r="BZ271" s="70">
        <v>45</v>
      </c>
      <c r="CA271" s="70">
        <v>210</v>
      </c>
      <c r="CB271" s="70">
        <v>5</v>
      </c>
      <c r="CC271" s="70">
        <v>54</v>
      </c>
      <c r="CD271" s="70">
        <v>2</v>
      </c>
      <c r="CE271" s="73">
        <v>0</v>
      </c>
    </row>
    <row r="272" spans="2:83" x14ac:dyDescent="0.3">
      <c r="B272" s="46">
        <v>52</v>
      </c>
      <c r="C272" s="47">
        <v>43461</v>
      </c>
      <c r="D272" s="48">
        <v>7</v>
      </c>
      <c r="E272" s="49">
        <v>2932</v>
      </c>
      <c r="F272" s="50">
        <v>302</v>
      </c>
      <c r="G272" s="51">
        <v>1.4544893551373033</v>
      </c>
      <c r="H272" s="52">
        <v>1.71605387695668</v>
      </c>
      <c r="I272" s="53">
        <v>2747</v>
      </c>
      <c r="J272" s="54">
        <v>3241</v>
      </c>
      <c r="K272" s="54">
        <v>4714</v>
      </c>
      <c r="L272" s="55">
        <v>5126.2</v>
      </c>
      <c r="M272" s="56">
        <v>428</v>
      </c>
      <c r="N272" s="57">
        <v>707.1</v>
      </c>
      <c r="O272" s="58">
        <v>516.23</v>
      </c>
      <c r="P272" s="59">
        <v>9.1315886329736742</v>
      </c>
      <c r="Q272" s="60">
        <v>640.52</v>
      </c>
      <c r="R272" s="61">
        <v>7.3596452882033354</v>
      </c>
      <c r="S272" s="48"/>
      <c r="T272" s="50"/>
      <c r="U272" s="62">
        <v>0</v>
      </c>
      <c r="V272" s="63">
        <v>66</v>
      </c>
      <c r="W272" s="50">
        <v>21</v>
      </c>
      <c r="X272" s="48">
        <v>28</v>
      </c>
      <c r="Y272" s="63">
        <v>84</v>
      </c>
      <c r="Z272" s="63">
        <v>105</v>
      </c>
      <c r="AA272" s="64">
        <v>496.4</v>
      </c>
      <c r="AB272" s="65">
        <v>29.048999999999999</v>
      </c>
      <c r="AC272" s="66"/>
      <c r="AD272" s="67"/>
      <c r="AE272" s="68"/>
      <c r="AF272" s="48">
        <v>303</v>
      </c>
      <c r="AG272" s="63">
        <v>528</v>
      </c>
      <c r="AH272" s="63">
        <v>67</v>
      </c>
      <c r="AI272" s="63">
        <v>205</v>
      </c>
      <c r="AJ272" s="63">
        <v>121</v>
      </c>
      <c r="AK272" s="63">
        <v>560</v>
      </c>
      <c r="AL272" s="63">
        <v>232</v>
      </c>
      <c r="AM272" s="63">
        <v>147</v>
      </c>
      <c r="AN272" s="63">
        <v>414</v>
      </c>
      <c r="AO272" s="63">
        <v>132</v>
      </c>
      <c r="AP272" s="63">
        <v>68</v>
      </c>
      <c r="AQ272" s="63">
        <v>70</v>
      </c>
      <c r="AR272" s="63">
        <v>5</v>
      </c>
      <c r="AS272" s="63">
        <v>5</v>
      </c>
      <c r="AT272" s="63">
        <v>53</v>
      </c>
      <c r="AU272" s="63">
        <v>55</v>
      </c>
      <c r="AV272" s="63">
        <v>238</v>
      </c>
      <c r="AW272" s="50">
        <v>9</v>
      </c>
      <c r="AX272" s="69">
        <v>3519</v>
      </c>
      <c r="AY272" s="69">
        <v>28292</v>
      </c>
      <c r="AZ272" s="54">
        <v>878</v>
      </c>
      <c r="BA272" s="54">
        <v>2116</v>
      </c>
      <c r="BB272" s="54">
        <v>552</v>
      </c>
      <c r="BC272" s="54">
        <v>670</v>
      </c>
      <c r="BD272" s="54">
        <v>1507</v>
      </c>
      <c r="BE272" s="70">
        <v>1364</v>
      </c>
      <c r="BF272" s="63">
        <v>909</v>
      </c>
      <c r="BG272" s="71">
        <v>3780</v>
      </c>
      <c r="BH272" s="67"/>
      <c r="BI272" s="68"/>
      <c r="BJ272" s="72">
        <v>1196</v>
      </c>
      <c r="BK272" s="62"/>
      <c r="BL272" s="70">
        <v>2161</v>
      </c>
      <c r="BM272" s="70">
        <v>82</v>
      </c>
      <c r="BN272" s="70">
        <v>294</v>
      </c>
      <c r="BO272" s="70">
        <v>809</v>
      </c>
      <c r="BP272" s="73">
        <v>11</v>
      </c>
      <c r="BQ272" s="74">
        <v>2088</v>
      </c>
      <c r="BR272" s="54">
        <v>271</v>
      </c>
      <c r="BS272" s="75">
        <v>124</v>
      </c>
      <c r="BT272" s="76">
        <v>85.64645726807889</v>
      </c>
      <c r="BU272" s="77">
        <v>14.35354273192111</v>
      </c>
      <c r="BV272" s="78">
        <v>2345</v>
      </c>
      <c r="BW272" s="79">
        <v>393</v>
      </c>
      <c r="BX272" s="69">
        <v>1528</v>
      </c>
      <c r="BY272" s="70">
        <v>161</v>
      </c>
      <c r="BZ272" s="70">
        <v>89</v>
      </c>
      <c r="CA272" s="70">
        <v>656</v>
      </c>
      <c r="CB272" s="70">
        <v>11</v>
      </c>
      <c r="CC272" s="70">
        <v>254</v>
      </c>
      <c r="CD272" s="70">
        <v>39</v>
      </c>
      <c r="CE272" s="73">
        <v>0</v>
      </c>
    </row>
    <row r="273" spans="2:83" x14ac:dyDescent="0.3">
      <c r="B273" s="46">
        <v>0</v>
      </c>
      <c r="C273" s="47"/>
      <c r="D273" s="48"/>
      <c r="E273" s="49"/>
      <c r="F273" s="50"/>
      <c r="G273" s="51" t="e">
        <v>#DIV/0!</v>
      </c>
      <c r="H273" s="52" t="e">
        <v>#DIV/0!</v>
      </c>
      <c r="I273" s="53"/>
      <c r="J273" s="54"/>
      <c r="K273" s="54"/>
      <c r="L273" s="55"/>
      <c r="M273" s="56"/>
      <c r="N273" s="57">
        <v>0</v>
      </c>
      <c r="O273" s="58"/>
      <c r="P273" s="59"/>
      <c r="Q273" s="81"/>
      <c r="R273" s="82"/>
      <c r="S273" s="48"/>
      <c r="T273" s="50"/>
      <c r="U273" s="62"/>
      <c r="V273" s="63"/>
      <c r="W273" s="50"/>
      <c r="X273" s="48"/>
      <c r="Y273" s="63"/>
      <c r="Z273" s="63"/>
      <c r="AA273" s="64"/>
      <c r="AB273" s="65"/>
      <c r="AC273" s="66"/>
      <c r="AD273" s="67"/>
      <c r="AE273" s="68"/>
      <c r="AF273" s="48"/>
      <c r="AG273" s="63"/>
      <c r="AH273" s="63"/>
      <c r="AI273" s="63"/>
      <c r="AJ273" s="63"/>
      <c r="AK273" s="63"/>
      <c r="AL273" s="63"/>
      <c r="AM273" s="63"/>
      <c r="AN273" s="63"/>
      <c r="AO273" s="63"/>
      <c r="AP273" s="63"/>
      <c r="AQ273" s="63"/>
      <c r="AR273" s="63"/>
      <c r="AS273" s="63"/>
      <c r="AT273" s="63"/>
      <c r="AU273" s="63"/>
      <c r="AV273" s="63"/>
      <c r="AW273" s="50"/>
      <c r="AX273" s="69"/>
      <c r="AY273" s="69"/>
      <c r="AZ273" s="54"/>
      <c r="BA273" s="54"/>
      <c r="BB273" s="54"/>
      <c r="BC273" s="54"/>
      <c r="BD273" s="54"/>
      <c r="BE273" s="70"/>
      <c r="BF273" s="63"/>
      <c r="BG273" s="71">
        <v>0</v>
      </c>
      <c r="BH273" s="67"/>
      <c r="BI273" s="68"/>
      <c r="BJ273" s="72">
        <v>0</v>
      </c>
      <c r="BK273" s="62"/>
      <c r="BL273" s="70"/>
      <c r="BM273" s="70"/>
      <c r="BN273" s="70"/>
      <c r="BO273" s="70"/>
      <c r="BP273" s="73"/>
      <c r="BQ273" s="48"/>
      <c r="BR273" s="63"/>
      <c r="BS273" s="50"/>
      <c r="BT273" s="76" t="e">
        <v>#DIV/0!</v>
      </c>
      <c r="BU273" s="77" t="e">
        <v>#DIV/0!</v>
      </c>
      <c r="BV273" s="78">
        <v>0</v>
      </c>
      <c r="BW273" s="79">
        <v>0</v>
      </c>
      <c r="BX273" s="62"/>
      <c r="BY273" s="63"/>
      <c r="BZ273" s="63"/>
      <c r="CA273" s="63"/>
      <c r="CB273" s="63"/>
      <c r="CC273" s="63"/>
      <c r="CD273" s="63"/>
      <c r="CE273" s="50"/>
    </row>
    <row r="274" spans="2:83" x14ac:dyDescent="0.3">
      <c r="B274" s="46">
        <v>0</v>
      </c>
      <c r="C274" s="47"/>
      <c r="D274" s="48"/>
      <c r="E274" s="49"/>
      <c r="F274" s="50"/>
      <c r="G274" s="51" t="e">
        <v>#DIV/0!</v>
      </c>
      <c r="H274" s="52" t="e">
        <v>#DIV/0!</v>
      </c>
      <c r="I274" s="53"/>
      <c r="J274" s="54"/>
      <c r="K274" s="54"/>
      <c r="L274" s="55"/>
      <c r="M274" s="56"/>
      <c r="N274" s="57">
        <v>0</v>
      </c>
      <c r="O274" s="58"/>
      <c r="P274" s="59"/>
      <c r="Q274" s="81"/>
      <c r="R274" s="82"/>
      <c r="S274" s="48"/>
      <c r="T274" s="50"/>
      <c r="U274" s="62"/>
      <c r="V274" s="63"/>
      <c r="W274" s="50"/>
      <c r="X274" s="48"/>
      <c r="Y274" s="63"/>
      <c r="Z274" s="63"/>
      <c r="AA274" s="64"/>
      <c r="AB274" s="65"/>
      <c r="AC274" s="66"/>
      <c r="AD274" s="67"/>
      <c r="AE274" s="68"/>
      <c r="AF274" s="48"/>
      <c r="AG274" s="63"/>
      <c r="AH274" s="63"/>
      <c r="AI274" s="63"/>
      <c r="AJ274" s="63"/>
      <c r="AK274" s="63"/>
      <c r="AL274" s="63"/>
      <c r="AM274" s="63"/>
      <c r="AN274" s="63"/>
      <c r="AO274" s="63"/>
      <c r="AP274" s="63"/>
      <c r="AQ274" s="63"/>
      <c r="AR274" s="63"/>
      <c r="AS274" s="63"/>
      <c r="AT274" s="63"/>
      <c r="AU274" s="63"/>
      <c r="AV274" s="63"/>
      <c r="AW274" s="50"/>
      <c r="AX274" s="69"/>
      <c r="AY274" s="69"/>
      <c r="AZ274" s="54"/>
      <c r="BA274" s="54"/>
      <c r="BB274" s="54"/>
      <c r="BC274" s="54"/>
      <c r="BD274" s="54"/>
      <c r="BE274" s="70"/>
      <c r="BF274" s="63"/>
      <c r="BG274" s="71">
        <v>0</v>
      </c>
      <c r="BH274" s="67"/>
      <c r="BI274" s="68"/>
      <c r="BJ274" s="72">
        <v>0</v>
      </c>
      <c r="BK274" s="62"/>
      <c r="BL274" s="70"/>
      <c r="BM274" s="70"/>
      <c r="BN274" s="70"/>
      <c r="BO274" s="70"/>
      <c r="BP274" s="73"/>
      <c r="BQ274" s="48"/>
      <c r="BR274" s="63"/>
      <c r="BS274" s="50"/>
      <c r="BT274" s="76" t="e">
        <v>#DIV/0!</v>
      </c>
      <c r="BU274" s="77" t="e">
        <v>#DIV/0!</v>
      </c>
      <c r="BV274" s="78">
        <v>0</v>
      </c>
      <c r="BW274" s="79">
        <v>0</v>
      </c>
      <c r="BX274" s="62"/>
      <c r="BY274" s="63"/>
      <c r="BZ274" s="63"/>
      <c r="CA274" s="63"/>
      <c r="CB274" s="63"/>
      <c r="CC274" s="63"/>
      <c r="CD274" s="63"/>
      <c r="CE274" s="50"/>
    </row>
    <row r="275" spans="2:83" x14ac:dyDescent="0.3">
      <c r="B275" s="46">
        <v>0</v>
      </c>
      <c r="C275" s="47"/>
      <c r="D275" s="48"/>
      <c r="E275" s="49"/>
      <c r="F275" s="50"/>
      <c r="G275" s="51" t="e">
        <v>#DIV/0!</v>
      </c>
      <c r="H275" s="52" t="e">
        <v>#DIV/0!</v>
      </c>
      <c r="I275" s="53"/>
      <c r="J275" s="54"/>
      <c r="K275" s="54"/>
      <c r="L275" s="55"/>
      <c r="M275" s="56"/>
      <c r="N275" s="57">
        <v>0</v>
      </c>
      <c r="O275" s="58"/>
      <c r="P275" s="59"/>
      <c r="Q275" s="81"/>
      <c r="R275" s="82"/>
      <c r="S275" s="48"/>
      <c r="T275" s="50"/>
      <c r="U275" s="62"/>
      <c r="V275" s="63"/>
      <c r="W275" s="50"/>
      <c r="X275" s="48"/>
      <c r="Y275" s="63"/>
      <c r="Z275" s="63"/>
      <c r="AA275" s="64"/>
      <c r="AB275" s="65"/>
      <c r="AC275" s="66"/>
      <c r="AD275" s="67"/>
      <c r="AE275" s="68"/>
      <c r="AF275" s="48"/>
      <c r="AG275" s="63"/>
      <c r="AH275" s="63"/>
      <c r="AI275" s="63"/>
      <c r="AJ275" s="63"/>
      <c r="AK275" s="63"/>
      <c r="AL275" s="63"/>
      <c r="AM275" s="63"/>
      <c r="AN275" s="63"/>
      <c r="AO275" s="63"/>
      <c r="AP275" s="63"/>
      <c r="AQ275" s="63"/>
      <c r="AR275" s="63"/>
      <c r="AS275" s="63"/>
      <c r="AT275" s="63"/>
      <c r="AU275" s="63"/>
      <c r="AV275" s="63"/>
      <c r="AW275" s="50"/>
      <c r="AX275" s="69"/>
      <c r="AY275" s="69"/>
      <c r="AZ275" s="54"/>
      <c r="BA275" s="54"/>
      <c r="BB275" s="54"/>
      <c r="BC275" s="54"/>
      <c r="BD275" s="54"/>
      <c r="BE275" s="70"/>
      <c r="BF275" s="63"/>
      <c r="BG275" s="71">
        <v>0</v>
      </c>
      <c r="BH275" s="67"/>
      <c r="BI275" s="68"/>
      <c r="BJ275" s="72">
        <v>0</v>
      </c>
      <c r="BK275" s="62"/>
      <c r="BL275" s="70"/>
      <c r="BM275" s="70"/>
      <c r="BN275" s="70"/>
      <c r="BO275" s="70"/>
      <c r="BP275" s="73"/>
      <c r="BQ275" s="48"/>
      <c r="BR275" s="63"/>
      <c r="BS275" s="50"/>
      <c r="BT275" s="76" t="e">
        <v>#DIV/0!</v>
      </c>
      <c r="BU275" s="77" t="e">
        <v>#DIV/0!</v>
      </c>
      <c r="BV275" s="78">
        <v>0</v>
      </c>
      <c r="BW275" s="79">
        <v>0</v>
      </c>
      <c r="BX275" s="62"/>
      <c r="BY275" s="63"/>
      <c r="BZ275" s="63"/>
      <c r="CA275" s="63"/>
      <c r="CB275" s="63"/>
      <c r="CC275" s="63"/>
      <c r="CD275" s="63"/>
      <c r="CE275" s="50"/>
    </row>
    <row r="276" spans="2:83" x14ac:dyDescent="0.3">
      <c r="B276" s="46">
        <v>0</v>
      </c>
      <c r="C276" s="47"/>
      <c r="D276" s="48"/>
      <c r="E276" s="49"/>
      <c r="F276" s="50"/>
      <c r="G276" s="51" t="e">
        <v>#DIV/0!</v>
      </c>
      <c r="H276" s="52" t="e">
        <v>#DIV/0!</v>
      </c>
      <c r="I276" s="53"/>
      <c r="J276" s="54"/>
      <c r="K276" s="54"/>
      <c r="L276" s="55"/>
      <c r="M276" s="56"/>
      <c r="N276" s="57">
        <v>0</v>
      </c>
      <c r="O276" s="58"/>
      <c r="P276" s="59"/>
      <c r="Q276" s="81"/>
      <c r="R276" s="82"/>
      <c r="S276" s="48"/>
      <c r="T276" s="50"/>
      <c r="U276" s="62"/>
      <c r="V276" s="63"/>
      <c r="W276" s="50"/>
      <c r="X276" s="48"/>
      <c r="Y276" s="63"/>
      <c r="Z276" s="63"/>
      <c r="AA276" s="64"/>
      <c r="AB276" s="65"/>
      <c r="AC276" s="66"/>
      <c r="AD276" s="67"/>
      <c r="AE276" s="68"/>
      <c r="AF276" s="48"/>
      <c r="AG276" s="63"/>
      <c r="AH276" s="63"/>
      <c r="AI276" s="63"/>
      <c r="AJ276" s="63"/>
      <c r="AK276" s="63"/>
      <c r="AL276" s="63"/>
      <c r="AM276" s="63"/>
      <c r="AN276" s="63"/>
      <c r="AO276" s="63"/>
      <c r="AP276" s="63"/>
      <c r="AQ276" s="63"/>
      <c r="AR276" s="63"/>
      <c r="AS276" s="63"/>
      <c r="AT276" s="63"/>
      <c r="AU276" s="63"/>
      <c r="AV276" s="63"/>
      <c r="AW276" s="50"/>
      <c r="AX276" s="69"/>
      <c r="AY276" s="69"/>
      <c r="AZ276" s="54"/>
      <c r="BA276" s="54"/>
      <c r="BB276" s="54"/>
      <c r="BC276" s="54"/>
      <c r="BD276" s="54"/>
      <c r="BE276" s="70"/>
      <c r="BF276" s="63"/>
      <c r="BG276" s="71">
        <v>0</v>
      </c>
      <c r="BH276" s="67"/>
      <c r="BI276" s="68"/>
      <c r="BJ276" s="72">
        <v>0</v>
      </c>
      <c r="BK276" s="62"/>
      <c r="BL276" s="70"/>
      <c r="BM276" s="70"/>
      <c r="BN276" s="70"/>
      <c r="BO276" s="70"/>
      <c r="BP276" s="73"/>
      <c r="BQ276" s="48"/>
      <c r="BR276" s="63"/>
      <c r="BS276" s="50"/>
      <c r="BT276" s="76" t="e">
        <v>#DIV/0!</v>
      </c>
      <c r="BU276" s="77" t="e">
        <v>#DIV/0!</v>
      </c>
      <c r="BV276" s="78">
        <v>0</v>
      </c>
      <c r="BW276" s="79">
        <v>0</v>
      </c>
      <c r="BX276" s="62"/>
      <c r="BY276" s="63"/>
      <c r="BZ276" s="63"/>
      <c r="CA276" s="63"/>
      <c r="CB276" s="63"/>
      <c r="CC276" s="63"/>
      <c r="CD276" s="63"/>
      <c r="CE276" s="50"/>
    </row>
    <row r="277" spans="2:83" x14ac:dyDescent="0.3">
      <c r="B277" s="46">
        <v>0</v>
      </c>
      <c r="C277" s="47"/>
      <c r="D277" s="48"/>
      <c r="E277" s="49"/>
      <c r="F277" s="50"/>
      <c r="G277" s="51" t="e">
        <v>#DIV/0!</v>
      </c>
      <c r="H277" s="52" t="e">
        <v>#DIV/0!</v>
      </c>
      <c r="I277" s="53"/>
      <c r="J277" s="54"/>
      <c r="K277" s="54"/>
      <c r="L277" s="55"/>
      <c r="M277" s="56"/>
      <c r="N277" s="57">
        <v>0</v>
      </c>
      <c r="O277" s="58"/>
      <c r="P277" s="59"/>
      <c r="Q277" s="81"/>
      <c r="R277" s="82"/>
      <c r="S277" s="48"/>
      <c r="T277" s="50"/>
      <c r="U277" s="62"/>
      <c r="V277" s="63"/>
      <c r="W277" s="50"/>
      <c r="X277" s="48"/>
      <c r="Y277" s="63"/>
      <c r="Z277" s="63"/>
      <c r="AA277" s="64"/>
      <c r="AB277" s="65"/>
      <c r="AC277" s="66"/>
      <c r="AD277" s="67"/>
      <c r="AE277" s="68"/>
      <c r="AF277" s="48"/>
      <c r="AG277" s="63"/>
      <c r="AH277" s="63"/>
      <c r="AI277" s="63"/>
      <c r="AJ277" s="63"/>
      <c r="AK277" s="63"/>
      <c r="AL277" s="63"/>
      <c r="AM277" s="63"/>
      <c r="AN277" s="63"/>
      <c r="AO277" s="63"/>
      <c r="AP277" s="63"/>
      <c r="AQ277" s="63"/>
      <c r="AR277" s="63"/>
      <c r="AS277" s="63"/>
      <c r="AT277" s="63"/>
      <c r="AU277" s="63"/>
      <c r="AV277" s="63"/>
      <c r="AW277" s="50"/>
      <c r="AX277" s="69"/>
      <c r="AY277" s="69"/>
      <c r="AZ277" s="54"/>
      <c r="BA277" s="54"/>
      <c r="BB277" s="54"/>
      <c r="BC277" s="54"/>
      <c r="BD277" s="54"/>
      <c r="BE277" s="70"/>
      <c r="BF277" s="63"/>
      <c r="BG277" s="71">
        <v>0</v>
      </c>
      <c r="BH277" s="67"/>
      <c r="BI277" s="68"/>
      <c r="BJ277" s="72">
        <v>0</v>
      </c>
      <c r="BK277" s="62"/>
      <c r="BL277" s="70"/>
      <c r="BM277" s="70"/>
      <c r="BN277" s="70"/>
      <c r="BO277" s="70"/>
      <c r="BP277" s="73"/>
      <c r="BQ277" s="48"/>
      <c r="BR277" s="63"/>
      <c r="BS277" s="50"/>
      <c r="BT277" s="76" t="e">
        <v>#DIV/0!</v>
      </c>
      <c r="BU277" s="77" t="e">
        <v>#DIV/0!</v>
      </c>
      <c r="BV277" s="78">
        <v>0</v>
      </c>
      <c r="BW277" s="79">
        <v>0</v>
      </c>
      <c r="BX277" s="62"/>
      <c r="BY277" s="63"/>
      <c r="BZ277" s="63"/>
      <c r="CA277" s="63"/>
      <c r="CB277" s="63"/>
      <c r="CC277" s="63"/>
      <c r="CD277" s="63"/>
      <c r="CE277" s="50"/>
    </row>
    <row r="278" spans="2:83" x14ac:dyDescent="0.3">
      <c r="B278" s="46">
        <v>0</v>
      </c>
      <c r="C278" s="47"/>
      <c r="D278" s="48"/>
      <c r="E278" s="49"/>
      <c r="F278" s="50"/>
      <c r="G278" s="51" t="e">
        <v>#DIV/0!</v>
      </c>
      <c r="H278" s="52" t="e">
        <v>#DIV/0!</v>
      </c>
      <c r="I278" s="53"/>
      <c r="J278" s="54"/>
      <c r="K278" s="54"/>
      <c r="L278" s="55"/>
      <c r="M278" s="56"/>
      <c r="N278" s="57">
        <v>0</v>
      </c>
      <c r="O278" s="58"/>
      <c r="P278" s="59"/>
      <c r="Q278" s="81"/>
      <c r="R278" s="82"/>
      <c r="S278" s="48"/>
      <c r="T278" s="50"/>
      <c r="U278" s="62"/>
      <c r="V278" s="63"/>
      <c r="W278" s="50"/>
      <c r="X278" s="48"/>
      <c r="Y278" s="63"/>
      <c r="Z278" s="63"/>
      <c r="AA278" s="64"/>
      <c r="AB278" s="65"/>
      <c r="AC278" s="66"/>
      <c r="AD278" s="67"/>
      <c r="AE278" s="68"/>
      <c r="AF278" s="48"/>
      <c r="AG278" s="63"/>
      <c r="AH278" s="63"/>
      <c r="AI278" s="63"/>
      <c r="AJ278" s="63"/>
      <c r="AK278" s="63"/>
      <c r="AL278" s="63"/>
      <c r="AM278" s="63"/>
      <c r="AN278" s="63"/>
      <c r="AO278" s="63"/>
      <c r="AP278" s="63"/>
      <c r="AQ278" s="63"/>
      <c r="AR278" s="63"/>
      <c r="AS278" s="63"/>
      <c r="AT278" s="63"/>
      <c r="AU278" s="63"/>
      <c r="AV278" s="63"/>
      <c r="AW278" s="50"/>
      <c r="AX278" s="69"/>
      <c r="AY278" s="69"/>
      <c r="AZ278" s="54"/>
      <c r="BA278" s="54"/>
      <c r="BB278" s="54"/>
      <c r="BC278" s="54"/>
      <c r="BD278" s="54"/>
      <c r="BE278" s="70"/>
      <c r="BF278" s="63"/>
      <c r="BG278" s="71">
        <v>0</v>
      </c>
      <c r="BH278" s="67"/>
      <c r="BI278" s="68"/>
      <c r="BJ278" s="72">
        <v>0</v>
      </c>
      <c r="BK278" s="62"/>
      <c r="BL278" s="70"/>
      <c r="BM278" s="70"/>
      <c r="BN278" s="70"/>
      <c r="BO278" s="70"/>
      <c r="BP278" s="73"/>
      <c r="BQ278" s="48"/>
      <c r="BR278" s="63"/>
      <c r="BS278" s="50"/>
      <c r="BT278" s="76" t="e">
        <v>#DIV/0!</v>
      </c>
      <c r="BU278" s="77" t="e">
        <v>#DIV/0!</v>
      </c>
      <c r="BV278" s="78">
        <v>0</v>
      </c>
      <c r="BW278" s="79">
        <v>0</v>
      </c>
      <c r="BX278" s="62"/>
      <c r="BY278" s="63"/>
      <c r="BZ278" s="63"/>
      <c r="CA278" s="63"/>
      <c r="CB278" s="63"/>
      <c r="CC278" s="63"/>
      <c r="CD278" s="63"/>
      <c r="CE278" s="50"/>
    </row>
    <row r="279" spans="2:83" x14ac:dyDescent="0.3">
      <c r="B279" s="46">
        <v>0</v>
      </c>
      <c r="C279" s="47"/>
      <c r="D279" s="48"/>
      <c r="E279" s="49"/>
      <c r="F279" s="50"/>
      <c r="G279" s="51" t="e">
        <v>#DIV/0!</v>
      </c>
      <c r="H279" s="52" t="e">
        <v>#DIV/0!</v>
      </c>
      <c r="I279" s="53"/>
      <c r="J279" s="54"/>
      <c r="K279" s="54"/>
      <c r="L279" s="55"/>
      <c r="M279" s="56"/>
      <c r="N279" s="57">
        <v>0</v>
      </c>
      <c r="O279" s="58"/>
      <c r="P279" s="59"/>
      <c r="Q279" s="81"/>
      <c r="R279" s="82"/>
      <c r="S279" s="48"/>
      <c r="T279" s="50"/>
      <c r="U279" s="62"/>
      <c r="V279" s="63"/>
      <c r="W279" s="50"/>
      <c r="X279" s="48"/>
      <c r="Y279" s="63"/>
      <c r="Z279" s="63"/>
      <c r="AA279" s="64"/>
      <c r="AB279" s="65"/>
      <c r="AC279" s="66"/>
      <c r="AD279" s="67"/>
      <c r="AE279" s="68"/>
      <c r="AF279" s="48"/>
      <c r="AG279" s="63"/>
      <c r="AH279" s="63"/>
      <c r="AI279" s="63"/>
      <c r="AJ279" s="63"/>
      <c r="AK279" s="63"/>
      <c r="AL279" s="63"/>
      <c r="AM279" s="63"/>
      <c r="AN279" s="63"/>
      <c r="AO279" s="63"/>
      <c r="AP279" s="63"/>
      <c r="AQ279" s="63"/>
      <c r="AR279" s="63"/>
      <c r="AS279" s="63"/>
      <c r="AT279" s="63"/>
      <c r="AU279" s="63"/>
      <c r="AV279" s="63"/>
      <c r="AW279" s="50"/>
      <c r="AX279" s="69"/>
      <c r="AY279" s="69"/>
      <c r="AZ279" s="54"/>
      <c r="BA279" s="54"/>
      <c r="BB279" s="54"/>
      <c r="BC279" s="54"/>
      <c r="BD279" s="54"/>
      <c r="BE279" s="70"/>
      <c r="BF279" s="63"/>
      <c r="BG279" s="71">
        <v>0</v>
      </c>
      <c r="BH279" s="67"/>
      <c r="BI279" s="68"/>
      <c r="BJ279" s="72">
        <v>0</v>
      </c>
      <c r="BK279" s="62"/>
      <c r="BL279" s="70"/>
      <c r="BM279" s="70"/>
      <c r="BN279" s="70"/>
      <c r="BO279" s="70"/>
      <c r="BP279" s="73"/>
      <c r="BQ279" s="48"/>
      <c r="BR279" s="63"/>
      <c r="BS279" s="50"/>
      <c r="BT279" s="76" t="e">
        <v>#DIV/0!</v>
      </c>
      <c r="BU279" s="77" t="e">
        <v>#DIV/0!</v>
      </c>
      <c r="BV279" s="78">
        <v>0</v>
      </c>
      <c r="BW279" s="79">
        <v>0</v>
      </c>
      <c r="BX279" s="62"/>
      <c r="BY279" s="63"/>
      <c r="BZ279" s="63"/>
      <c r="CA279" s="63"/>
      <c r="CB279" s="63"/>
      <c r="CC279" s="63"/>
      <c r="CD279" s="63"/>
      <c r="CE279" s="50"/>
    </row>
    <row r="280" spans="2:83" x14ac:dyDescent="0.3">
      <c r="B280" s="46">
        <v>0</v>
      </c>
      <c r="C280" s="47"/>
      <c r="D280" s="48"/>
      <c r="E280" s="49"/>
      <c r="F280" s="50"/>
      <c r="G280" s="51" t="e">
        <v>#DIV/0!</v>
      </c>
      <c r="H280" s="52" t="e">
        <v>#DIV/0!</v>
      </c>
      <c r="I280" s="53"/>
      <c r="J280" s="54"/>
      <c r="K280" s="54"/>
      <c r="L280" s="55"/>
      <c r="M280" s="56"/>
      <c r="N280" s="57">
        <v>0</v>
      </c>
      <c r="O280" s="58"/>
      <c r="P280" s="59"/>
      <c r="Q280" s="81"/>
      <c r="R280" s="82"/>
      <c r="S280" s="48"/>
      <c r="T280" s="50"/>
      <c r="U280" s="62"/>
      <c r="V280" s="63"/>
      <c r="W280" s="50"/>
      <c r="X280" s="48"/>
      <c r="Y280" s="63"/>
      <c r="Z280" s="63"/>
      <c r="AA280" s="64"/>
      <c r="AB280" s="65"/>
      <c r="AC280" s="66"/>
      <c r="AD280" s="67"/>
      <c r="AE280" s="68"/>
      <c r="AF280" s="48"/>
      <c r="AG280" s="63"/>
      <c r="AH280" s="63"/>
      <c r="AI280" s="63"/>
      <c r="AJ280" s="63"/>
      <c r="AK280" s="63"/>
      <c r="AL280" s="63"/>
      <c r="AM280" s="63"/>
      <c r="AN280" s="63"/>
      <c r="AO280" s="63"/>
      <c r="AP280" s="63"/>
      <c r="AQ280" s="63"/>
      <c r="AR280" s="63"/>
      <c r="AS280" s="63"/>
      <c r="AT280" s="63"/>
      <c r="AU280" s="63"/>
      <c r="AV280" s="63"/>
      <c r="AW280" s="50"/>
      <c r="AX280" s="69"/>
      <c r="AY280" s="69"/>
      <c r="AZ280" s="54"/>
      <c r="BA280" s="54"/>
      <c r="BB280" s="54"/>
      <c r="BC280" s="54"/>
      <c r="BD280" s="54"/>
      <c r="BE280" s="70"/>
      <c r="BF280" s="63"/>
      <c r="BG280" s="71">
        <v>0</v>
      </c>
      <c r="BH280" s="67"/>
      <c r="BI280" s="68"/>
      <c r="BJ280" s="72">
        <v>0</v>
      </c>
      <c r="BK280" s="62"/>
      <c r="BL280" s="70"/>
      <c r="BM280" s="70"/>
      <c r="BN280" s="70"/>
      <c r="BO280" s="70"/>
      <c r="BP280" s="73"/>
      <c r="BQ280" s="48"/>
      <c r="BR280" s="63"/>
      <c r="BS280" s="50"/>
      <c r="BT280" s="76" t="e">
        <v>#DIV/0!</v>
      </c>
      <c r="BU280" s="77" t="e">
        <v>#DIV/0!</v>
      </c>
      <c r="BV280" s="78">
        <v>0</v>
      </c>
      <c r="BW280" s="79">
        <v>0</v>
      </c>
      <c r="BX280" s="62"/>
      <c r="BY280" s="63"/>
      <c r="BZ280" s="63"/>
      <c r="CA280" s="63"/>
      <c r="CB280" s="63"/>
      <c r="CC280" s="63"/>
      <c r="CD280" s="63"/>
      <c r="CE280" s="50"/>
    </row>
    <row r="281" spans="2:83" x14ac:dyDescent="0.3">
      <c r="B281" s="46">
        <v>0</v>
      </c>
      <c r="C281" s="47"/>
      <c r="D281" s="48"/>
      <c r="E281" s="49"/>
      <c r="F281" s="50"/>
      <c r="G281" s="51" t="e">
        <v>#DIV/0!</v>
      </c>
      <c r="H281" s="52" t="e">
        <v>#DIV/0!</v>
      </c>
      <c r="I281" s="53"/>
      <c r="J281" s="54"/>
      <c r="K281" s="54"/>
      <c r="L281" s="55"/>
      <c r="M281" s="56"/>
      <c r="N281" s="57">
        <v>0</v>
      </c>
      <c r="O281" s="58"/>
      <c r="P281" s="59"/>
      <c r="Q281" s="81"/>
      <c r="R281" s="82"/>
      <c r="S281" s="48"/>
      <c r="T281" s="50"/>
      <c r="U281" s="62"/>
      <c r="V281" s="63"/>
      <c r="W281" s="50"/>
      <c r="X281" s="48"/>
      <c r="Y281" s="63"/>
      <c r="Z281" s="63"/>
      <c r="AA281" s="64"/>
      <c r="AB281" s="65"/>
      <c r="AC281" s="66"/>
      <c r="AD281" s="67"/>
      <c r="AE281" s="68"/>
      <c r="AF281" s="48"/>
      <c r="AG281" s="63"/>
      <c r="AH281" s="63"/>
      <c r="AI281" s="63"/>
      <c r="AJ281" s="63"/>
      <c r="AK281" s="63"/>
      <c r="AL281" s="63"/>
      <c r="AM281" s="63"/>
      <c r="AN281" s="63"/>
      <c r="AO281" s="63"/>
      <c r="AP281" s="63"/>
      <c r="AQ281" s="63"/>
      <c r="AR281" s="63"/>
      <c r="AS281" s="63"/>
      <c r="AT281" s="63"/>
      <c r="AU281" s="63"/>
      <c r="AV281" s="63"/>
      <c r="AW281" s="50"/>
      <c r="AX281" s="69"/>
      <c r="AY281" s="69"/>
      <c r="AZ281" s="54"/>
      <c r="BA281" s="54"/>
      <c r="BB281" s="54"/>
      <c r="BC281" s="54"/>
      <c r="BD281" s="54"/>
      <c r="BE281" s="70"/>
      <c r="BF281" s="63"/>
      <c r="BG281" s="71">
        <v>0</v>
      </c>
      <c r="BH281" s="67"/>
      <c r="BI281" s="68"/>
      <c r="BJ281" s="72">
        <v>0</v>
      </c>
      <c r="BK281" s="62"/>
      <c r="BL281" s="70"/>
      <c r="BM281" s="70"/>
      <c r="BN281" s="70"/>
      <c r="BO281" s="70"/>
      <c r="BP281" s="73"/>
      <c r="BQ281" s="48"/>
      <c r="BR281" s="63"/>
      <c r="BS281" s="50"/>
      <c r="BT281" s="76" t="e">
        <v>#DIV/0!</v>
      </c>
      <c r="BU281" s="77" t="e">
        <v>#DIV/0!</v>
      </c>
      <c r="BV281" s="78">
        <v>0</v>
      </c>
      <c r="BW281" s="79">
        <v>0</v>
      </c>
      <c r="BX281" s="62"/>
      <c r="BY281" s="63"/>
      <c r="BZ281" s="63"/>
      <c r="CA281" s="63"/>
      <c r="CB281" s="63"/>
      <c r="CC281" s="63"/>
      <c r="CD281" s="63"/>
      <c r="CE281" s="50"/>
    </row>
    <row r="282" spans="2:83" x14ac:dyDescent="0.3">
      <c r="B282" s="46">
        <v>0</v>
      </c>
      <c r="C282" s="47"/>
      <c r="D282" s="48"/>
      <c r="E282" s="49"/>
      <c r="F282" s="50"/>
      <c r="G282" s="51" t="e">
        <v>#DIV/0!</v>
      </c>
      <c r="H282" s="52" t="e">
        <v>#DIV/0!</v>
      </c>
      <c r="I282" s="53"/>
      <c r="J282" s="54"/>
      <c r="K282" s="54"/>
      <c r="L282" s="55"/>
      <c r="M282" s="56"/>
      <c r="N282" s="57">
        <v>0</v>
      </c>
      <c r="O282" s="58"/>
      <c r="P282" s="59"/>
      <c r="Q282" s="81"/>
      <c r="R282" s="82"/>
      <c r="S282" s="48"/>
      <c r="T282" s="50"/>
      <c r="U282" s="62"/>
      <c r="V282" s="63"/>
      <c r="W282" s="50"/>
      <c r="X282" s="48"/>
      <c r="Y282" s="63"/>
      <c r="Z282" s="63"/>
      <c r="AA282" s="64"/>
      <c r="AB282" s="65"/>
      <c r="AC282" s="66"/>
      <c r="AD282" s="67"/>
      <c r="AE282" s="68"/>
      <c r="AF282" s="48"/>
      <c r="AG282" s="63"/>
      <c r="AH282" s="63"/>
      <c r="AI282" s="63"/>
      <c r="AJ282" s="63"/>
      <c r="AK282" s="63"/>
      <c r="AL282" s="63"/>
      <c r="AM282" s="63"/>
      <c r="AN282" s="63"/>
      <c r="AO282" s="63"/>
      <c r="AP282" s="63"/>
      <c r="AQ282" s="63"/>
      <c r="AR282" s="63"/>
      <c r="AS282" s="63"/>
      <c r="AT282" s="63"/>
      <c r="AU282" s="63"/>
      <c r="AV282" s="63"/>
      <c r="AW282" s="50"/>
      <c r="AX282" s="69"/>
      <c r="AY282" s="69"/>
      <c r="AZ282" s="54"/>
      <c r="BA282" s="54"/>
      <c r="BB282" s="54"/>
      <c r="BC282" s="54"/>
      <c r="BD282" s="54"/>
      <c r="BE282" s="70"/>
      <c r="BF282" s="63"/>
      <c r="BG282" s="71">
        <v>0</v>
      </c>
      <c r="BH282" s="67"/>
      <c r="BI282" s="68"/>
      <c r="BJ282" s="72">
        <v>0</v>
      </c>
      <c r="BK282" s="62"/>
      <c r="BL282" s="70"/>
      <c r="BM282" s="70"/>
      <c r="BN282" s="70"/>
      <c r="BO282" s="70"/>
      <c r="BP282" s="73"/>
      <c r="BQ282" s="48"/>
      <c r="BR282" s="63"/>
      <c r="BS282" s="50"/>
      <c r="BT282" s="76" t="e">
        <v>#DIV/0!</v>
      </c>
      <c r="BU282" s="77" t="e">
        <v>#DIV/0!</v>
      </c>
      <c r="BV282" s="78">
        <v>0</v>
      </c>
      <c r="BW282" s="79">
        <v>0</v>
      </c>
      <c r="BX282" s="62"/>
      <c r="BY282" s="63"/>
      <c r="BZ282" s="63"/>
      <c r="CA282" s="63"/>
      <c r="CB282" s="63"/>
      <c r="CC282" s="63"/>
      <c r="CD282" s="63"/>
      <c r="CE282" s="50"/>
    </row>
    <row r="283" spans="2:83" x14ac:dyDescent="0.3">
      <c r="B283" s="46">
        <v>0</v>
      </c>
      <c r="C283" s="47"/>
      <c r="D283" s="48"/>
      <c r="E283" s="49"/>
      <c r="F283" s="50"/>
      <c r="G283" s="51" t="e">
        <v>#DIV/0!</v>
      </c>
      <c r="H283" s="52" t="e">
        <v>#DIV/0!</v>
      </c>
      <c r="I283" s="53"/>
      <c r="J283" s="54"/>
      <c r="K283" s="54"/>
      <c r="L283" s="55"/>
      <c r="M283" s="56"/>
      <c r="N283" s="57">
        <v>0</v>
      </c>
      <c r="O283" s="58"/>
      <c r="P283" s="59"/>
      <c r="Q283" s="81"/>
      <c r="R283" s="82"/>
      <c r="S283" s="48"/>
      <c r="T283" s="50"/>
      <c r="U283" s="62"/>
      <c r="V283" s="63"/>
      <c r="W283" s="50"/>
      <c r="X283" s="48"/>
      <c r="Y283" s="63"/>
      <c r="Z283" s="63"/>
      <c r="AA283" s="64"/>
      <c r="AB283" s="65"/>
      <c r="AC283" s="66"/>
      <c r="AD283" s="67"/>
      <c r="AE283" s="68"/>
      <c r="AF283" s="48"/>
      <c r="AG283" s="63"/>
      <c r="AH283" s="63"/>
      <c r="AI283" s="63"/>
      <c r="AJ283" s="63"/>
      <c r="AK283" s="63"/>
      <c r="AL283" s="63"/>
      <c r="AM283" s="63"/>
      <c r="AN283" s="63"/>
      <c r="AO283" s="63"/>
      <c r="AP283" s="63"/>
      <c r="AQ283" s="63"/>
      <c r="AR283" s="63"/>
      <c r="AS283" s="63"/>
      <c r="AT283" s="63"/>
      <c r="AU283" s="63"/>
      <c r="AV283" s="63"/>
      <c r="AW283" s="50"/>
      <c r="AX283" s="69"/>
      <c r="AY283" s="69"/>
      <c r="AZ283" s="54"/>
      <c r="BA283" s="54"/>
      <c r="BB283" s="54"/>
      <c r="BC283" s="54"/>
      <c r="BD283" s="54"/>
      <c r="BE283" s="70"/>
      <c r="BF283" s="63"/>
      <c r="BG283" s="71">
        <v>0</v>
      </c>
      <c r="BH283" s="67"/>
      <c r="BI283" s="68"/>
      <c r="BJ283" s="72">
        <v>0</v>
      </c>
      <c r="BK283" s="62"/>
      <c r="BL283" s="70"/>
      <c r="BM283" s="70"/>
      <c r="BN283" s="70"/>
      <c r="BO283" s="70"/>
      <c r="BP283" s="73"/>
      <c r="BQ283" s="48"/>
      <c r="BR283" s="63"/>
      <c r="BS283" s="50"/>
      <c r="BT283" s="76" t="e">
        <v>#DIV/0!</v>
      </c>
      <c r="BU283" s="77" t="e">
        <v>#DIV/0!</v>
      </c>
      <c r="BV283" s="78">
        <v>0</v>
      </c>
      <c r="BW283" s="79">
        <v>0</v>
      </c>
      <c r="BX283" s="62"/>
      <c r="BY283" s="63"/>
      <c r="BZ283" s="63"/>
      <c r="CA283" s="63"/>
      <c r="CB283" s="63"/>
      <c r="CC283" s="63"/>
      <c r="CD283" s="63"/>
      <c r="CE283" s="50"/>
    </row>
    <row r="284" spans="2:83" x14ac:dyDescent="0.3">
      <c r="B284" s="46">
        <v>0</v>
      </c>
      <c r="C284" s="47"/>
      <c r="D284" s="48"/>
      <c r="E284" s="49"/>
      <c r="F284" s="50"/>
      <c r="G284" s="51" t="e">
        <v>#DIV/0!</v>
      </c>
      <c r="H284" s="52" t="e">
        <v>#DIV/0!</v>
      </c>
      <c r="I284" s="53"/>
      <c r="J284" s="54"/>
      <c r="K284" s="54"/>
      <c r="L284" s="55"/>
      <c r="M284" s="56"/>
      <c r="N284" s="57">
        <v>0</v>
      </c>
      <c r="O284" s="58"/>
      <c r="P284" s="59"/>
      <c r="Q284" s="81"/>
      <c r="R284" s="82"/>
      <c r="S284" s="48"/>
      <c r="T284" s="50"/>
      <c r="U284" s="62"/>
      <c r="V284" s="63"/>
      <c r="W284" s="50"/>
      <c r="X284" s="48"/>
      <c r="Y284" s="63"/>
      <c r="Z284" s="63"/>
      <c r="AA284" s="64"/>
      <c r="AB284" s="65"/>
      <c r="AC284" s="66"/>
      <c r="AD284" s="67"/>
      <c r="AE284" s="68"/>
      <c r="AF284" s="48"/>
      <c r="AG284" s="63"/>
      <c r="AH284" s="63"/>
      <c r="AI284" s="63"/>
      <c r="AJ284" s="63"/>
      <c r="AK284" s="63"/>
      <c r="AL284" s="63"/>
      <c r="AM284" s="63"/>
      <c r="AN284" s="63"/>
      <c r="AO284" s="63"/>
      <c r="AP284" s="63"/>
      <c r="AQ284" s="63"/>
      <c r="AR284" s="63"/>
      <c r="AS284" s="63"/>
      <c r="AT284" s="63"/>
      <c r="AU284" s="63"/>
      <c r="AV284" s="63"/>
      <c r="AW284" s="50"/>
      <c r="AX284" s="69"/>
      <c r="AY284" s="69"/>
      <c r="AZ284" s="54"/>
      <c r="BA284" s="54"/>
      <c r="BB284" s="54"/>
      <c r="BC284" s="54"/>
      <c r="BD284" s="54"/>
      <c r="BE284" s="70"/>
      <c r="BF284" s="63"/>
      <c r="BG284" s="71">
        <v>0</v>
      </c>
      <c r="BH284" s="67"/>
      <c r="BI284" s="68"/>
      <c r="BJ284" s="72">
        <v>0</v>
      </c>
      <c r="BK284" s="62"/>
      <c r="BL284" s="70"/>
      <c r="BM284" s="70"/>
      <c r="BN284" s="70"/>
      <c r="BO284" s="70"/>
      <c r="BP284" s="73"/>
      <c r="BQ284" s="48"/>
      <c r="BR284" s="63"/>
      <c r="BS284" s="50"/>
      <c r="BT284" s="76" t="e">
        <v>#DIV/0!</v>
      </c>
      <c r="BU284" s="77" t="e">
        <v>#DIV/0!</v>
      </c>
      <c r="BV284" s="78">
        <v>0</v>
      </c>
      <c r="BW284" s="79">
        <v>0</v>
      </c>
      <c r="BX284" s="62"/>
      <c r="BY284" s="63"/>
      <c r="BZ284" s="63"/>
      <c r="CA284" s="63"/>
      <c r="CB284" s="63"/>
      <c r="CC284" s="63"/>
      <c r="CD284" s="63"/>
      <c r="CE284" s="50"/>
    </row>
    <row r="285" spans="2:83" x14ac:dyDescent="0.3">
      <c r="B285" s="46">
        <v>0</v>
      </c>
      <c r="C285" s="47"/>
      <c r="D285" s="48"/>
      <c r="E285" s="49"/>
      <c r="F285" s="50"/>
      <c r="G285" s="51" t="e">
        <v>#DIV/0!</v>
      </c>
      <c r="H285" s="52" t="e">
        <v>#DIV/0!</v>
      </c>
      <c r="I285" s="53"/>
      <c r="J285" s="54"/>
      <c r="K285" s="54"/>
      <c r="L285" s="55"/>
      <c r="M285" s="56"/>
      <c r="N285" s="57">
        <v>0</v>
      </c>
      <c r="O285" s="58"/>
      <c r="P285" s="59"/>
      <c r="Q285" s="81"/>
      <c r="R285" s="82"/>
      <c r="S285" s="48"/>
      <c r="T285" s="50"/>
      <c r="U285" s="62"/>
      <c r="V285" s="63"/>
      <c r="W285" s="50"/>
      <c r="X285" s="48"/>
      <c r="Y285" s="63"/>
      <c r="Z285" s="63"/>
      <c r="AA285" s="64"/>
      <c r="AB285" s="65"/>
      <c r="AC285" s="66"/>
      <c r="AD285" s="67"/>
      <c r="AE285" s="68"/>
      <c r="AF285" s="48"/>
      <c r="AG285" s="63"/>
      <c r="AH285" s="63"/>
      <c r="AI285" s="63"/>
      <c r="AJ285" s="63"/>
      <c r="AK285" s="63"/>
      <c r="AL285" s="63"/>
      <c r="AM285" s="63"/>
      <c r="AN285" s="63"/>
      <c r="AO285" s="63"/>
      <c r="AP285" s="63"/>
      <c r="AQ285" s="63"/>
      <c r="AR285" s="63"/>
      <c r="AS285" s="63"/>
      <c r="AT285" s="63"/>
      <c r="AU285" s="63"/>
      <c r="AV285" s="63"/>
      <c r="AW285" s="50"/>
      <c r="AX285" s="69"/>
      <c r="AY285" s="69"/>
      <c r="AZ285" s="54"/>
      <c r="BA285" s="54"/>
      <c r="BB285" s="54"/>
      <c r="BC285" s="54"/>
      <c r="BD285" s="54"/>
      <c r="BE285" s="70"/>
      <c r="BF285" s="63"/>
      <c r="BG285" s="71">
        <v>0</v>
      </c>
      <c r="BH285" s="67"/>
      <c r="BI285" s="68"/>
      <c r="BJ285" s="72">
        <v>0</v>
      </c>
      <c r="BK285" s="62"/>
      <c r="BL285" s="70"/>
      <c r="BM285" s="70"/>
      <c r="BN285" s="70"/>
      <c r="BO285" s="70"/>
      <c r="BP285" s="73"/>
      <c r="BQ285" s="48"/>
      <c r="BR285" s="63"/>
      <c r="BS285" s="50"/>
      <c r="BT285" s="76" t="e">
        <v>#DIV/0!</v>
      </c>
      <c r="BU285" s="77" t="e">
        <v>#DIV/0!</v>
      </c>
      <c r="BV285" s="78">
        <v>0</v>
      </c>
      <c r="BW285" s="79">
        <v>0</v>
      </c>
      <c r="BX285" s="62"/>
      <c r="BY285" s="63"/>
      <c r="BZ285" s="63"/>
      <c r="CA285" s="63"/>
      <c r="CB285" s="63"/>
      <c r="CC285" s="63"/>
      <c r="CD285" s="63"/>
      <c r="CE285" s="50"/>
    </row>
    <row r="286" spans="2:83" x14ac:dyDescent="0.3">
      <c r="B286" s="46">
        <v>0</v>
      </c>
      <c r="C286" s="47"/>
      <c r="D286" s="48"/>
      <c r="E286" s="49"/>
      <c r="F286" s="50"/>
      <c r="G286" s="51" t="e">
        <v>#DIV/0!</v>
      </c>
      <c r="H286" s="52" t="e">
        <v>#DIV/0!</v>
      </c>
      <c r="I286" s="53"/>
      <c r="J286" s="54"/>
      <c r="K286" s="54"/>
      <c r="L286" s="55"/>
      <c r="M286" s="56"/>
      <c r="N286" s="57">
        <v>0</v>
      </c>
      <c r="O286" s="58"/>
      <c r="P286" s="59"/>
      <c r="Q286" s="81"/>
      <c r="R286" s="82"/>
      <c r="S286" s="48"/>
      <c r="T286" s="50"/>
      <c r="U286" s="62"/>
      <c r="V286" s="63"/>
      <c r="W286" s="50"/>
      <c r="X286" s="48"/>
      <c r="Y286" s="63"/>
      <c r="Z286" s="63"/>
      <c r="AA286" s="64"/>
      <c r="AB286" s="65"/>
      <c r="AC286" s="66"/>
      <c r="AD286" s="67"/>
      <c r="AE286" s="68"/>
      <c r="AF286" s="48"/>
      <c r="AG286" s="63"/>
      <c r="AH286" s="63"/>
      <c r="AI286" s="63"/>
      <c r="AJ286" s="63"/>
      <c r="AK286" s="63"/>
      <c r="AL286" s="63"/>
      <c r="AM286" s="63"/>
      <c r="AN286" s="63"/>
      <c r="AO286" s="63"/>
      <c r="AP286" s="63"/>
      <c r="AQ286" s="63"/>
      <c r="AR286" s="63"/>
      <c r="AS286" s="63"/>
      <c r="AT286" s="63"/>
      <c r="AU286" s="63"/>
      <c r="AV286" s="63"/>
      <c r="AW286" s="50"/>
      <c r="AX286" s="69"/>
      <c r="AY286" s="69"/>
      <c r="AZ286" s="54"/>
      <c r="BA286" s="54"/>
      <c r="BB286" s="54"/>
      <c r="BC286" s="54"/>
      <c r="BD286" s="54"/>
      <c r="BE286" s="70"/>
      <c r="BF286" s="63"/>
      <c r="BG286" s="71">
        <v>0</v>
      </c>
      <c r="BH286" s="67"/>
      <c r="BI286" s="68"/>
      <c r="BJ286" s="72">
        <v>0</v>
      </c>
      <c r="BK286" s="62"/>
      <c r="BL286" s="70"/>
      <c r="BM286" s="70"/>
      <c r="BN286" s="70"/>
      <c r="BO286" s="70"/>
      <c r="BP286" s="73"/>
      <c r="BQ286" s="48"/>
      <c r="BR286" s="63"/>
      <c r="BS286" s="50"/>
      <c r="BT286" s="76" t="e">
        <v>#DIV/0!</v>
      </c>
      <c r="BU286" s="77" t="e">
        <v>#DIV/0!</v>
      </c>
      <c r="BV286" s="78">
        <v>0</v>
      </c>
      <c r="BW286" s="79">
        <v>0</v>
      </c>
      <c r="BX286" s="62"/>
      <c r="BY286" s="63"/>
      <c r="BZ286" s="63"/>
      <c r="CA286" s="63"/>
      <c r="CB286" s="63"/>
      <c r="CC286" s="63"/>
      <c r="CD286" s="63"/>
      <c r="CE286" s="50"/>
    </row>
    <row r="287" spans="2:83" x14ac:dyDescent="0.3">
      <c r="B287" s="46">
        <v>0</v>
      </c>
      <c r="C287" s="47"/>
      <c r="D287" s="48"/>
      <c r="E287" s="49"/>
      <c r="F287" s="50"/>
      <c r="G287" s="51" t="e">
        <v>#DIV/0!</v>
      </c>
      <c r="H287" s="52" t="e">
        <v>#DIV/0!</v>
      </c>
      <c r="I287" s="53"/>
      <c r="J287" s="54"/>
      <c r="K287" s="54"/>
      <c r="L287" s="55"/>
      <c r="M287" s="56"/>
      <c r="N287" s="57">
        <v>0</v>
      </c>
      <c r="O287" s="58"/>
      <c r="P287" s="59"/>
      <c r="Q287" s="81"/>
      <c r="R287" s="82"/>
      <c r="S287" s="48"/>
      <c r="T287" s="50"/>
      <c r="U287" s="62"/>
      <c r="V287" s="63"/>
      <c r="W287" s="50"/>
      <c r="X287" s="48"/>
      <c r="Y287" s="63"/>
      <c r="Z287" s="63"/>
      <c r="AA287" s="64"/>
      <c r="AB287" s="65"/>
      <c r="AC287" s="66"/>
      <c r="AD287" s="67"/>
      <c r="AE287" s="68"/>
      <c r="AF287" s="48"/>
      <c r="AG287" s="63"/>
      <c r="AH287" s="63"/>
      <c r="AI287" s="63"/>
      <c r="AJ287" s="63"/>
      <c r="AK287" s="63"/>
      <c r="AL287" s="63"/>
      <c r="AM287" s="63"/>
      <c r="AN287" s="63"/>
      <c r="AO287" s="63"/>
      <c r="AP287" s="63"/>
      <c r="AQ287" s="63"/>
      <c r="AR287" s="63"/>
      <c r="AS287" s="63"/>
      <c r="AT287" s="63"/>
      <c r="AU287" s="63"/>
      <c r="AV287" s="63"/>
      <c r="AW287" s="50"/>
      <c r="AX287" s="69"/>
      <c r="AY287" s="69"/>
      <c r="AZ287" s="54"/>
      <c r="BA287" s="54"/>
      <c r="BB287" s="54"/>
      <c r="BC287" s="54"/>
      <c r="BD287" s="54"/>
      <c r="BE287" s="70"/>
      <c r="BF287" s="63"/>
      <c r="BG287" s="71">
        <v>0</v>
      </c>
      <c r="BH287" s="67"/>
      <c r="BI287" s="68"/>
      <c r="BJ287" s="72">
        <v>0</v>
      </c>
      <c r="BK287" s="62"/>
      <c r="BL287" s="70"/>
      <c r="BM287" s="70"/>
      <c r="BN287" s="70"/>
      <c r="BO287" s="70"/>
      <c r="BP287" s="73"/>
      <c r="BQ287" s="48"/>
      <c r="BR287" s="63"/>
      <c r="BS287" s="50"/>
      <c r="BT287" s="76" t="e">
        <v>#DIV/0!</v>
      </c>
      <c r="BU287" s="77" t="e">
        <v>#DIV/0!</v>
      </c>
      <c r="BV287" s="78">
        <v>0</v>
      </c>
      <c r="BW287" s="79">
        <v>0</v>
      </c>
      <c r="BX287" s="62"/>
      <c r="BY287" s="63"/>
      <c r="BZ287" s="63"/>
      <c r="CA287" s="63"/>
      <c r="CB287" s="63"/>
      <c r="CC287" s="63"/>
      <c r="CD287" s="63"/>
      <c r="CE287" s="50"/>
    </row>
    <row r="288" spans="2:83" x14ac:dyDescent="0.3">
      <c r="B288" s="46">
        <v>0</v>
      </c>
      <c r="C288" s="47"/>
      <c r="D288" s="48"/>
      <c r="E288" s="49"/>
      <c r="F288" s="50"/>
      <c r="G288" s="51" t="e">
        <v>#DIV/0!</v>
      </c>
      <c r="H288" s="52" t="e">
        <v>#DIV/0!</v>
      </c>
      <c r="I288" s="53"/>
      <c r="J288" s="54"/>
      <c r="K288" s="54"/>
      <c r="L288" s="55"/>
      <c r="M288" s="56"/>
      <c r="N288" s="57">
        <v>0</v>
      </c>
      <c r="O288" s="58"/>
      <c r="P288" s="59"/>
      <c r="Q288" s="81"/>
      <c r="R288" s="82"/>
      <c r="S288" s="48"/>
      <c r="T288" s="50"/>
      <c r="U288" s="62"/>
      <c r="V288" s="63"/>
      <c r="W288" s="50"/>
      <c r="X288" s="48"/>
      <c r="Y288" s="63"/>
      <c r="Z288" s="63"/>
      <c r="AA288" s="64"/>
      <c r="AB288" s="65"/>
      <c r="AC288" s="66"/>
      <c r="AD288" s="67"/>
      <c r="AE288" s="68"/>
      <c r="AF288" s="48"/>
      <c r="AG288" s="63"/>
      <c r="AH288" s="63"/>
      <c r="AI288" s="63"/>
      <c r="AJ288" s="63"/>
      <c r="AK288" s="63"/>
      <c r="AL288" s="63"/>
      <c r="AM288" s="63"/>
      <c r="AN288" s="63"/>
      <c r="AO288" s="63"/>
      <c r="AP288" s="63"/>
      <c r="AQ288" s="63"/>
      <c r="AR288" s="63"/>
      <c r="AS288" s="63"/>
      <c r="AT288" s="63"/>
      <c r="AU288" s="63"/>
      <c r="AV288" s="63"/>
      <c r="AW288" s="50"/>
      <c r="AX288" s="69"/>
      <c r="AY288" s="69"/>
      <c r="AZ288" s="54"/>
      <c r="BA288" s="54"/>
      <c r="BB288" s="54"/>
      <c r="BC288" s="54"/>
      <c r="BD288" s="54"/>
      <c r="BE288" s="70"/>
      <c r="BF288" s="63"/>
      <c r="BG288" s="71">
        <v>0</v>
      </c>
      <c r="BH288" s="67"/>
      <c r="BI288" s="68"/>
      <c r="BJ288" s="72">
        <v>0</v>
      </c>
      <c r="BK288" s="62"/>
      <c r="BL288" s="70"/>
      <c r="BM288" s="70"/>
      <c r="BN288" s="70"/>
      <c r="BO288" s="70"/>
      <c r="BP288" s="73"/>
      <c r="BQ288" s="48"/>
      <c r="BR288" s="63"/>
      <c r="BS288" s="50"/>
      <c r="BT288" s="76" t="e">
        <v>#DIV/0!</v>
      </c>
      <c r="BU288" s="77" t="e">
        <v>#DIV/0!</v>
      </c>
      <c r="BV288" s="78">
        <v>0</v>
      </c>
      <c r="BW288" s="79">
        <v>0</v>
      </c>
      <c r="BX288" s="62"/>
      <c r="BY288" s="63"/>
      <c r="BZ288" s="63"/>
      <c r="CA288" s="63"/>
      <c r="CB288" s="63"/>
      <c r="CC288" s="63"/>
      <c r="CD288" s="63"/>
      <c r="CE288" s="50"/>
    </row>
    <row r="289" spans="2:83" x14ac:dyDescent="0.3">
      <c r="B289" s="46">
        <v>0</v>
      </c>
      <c r="C289" s="47"/>
      <c r="D289" s="48"/>
      <c r="E289" s="49"/>
      <c r="F289" s="50"/>
      <c r="G289" s="51" t="e">
        <v>#DIV/0!</v>
      </c>
      <c r="H289" s="52" t="e">
        <v>#DIV/0!</v>
      </c>
      <c r="I289" s="53"/>
      <c r="J289" s="54"/>
      <c r="K289" s="54"/>
      <c r="L289" s="55"/>
      <c r="M289" s="56"/>
      <c r="N289" s="57">
        <v>0</v>
      </c>
      <c r="O289" s="58"/>
      <c r="P289" s="59"/>
      <c r="Q289" s="81"/>
      <c r="R289" s="82"/>
      <c r="S289" s="48"/>
      <c r="T289" s="50"/>
      <c r="U289" s="62"/>
      <c r="V289" s="63"/>
      <c r="W289" s="50"/>
      <c r="X289" s="48"/>
      <c r="Y289" s="63"/>
      <c r="Z289" s="63"/>
      <c r="AA289" s="64"/>
      <c r="AB289" s="65"/>
      <c r="AC289" s="66"/>
      <c r="AD289" s="67"/>
      <c r="AE289" s="68"/>
      <c r="AF289" s="48"/>
      <c r="AG289" s="63"/>
      <c r="AH289" s="63"/>
      <c r="AI289" s="63"/>
      <c r="AJ289" s="63"/>
      <c r="AK289" s="63"/>
      <c r="AL289" s="63"/>
      <c r="AM289" s="63"/>
      <c r="AN289" s="63"/>
      <c r="AO289" s="63"/>
      <c r="AP289" s="63"/>
      <c r="AQ289" s="63"/>
      <c r="AR289" s="63"/>
      <c r="AS289" s="63"/>
      <c r="AT289" s="63"/>
      <c r="AU289" s="63"/>
      <c r="AV289" s="63"/>
      <c r="AW289" s="50"/>
      <c r="AX289" s="69"/>
      <c r="AY289" s="69"/>
      <c r="AZ289" s="54"/>
      <c r="BA289" s="54"/>
      <c r="BB289" s="54"/>
      <c r="BC289" s="54"/>
      <c r="BD289" s="54"/>
      <c r="BE289" s="70"/>
      <c r="BF289" s="63"/>
      <c r="BG289" s="71">
        <v>0</v>
      </c>
      <c r="BH289" s="67"/>
      <c r="BI289" s="68"/>
      <c r="BJ289" s="72">
        <v>0</v>
      </c>
      <c r="BK289" s="62"/>
      <c r="BL289" s="70"/>
      <c r="BM289" s="70"/>
      <c r="BN289" s="70"/>
      <c r="BO289" s="70"/>
      <c r="BP289" s="73"/>
      <c r="BQ289" s="48"/>
      <c r="BR289" s="63"/>
      <c r="BS289" s="50"/>
      <c r="BT289" s="76" t="e">
        <v>#DIV/0!</v>
      </c>
      <c r="BU289" s="77" t="e">
        <v>#DIV/0!</v>
      </c>
      <c r="BV289" s="78">
        <v>0</v>
      </c>
      <c r="BW289" s="79">
        <v>0</v>
      </c>
      <c r="BX289" s="62"/>
      <c r="BY289" s="63"/>
      <c r="BZ289" s="63"/>
      <c r="CA289" s="63"/>
      <c r="CB289" s="63"/>
      <c r="CC289" s="63"/>
      <c r="CD289" s="63"/>
      <c r="CE289" s="50"/>
    </row>
    <row r="290" spans="2:83" x14ac:dyDescent="0.3">
      <c r="B290" s="46">
        <v>0</v>
      </c>
      <c r="C290" s="47"/>
      <c r="D290" s="48"/>
      <c r="E290" s="49"/>
      <c r="F290" s="50"/>
      <c r="G290" s="51" t="e">
        <v>#DIV/0!</v>
      </c>
      <c r="H290" s="52" t="e">
        <v>#DIV/0!</v>
      </c>
      <c r="I290" s="53"/>
      <c r="J290" s="54"/>
      <c r="K290" s="54"/>
      <c r="L290" s="55"/>
      <c r="M290" s="56"/>
      <c r="N290" s="57">
        <v>0</v>
      </c>
      <c r="O290" s="58"/>
      <c r="P290" s="59"/>
      <c r="Q290" s="81"/>
      <c r="R290" s="82"/>
      <c r="S290" s="48"/>
      <c r="T290" s="50"/>
      <c r="U290" s="62"/>
      <c r="V290" s="63"/>
      <c r="W290" s="50"/>
      <c r="X290" s="48"/>
      <c r="Y290" s="63"/>
      <c r="Z290" s="63"/>
      <c r="AA290" s="64"/>
      <c r="AB290" s="65"/>
      <c r="AC290" s="66"/>
      <c r="AD290" s="67"/>
      <c r="AE290" s="68"/>
      <c r="AF290" s="48"/>
      <c r="AG290" s="63"/>
      <c r="AH290" s="63"/>
      <c r="AI290" s="63"/>
      <c r="AJ290" s="63"/>
      <c r="AK290" s="63"/>
      <c r="AL290" s="63"/>
      <c r="AM290" s="63"/>
      <c r="AN290" s="63"/>
      <c r="AO290" s="63"/>
      <c r="AP290" s="63"/>
      <c r="AQ290" s="63"/>
      <c r="AR290" s="63"/>
      <c r="AS290" s="63"/>
      <c r="AT290" s="63"/>
      <c r="AU290" s="63"/>
      <c r="AV290" s="63"/>
      <c r="AW290" s="50"/>
      <c r="AX290" s="69"/>
      <c r="AY290" s="69"/>
      <c r="AZ290" s="54"/>
      <c r="BA290" s="54"/>
      <c r="BB290" s="54"/>
      <c r="BC290" s="54"/>
      <c r="BD290" s="54"/>
      <c r="BE290" s="70"/>
      <c r="BF290" s="63"/>
      <c r="BG290" s="71">
        <v>0</v>
      </c>
      <c r="BH290" s="67"/>
      <c r="BI290" s="68"/>
      <c r="BJ290" s="72">
        <v>0</v>
      </c>
      <c r="BK290" s="62"/>
      <c r="BL290" s="70"/>
      <c r="BM290" s="70"/>
      <c r="BN290" s="70"/>
      <c r="BO290" s="70"/>
      <c r="BP290" s="73"/>
      <c r="BQ290" s="48"/>
      <c r="BR290" s="63"/>
      <c r="BS290" s="50"/>
      <c r="BT290" s="76" t="e">
        <v>#DIV/0!</v>
      </c>
      <c r="BU290" s="77" t="e">
        <v>#DIV/0!</v>
      </c>
      <c r="BV290" s="78">
        <v>0</v>
      </c>
      <c r="BW290" s="79">
        <v>0</v>
      </c>
      <c r="BX290" s="62"/>
      <c r="BY290" s="63"/>
      <c r="BZ290" s="63"/>
      <c r="CA290" s="63"/>
      <c r="CB290" s="63"/>
      <c r="CC290" s="63"/>
      <c r="CD290" s="63"/>
      <c r="CE290" s="50"/>
    </row>
    <row r="291" spans="2:83" x14ac:dyDescent="0.3">
      <c r="B291" s="46">
        <v>0</v>
      </c>
      <c r="C291" s="47"/>
      <c r="D291" s="48"/>
      <c r="E291" s="49"/>
      <c r="F291" s="50"/>
      <c r="G291" s="51" t="e">
        <v>#DIV/0!</v>
      </c>
      <c r="H291" s="52" t="e">
        <v>#DIV/0!</v>
      </c>
      <c r="I291" s="53"/>
      <c r="J291" s="54"/>
      <c r="K291" s="54"/>
      <c r="L291" s="55"/>
      <c r="M291" s="56"/>
      <c r="N291" s="57">
        <v>0</v>
      </c>
      <c r="O291" s="58"/>
      <c r="P291" s="59"/>
      <c r="Q291" s="81"/>
      <c r="R291" s="82"/>
      <c r="S291" s="48"/>
      <c r="T291" s="50"/>
      <c r="U291" s="62"/>
      <c r="V291" s="63"/>
      <c r="W291" s="50"/>
      <c r="X291" s="48"/>
      <c r="Y291" s="63"/>
      <c r="Z291" s="63"/>
      <c r="AA291" s="64"/>
      <c r="AB291" s="65"/>
      <c r="AC291" s="66"/>
      <c r="AD291" s="67"/>
      <c r="AE291" s="68"/>
      <c r="AF291" s="48"/>
      <c r="AG291" s="63"/>
      <c r="AH291" s="63"/>
      <c r="AI291" s="63"/>
      <c r="AJ291" s="63"/>
      <c r="AK291" s="63"/>
      <c r="AL291" s="63"/>
      <c r="AM291" s="63"/>
      <c r="AN291" s="63"/>
      <c r="AO291" s="63"/>
      <c r="AP291" s="63"/>
      <c r="AQ291" s="63"/>
      <c r="AR291" s="63"/>
      <c r="AS291" s="63"/>
      <c r="AT291" s="63"/>
      <c r="AU291" s="63"/>
      <c r="AV291" s="63"/>
      <c r="AW291" s="50"/>
      <c r="AX291" s="69"/>
      <c r="AY291" s="69"/>
      <c r="AZ291" s="54"/>
      <c r="BA291" s="54"/>
      <c r="BB291" s="54"/>
      <c r="BC291" s="54"/>
      <c r="BD291" s="54"/>
      <c r="BE291" s="70"/>
      <c r="BF291" s="63"/>
      <c r="BG291" s="71">
        <v>0</v>
      </c>
      <c r="BH291" s="67"/>
      <c r="BI291" s="68"/>
      <c r="BJ291" s="72">
        <v>0</v>
      </c>
      <c r="BK291" s="62"/>
      <c r="BL291" s="70"/>
      <c r="BM291" s="70"/>
      <c r="BN291" s="70"/>
      <c r="BO291" s="70"/>
      <c r="BP291" s="73"/>
      <c r="BQ291" s="48"/>
      <c r="BR291" s="63"/>
      <c r="BS291" s="50"/>
      <c r="BT291" s="76" t="e">
        <v>#DIV/0!</v>
      </c>
      <c r="BU291" s="77" t="e">
        <v>#DIV/0!</v>
      </c>
      <c r="BV291" s="78">
        <v>0</v>
      </c>
      <c r="BW291" s="79">
        <v>0</v>
      </c>
      <c r="BX291" s="62"/>
      <c r="BY291" s="63"/>
      <c r="BZ291" s="63"/>
      <c r="CA291" s="63"/>
      <c r="CB291" s="63"/>
      <c r="CC291" s="63"/>
      <c r="CD291" s="63"/>
      <c r="CE291" s="50"/>
    </row>
    <row r="292" spans="2:83" x14ac:dyDescent="0.3">
      <c r="B292" s="46">
        <v>0</v>
      </c>
      <c r="C292" s="47"/>
      <c r="D292" s="48"/>
      <c r="E292" s="49"/>
      <c r="F292" s="50"/>
      <c r="G292" s="51" t="e">
        <v>#DIV/0!</v>
      </c>
      <c r="H292" s="52" t="e">
        <v>#DIV/0!</v>
      </c>
      <c r="I292" s="53"/>
      <c r="J292" s="54"/>
      <c r="K292" s="54"/>
      <c r="L292" s="55"/>
      <c r="M292" s="56"/>
      <c r="N292" s="57">
        <v>0</v>
      </c>
      <c r="O292" s="58"/>
      <c r="P292" s="59"/>
      <c r="Q292" s="81"/>
      <c r="R292" s="82"/>
      <c r="S292" s="48"/>
      <c r="T292" s="50"/>
      <c r="U292" s="62"/>
      <c r="V292" s="63"/>
      <c r="W292" s="50"/>
      <c r="X292" s="48"/>
      <c r="Y292" s="63"/>
      <c r="Z292" s="63"/>
      <c r="AA292" s="64"/>
      <c r="AB292" s="65"/>
      <c r="AC292" s="66"/>
      <c r="AD292" s="67"/>
      <c r="AE292" s="68"/>
      <c r="AF292" s="48"/>
      <c r="AG292" s="63"/>
      <c r="AH292" s="63"/>
      <c r="AI292" s="63"/>
      <c r="AJ292" s="63"/>
      <c r="AK292" s="63"/>
      <c r="AL292" s="63"/>
      <c r="AM292" s="63"/>
      <c r="AN292" s="63"/>
      <c r="AO292" s="63"/>
      <c r="AP292" s="63"/>
      <c r="AQ292" s="63"/>
      <c r="AR292" s="63"/>
      <c r="AS292" s="63"/>
      <c r="AT292" s="63"/>
      <c r="AU292" s="63"/>
      <c r="AV292" s="63"/>
      <c r="AW292" s="50"/>
      <c r="AX292" s="69"/>
      <c r="AY292" s="69"/>
      <c r="AZ292" s="54"/>
      <c r="BA292" s="54"/>
      <c r="BB292" s="54"/>
      <c r="BC292" s="54"/>
      <c r="BD292" s="54"/>
      <c r="BE292" s="70"/>
      <c r="BF292" s="63"/>
      <c r="BG292" s="71">
        <v>0</v>
      </c>
      <c r="BH292" s="67"/>
      <c r="BI292" s="68"/>
      <c r="BJ292" s="72">
        <v>0</v>
      </c>
      <c r="BK292" s="62"/>
      <c r="BL292" s="70"/>
      <c r="BM292" s="70"/>
      <c r="BN292" s="70"/>
      <c r="BO292" s="70"/>
      <c r="BP292" s="73"/>
      <c r="BQ292" s="48"/>
      <c r="BR292" s="63"/>
      <c r="BS292" s="50"/>
      <c r="BT292" s="76" t="e">
        <v>#DIV/0!</v>
      </c>
      <c r="BU292" s="77" t="e">
        <v>#DIV/0!</v>
      </c>
      <c r="BV292" s="78">
        <v>0</v>
      </c>
      <c r="BW292" s="79">
        <v>0</v>
      </c>
      <c r="BX292" s="62"/>
      <c r="BY292" s="63"/>
      <c r="BZ292" s="63"/>
      <c r="CA292" s="63"/>
      <c r="CB292" s="63"/>
      <c r="CC292" s="63"/>
      <c r="CD292" s="63"/>
      <c r="CE292" s="50"/>
    </row>
    <row r="293" spans="2:83" x14ac:dyDescent="0.3">
      <c r="B293" s="46">
        <v>0</v>
      </c>
      <c r="C293" s="47"/>
      <c r="D293" s="48"/>
      <c r="E293" s="49"/>
      <c r="F293" s="50"/>
      <c r="G293" s="51" t="e">
        <v>#DIV/0!</v>
      </c>
      <c r="H293" s="52" t="e">
        <v>#DIV/0!</v>
      </c>
      <c r="I293" s="53"/>
      <c r="J293" s="54"/>
      <c r="K293" s="54"/>
      <c r="L293" s="55"/>
      <c r="M293" s="56"/>
      <c r="N293" s="57">
        <v>0</v>
      </c>
      <c r="O293" s="58"/>
      <c r="P293" s="59"/>
      <c r="Q293" s="81"/>
      <c r="R293" s="82"/>
      <c r="S293" s="48"/>
      <c r="T293" s="50"/>
      <c r="U293" s="62"/>
      <c r="V293" s="63"/>
      <c r="W293" s="50"/>
      <c r="X293" s="48"/>
      <c r="Y293" s="63"/>
      <c r="Z293" s="63"/>
      <c r="AA293" s="64"/>
      <c r="AB293" s="65"/>
      <c r="AC293" s="66"/>
      <c r="AD293" s="67"/>
      <c r="AE293" s="68"/>
      <c r="AF293" s="48"/>
      <c r="AG293" s="63"/>
      <c r="AH293" s="63"/>
      <c r="AI293" s="63"/>
      <c r="AJ293" s="63"/>
      <c r="AK293" s="63"/>
      <c r="AL293" s="63"/>
      <c r="AM293" s="63"/>
      <c r="AN293" s="63"/>
      <c r="AO293" s="63"/>
      <c r="AP293" s="63"/>
      <c r="AQ293" s="63"/>
      <c r="AR293" s="63"/>
      <c r="AS293" s="63"/>
      <c r="AT293" s="63"/>
      <c r="AU293" s="63"/>
      <c r="AV293" s="63"/>
      <c r="AW293" s="50"/>
      <c r="AX293" s="69"/>
      <c r="AY293" s="69"/>
      <c r="AZ293" s="54"/>
      <c r="BA293" s="54"/>
      <c r="BB293" s="54"/>
      <c r="BC293" s="54"/>
      <c r="BD293" s="54"/>
      <c r="BE293" s="70"/>
      <c r="BF293" s="63"/>
      <c r="BG293" s="71">
        <v>0</v>
      </c>
      <c r="BH293" s="67"/>
      <c r="BI293" s="68"/>
      <c r="BJ293" s="72">
        <v>0</v>
      </c>
      <c r="BK293" s="62"/>
      <c r="BL293" s="70"/>
      <c r="BM293" s="70"/>
      <c r="BN293" s="70"/>
      <c r="BO293" s="70"/>
      <c r="BP293" s="73"/>
      <c r="BQ293" s="48"/>
      <c r="BR293" s="63"/>
      <c r="BS293" s="50"/>
      <c r="BT293" s="76" t="e">
        <v>#DIV/0!</v>
      </c>
      <c r="BU293" s="77" t="e">
        <v>#DIV/0!</v>
      </c>
      <c r="BV293" s="78">
        <v>0</v>
      </c>
      <c r="BW293" s="79">
        <v>0</v>
      </c>
      <c r="BX293" s="62"/>
      <c r="BY293" s="63"/>
      <c r="BZ293" s="63"/>
      <c r="CA293" s="63"/>
      <c r="CB293" s="63"/>
      <c r="CC293" s="63"/>
      <c r="CD293" s="63"/>
      <c r="CE293" s="50"/>
    </row>
    <row r="294" spans="2:83" x14ac:dyDescent="0.3">
      <c r="B294" s="46">
        <v>0</v>
      </c>
      <c r="C294" s="47"/>
      <c r="D294" s="48"/>
      <c r="E294" s="49"/>
      <c r="F294" s="50"/>
      <c r="G294" s="51" t="e">
        <v>#DIV/0!</v>
      </c>
      <c r="H294" s="52" t="e">
        <v>#DIV/0!</v>
      </c>
      <c r="I294" s="53"/>
      <c r="J294" s="54"/>
      <c r="K294" s="54"/>
      <c r="L294" s="55"/>
      <c r="M294" s="56"/>
      <c r="N294" s="57">
        <v>0</v>
      </c>
      <c r="O294" s="58"/>
      <c r="P294" s="59"/>
      <c r="Q294" s="81"/>
      <c r="R294" s="82"/>
      <c r="S294" s="48"/>
      <c r="T294" s="50"/>
      <c r="U294" s="62"/>
      <c r="V294" s="63"/>
      <c r="W294" s="50"/>
      <c r="X294" s="48"/>
      <c r="Y294" s="63"/>
      <c r="Z294" s="63"/>
      <c r="AA294" s="64"/>
      <c r="AB294" s="65"/>
      <c r="AC294" s="66"/>
      <c r="AD294" s="67"/>
      <c r="AE294" s="68"/>
      <c r="AF294" s="48"/>
      <c r="AG294" s="63"/>
      <c r="AH294" s="63"/>
      <c r="AI294" s="63"/>
      <c r="AJ294" s="63"/>
      <c r="AK294" s="63"/>
      <c r="AL294" s="63"/>
      <c r="AM294" s="63"/>
      <c r="AN294" s="63"/>
      <c r="AO294" s="63"/>
      <c r="AP294" s="63"/>
      <c r="AQ294" s="63"/>
      <c r="AR294" s="63"/>
      <c r="AS294" s="63"/>
      <c r="AT294" s="63"/>
      <c r="AU294" s="63"/>
      <c r="AV294" s="63"/>
      <c r="AW294" s="50"/>
      <c r="AX294" s="69"/>
      <c r="AY294" s="69"/>
      <c r="AZ294" s="54"/>
      <c r="BA294" s="54"/>
      <c r="BB294" s="54"/>
      <c r="BC294" s="54"/>
      <c r="BD294" s="54"/>
      <c r="BE294" s="70"/>
      <c r="BF294" s="63"/>
      <c r="BG294" s="71">
        <v>0</v>
      </c>
      <c r="BH294" s="67"/>
      <c r="BI294" s="68"/>
      <c r="BJ294" s="72">
        <v>0</v>
      </c>
      <c r="BK294" s="62"/>
      <c r="BL294" s="70"/>
      <c r="BM294" s="70"/>
      <c r="BN294" s="70"/>
      <c r="BO294" s="70"/>
      <c r="BP294" s="73"/>
      <c r="BQ294" s="48"/>
      <c r="BR294" s="63"/>
      <c r="BS294" s="50"/>
      <c r="BT294" s="76" t="e">
        <v>#DIV/0!</v>
      </c>
      <c r="BU294" s="77" t="e">
        <v>#DIV/0!</v>
      </c>
      <c r="BV294" s="78">
        <v>0</v>
      </c>
      <c r="BW294" s="79">
        <v>0</v>
      </c>
      <c r="BX294" s="62"/>
      <c r="BY294" s="63"/>
      <c r="BZ294" s="63"/>
      <c r="CA294" s="63"/>
      <c r="CB294" s="63"/>
      <c r="CC294" s="63"/>
      <c r="CD294" s="63"/>
      <c r="CE294" s="50"/>
    </row>
    <row r="295" spans="2:83" x14ac:dyDescent="0.3">
      <c r="B295" s="46">
        <v>0</v>
      </c>
      <c r="C295" s="47"/>
      <c r="D295" s="48"/>
      <c r="E295" s="49"/>
      <c r="F295" s="50"/>
      <c r="G295" s="51" t="e">
        <v>#DIV/0!</v>
      </c>
      <c r="H295" s="52" t="e">
        <v>#DIV/0!</v>
      </c>
      <c r="I295" s="53"/>
      <c r="J295" s="54"/>
      <c r="K295" s="54"/>
      <c r="L295" s="55"/>
      <c r="M295" s="56"/>
      <c r="N295" s="57">
        <v>0</v>
      </c>
      <c r="O295" s="58"/>
      <c r="P295" s="59"/>
      <c r="Q295" s="81"/>
      <c r="R295" s="82"/>
      <c r="S295" s="48"/>
      <c r="T295" s="50"/>
      <c r="U295" s="62"/>
      <c r="V295" s="63"/>
      <c r="W295" s="50"/>
      <c r="X295" s="48"/>
      <c r="Y295" s="63"/>
      <c r="Z295" s="63"/>
      <c r="AA295" s="64"/>
      <c r="AB295" s="65"/>
      <c r="AC295" s="66"/>
      <c r="AD295" s="67"/>
      <c r="AE295" s="68"/>
      <c r="AF295" s="48"/>
      <c r="AG295" s="63"/>
      <c r="AH295" s="63"/>
      <c r="AI295" s="63"/>
      <c r="AJ295" s="63"/>
      <c r="AK295" s="63"/>
      <c r="AL295" s="63"/>
      <c r="AM295" s="63"/>
      <c r="AN295" s="63"/>
      <c r="AO295" s="63"/>
      <c r="AP295" s="63"/>
      <c r="AQ295" s="63"/>
      <c r="AR295" s="63"/>
      <c r="AS295" s="63"/>
      <c r="AT295" s="63"/>
      <c r="AU295" s="63"/>
      <c r="AV295" s="63"/>
      <c r="AW295" s="50"/>
      <c r="AX295" s="69"/>
      <c r="AY295" s="69"/>
      <c r="AZ295" s="54"/>
      <c r="BA295" s="54"/>
      <c r="BB295" s="54"/>
      <c r="BC295" s="54"/>
      <c r="BD295" s="54"/>
      <c r="BE295" s="70"/>
      <c r="BF295" s="63"/>
      <c r="BG295" s="71">
        <v>0</v>
      </c>
      <c r="BH295" s="67"/>
      <c r="BI295" s="68"/>
      <c r="BJ295" s="72">
        <v>0</v>
      </c>
      <c r="BK295" s="62"/>
      <c r="BL295" s="70"/>
      <c r="BM295" s="70"/>
      <c r="BN295" s="70"/>
      <c r="BO295" s="70"/>
      <c r="BP295" s="73"/>
      <c r="BQ295" s="48"/>
      <c r="BR295" s="63"/>
      <c r="BS295" s="50"/>
      <c r="BT295" s="76" t="e">
        <v>#DIV/0!</v>
      </c>
      <c r="BU295" s="77" t="e">
        <v>#DIV/0!</v>
      </c>
      <c r="BV295" s="78">
        <v>0</v>
      </c>
      <c r="BW295" s="79">
        <v>0</v>
      </c>
      <c r="BX295" s="62"/>
      <c r="BY295" s="63"/>
      <c r="BZ295" s="63"/>
      <c r="CA295" s="63"/>
      <c r="CB295" s="63"/>
      <c r="CC295" s="63"/>
      <c r="CD295" s="63"/>
      <c r="CE295" s="50"/>
    </row>
    <row r="296" spans="2:83" x14ac:dyDescent="0.3">
      <c r="B296" s="46">
        <v>0</v>
      </c>
      <c r="C296" s="47"/>
      <c r="D296" s="48"/>
      <c r="E296" s="49"/>
      <c r="F296" s="50"/>
      <c r="G296" s="51" t="e">
        <v>#DIV/0!</v>
      </c>
      <c r="H296" s="52" t="e">
        <v>#DIV/0!</v>
      </c>
      <c r="I296" s="53"/>
      <c r="J296" s="54"/>
      <c r="K296" s="54"/>
      <c r="L296" s="55"/>
      <c r="M296" s="56"/>
      <c r="N296" s="57">
        <v>0</v>
      </c>
      <c r="O296" s="58"/>
      <c r="P296" s="59"/>
      <c r="Q296" s="81"/>
      <c r="R296" s="82"/>
      <c r="S296" s="48"/>
      <c r="T296" s="50"/>
      <c r="U296" s="62"/>
      <c r="V296" s="63"/>
      <c r="W296" s="50"/>
      <c r="X296" s="48"/>
      <c r="Y296" s="63"/>
      <c r="Z296" s="63"/>
      <c r="AA296" s="64"/>
      <c r="AB296" s="65"/>
      <c r="AC296" s="66"/>
      <c r="AD296" s="67"/>
      <c r="AE296" s="68"/>
      <c r="AF296" s="48"/>
      <c r="AG296" s="63"/>
      <c r="AH296" s="63"/>
      <c r="AI296" s="63"/>
      <c r="AJ296" s="63"/>
      <c r="AK296" s="63"/>
      <c r="AL296" s="63"/>
      <c r="AM296" s="63"/>
      <c r="AN296" s="63"/>
      <c r="AO296" s="63"/>
      <c r="AP296" s="63"/>
      <c r="AQ296" s="63"/>
      <c r="AR296" s="63"/>
      <c r="AS296" s="63"/>
      <c r="AT296" s="63"/>
      <c r="AU296" s="63"/>
      <c r="AV296" s="63"/>
      <c r="AW296" s="50"/>
      <c r="AX296" s="69"/>
      <c r="AY296" s="69"/>
      <c r="AZ296" s="54"/>
      <c r="BA296" s="54"/>
      <c r="BB296" s="54"/>
      <c r="BC296" s="54"/>
      <c r="BD296" s="54"/>
      <c r="BE296" s="70"/>
      <c r="BF296" s="63"/>
      <c r="BG296" s="71">
        <v>0</v>
      </c>
      <c r="BH296" s="67"/>
      <c r="BI296" s="68"/>
      <c r="BJ296" s="72">
        <v>0</v>
      </c>
      <c r="BK296" s="62"/>
      <c r="BL296" s="70"/>
      <c r="BM296" s="70"/>
      <c r="BN296" s="70"/>
      <c r="BO296" s="70"/>
      <c r="BP296" s="73"/>
      <c r="BQ296" s="48"/>
      <c r="BR296" s="63"/>
      <c r="BS296" s="50"/>
      <c r="BT296" s="76" t="e">
        <v>#DIV/0!</v>
      </c>
      <c r="BU296" s="77" t="e">
        <v>#DIV/0!</v>
      </c>
      <c r="BV296" s="78">
        <v>0</v>
      </c>
      <c r="BW296" s="79">
        <v>0</v>
      </c>
      <c r="BX296" s="62"/>
      <c r="BY296" s="63"/>
      <c r="BZ296" s="63"/>
      <c r="CA296" s="63"/>
      <c r="CB296" s="63"/>
      <c r="CC296" s="63"/>
      <c r="CD296" s="63"/>
      <c r="CE296" s="50"/>
    </row>
    <row r="297" spans="2:83" x14ac:dyDescent="0.3">
      <c r="B297" s="46">
        <v>0</v>
      </c>
      <c r="C297" s="47"/>
      <c r="D297" s="48"/>
      <c r="E297" s="49"/>
      <c r="F297" s="50"/>
      <c r="G297" s="51" t="e">
        <v>#DIV/0!</v>
      </c>
      <c r="H297" s="52" t="e">
        <v>#DIV/0!</v>
      </c>
      <c r="I297" s="53"/>
      <c r="J297" s="54"/>
      <c r="K297" s="54"/>
      <c r="L297" s="55"/>
      <c r="M297" s="56"/>
      <c r="N297" s="57">
        <v>0</v>
      </c>
      <c r="O297" s="58"/>
      <c r="P297" s="59"/>
      <c r="Q297" s="81"/>
      <c r="R297" s="82"/>
      <c r="S297" s="48"/>
      <c r="T297" s="50"/>
      <c r="U297" s="62"/>
      <c r="V297" s="63"/>
      <c r="W297" s="50"/>
      <c r="X297" s="48"/>
      <c r="Y297" s="63"/>
      <c r="Z297" s="63"/>
      <c r="AA297" s="64"/>
      <c r="AB297" s="65"/>
      <c r="AC297" s="66"/>
      <c r="AD297" s="67"/>
      <c r="AE297" s="68"/>
      <c r="AF297" s="48"/>
      <c r="AG297" s="63"/>
      <c r="AH297" s="63"/>
      <c r="AI297" s="63"/>
      <c r="AJ297" s="63"/>
      <c r="AK297" s="63"/>
      <c r="AL297" s="63"/>
      <c r="AM297" s="63"/>
      <c r="AN297" s="63"/>
      <c r="AO297" s="63"/>
      <c r="AP297" s="63"/>
      <c r="AQ297" s="63"/>
      <c r="AR297" s="63"/>
      <c r="AS297" s="63"/>
      <c r="AT297" s="63"/>
      <c r="AU297" s="63"/>
      <c r="AV297" s="63"/>
      <c r="AW297" s="50"/>
      <c r="AX297" s="69"/>
      <c r="AY297" s="69"/>
      <c r="AZ297" s="54"/>
      <c r="BA297" s="54"/>
      <c r="BB297" s="54"/>
      <c r="BC297" s="54"/>
      <c r="BD297" s="54"/>
      <c r="BE297" s="70"/>
      <c r="BF297" s="63"/>
      <c r="BG297" s="71">
        <v>0</v>
      </c>
      <c r="BH297" s="67"/>
      <c r="BI297" s="68"/>
      <c r="BJ297" s="72">
        <v>0</v>
      </c>
      <c r="BK297" s="62"/>
      <c r="BL297" s="70"/>
      <c r="BM297" s="70"/>
      <c r="BN297" s="70"/>
      <c r="BO297" s="70"/>
      <c r="BP297" s="73"/>
      <c r="BQ297" s="48"/>
      <c r="BR297" s="63"/>
      <c r="BS297" s="50"/>
      <c r="BT297" s="76" t="e">
        <v>#DIV/0!</v>
      </c>
      <c r="BU297" s="77" t="e">
        <v>#DIV/0!</v>
      </c>
      <c r="BV297" s="78">
        <v>0</v>
      </c>
      <c r="BW297" s="79">
        <v>0</v>
      </c>
      <c r="BX297" s="62"/>
      <c r="BY297" s="63"/>
      <c r="BZ297" s="63"/>
      <c r="CA297" s="63"/>
      <c r="CB297" s="63"/>
      <c r="CC297" s="63"/>
      <c r="CD297" s="63"/>
      <c r="CE297" s="50"/>
    </row>
    <row r="298" spans="2:83" x14ac:dyDescent="0.3">
      <c r="B298" s="46">
        <v>0</v>
      </c>
      <c r="C298" s="47"/>
      <c r="D298" s="48"/>
      <c r="E298" s="49"/>
      <c r="F298" s="50"/>
      <c r="G298" s="51" t="e">
        <v>#DIV/0!</v>
      </c>
      <c r="H298" s="52" t="e">
        <v>#DIV/0!</v>
      </c>
      <c r="I298" s="53"/>
      <c r="J298" s="54"/>
      <c r="K298" s="54"/>
      <c r="L298" s="55"/>
      <c r="M298" s="56"/>
      <c r="N298" s="57">
        <v>0</v>
      </c>
      <c r="O298" s="58"/>
      <c r="P298" s="59"/>
      <c r="Q298" s="81"/>
      <c r="R298" s="82"/>
      <c r="S298" s="48"/>
      <c r="T298" s="50"/>
      <c r="U298" s="62"/>
      <c r="V298" s="63"/>
      <c r="W298" s="50"/>
      <c r="X298" s="48"/>
      <c r="Y298" s="63"/>
      <c r="Z298" s="63"/>
      <c r="AA298" s="64"/>
      <c r="AB298" s="65"/>
      <c r="AC298" s="66"/>
      <c r="AD298" s="67"/>
      <c r="AE298" s="68"/>
      <c r="AF298" s="48"/>
      <c r="AG298" s="63"/>
      <c r="AH298" s="63"/>
      <c r="AI298" s="63"/>
      <c r="AJ298" s="63"/>
      <c r="AK298" s="63"/>
      <c r="AL298" s="63"/>
      <c r="AM298" s="63"/>
      <c r="AN298" s="63"/>
      <c r="AO298" s="63"/>
      <c r="AP298" s="63"/>
      <c r="AQ298" s="63"/>
      <c r="AR298" s="63"/>
      <c r="AS298" s="63"/>
      <c r="AT298" s="63"/>
      <c r="AU298" s="63"/>
      <c r="AV298" s="63"/>
      <c r="AW298" s="50"/>
      <c r="AX298" s="69"/>
      <c r="AY298" s="69"/>
      <c r="AZ298" s="54"/>
      <c r="BA298" s="54"/>
      <c r="BB298" s="54"/>
      <c r="BC298" s="54"/>
      <c r="BD298" s="54"/>
      <c r="BE298" s="70"/>
      <c r="BF298" s="63"/>
      <c r="BG298" s="71">
        <v>0</v>
      </c>
      <c r="BH298" s="67"/>
      <c r="BI298" s="68"/>
      <c r="BJ298" s="72">
        <v>0</v>
      </c>
      <c r="BK298" s="62"/>
      <c r="BL298" s="70"/>
      <c r="BM298" s="70"/>
      <c r="BN298" s="70"/>
      <c r="BO298" s="70"/>
      <c r="BP298" s="73"/>
      <c r="BQ298" s="48"/>
      <c r="BR298" s="63"/>
      <c r="BS298" s="50"/>
      <c r="BT298" s="76" t="e">
        <v>#DIV/0!</v>
      </c>
      <c r="BU298" s="77" t="e">
        <v>#DIV/0!</v>
      </c>
      <c r="BV298" s="78">
        <v>0</v>
      </c>
      <c r="BW298" s="79">
        <v>0</v>
      </c>
      <c r="BX298" s="62"/>
      <c r="BY298" s="63"/>
      <c r="BZ298" s="63"/>
      <c r="CA298" s="63"/>
      <c r="CB298" s="63"/>
      <c r="CC298" s="63"/>
      <c r="CD298" s="63"/>
      <c r="CE298" s="50"/>
    </row>
    <row r="299" spans="2:83" x14ac:dyDescent="0.3">
      <c r="B299" s="46">
        <v>0</v>
      </c>
      <c r="C299" s="47"/>
      <c r="D299" s="48"/>
      <c r="E299" s="49"/>
      <c r="F299" s="50"/>
      <c r="G299" s="51" t="e">
        <v>#DIV/0!</v>
      </c>
      <c r="H299" s="52" t="e">
        <v>#DIV/0!</v>
      </c>
      <c r="I299" s="53"/>
      <c r="J299" s="54"/>
      <c r="K299" s="54"/>
      <c r="L299" s="55"/>
      <c r="M299" s="56"/>
      <c r="N299" s="57">
        <v>0</v>
      </c>
      <c r="O299" s="58"/>
      <c r="P299" s="59"/>
      <c r="Q299" s="81"/>
      <c r="R299" s="82"/>
      <c r="S299" s="48"/>
      <c r="T299" s="50"/>
      <c r="U299" s="62"/>
      <c r="V299" s="63"/>
      <c r="W299" s="50"/>
      <c r="X299" s="48"/>
      <c r="Y299" s="63"/>
      <c r="Z299" s="63"/>
      <c r="AA299" s="64"/>
      <c r="AB299" s="65"/>
      <c r="AC299" s="66"/>
      <c r="AD299" s="67"/>
      <c r="AE299" s="68"/>
      <c r="AF299" s="48"/>
      <c r="AG299" s="63"/>
      <c r="AH299" s="63"/>
      <c r="AI299" s="63"/>
      <c r="AJ299" s="63"/>
      <c r="AK299" s="63"/>
      <c r="AL299" s="63"/>
      <c r="AM299" s="63"/>
      <c r="AN299" s="63"/>
      <c r="AO299" s="63"/>
      <c r="AP299" s="63"/>
      <c r="AQ299" s="63"/>
      <c r="AR299" s="63"/>
      <c r="AS299" s="63"/>
      <c r="AT299" s="63"/>
      <c r="AU299" s="63"/>
      <c r="AV299" s="63"/>
      <c r="AW299" s="50"/>
      <c r="AX299" s="69"/>
      <c r="AY299" s="69"/>
      <c r="AZ299" s="54"/>
      <c r="BA299" s="54"/>
      <c r="BB299" s="54"/>
      <c r="BC299" s="54"/>
      <c r="BD299" s="54"/>
      <c r="BE299" s="70"/>
      <c r="BF299" s="63"/>
      <c r="BG299" s="71">
        <v>0</v>
      </c>
      <c r="BH299" s="67"/>
      <c r="BI299" s="68"/>
      <c r="BJ299" s="72">
        <v>0</v>
      </c>
      <c r="BK299" s="62"/>
      <c r="BL299" s="70"/>
      <c r="BM299" s="70"/>
      <c r="BN299" s="70"/>
      <c r="BO299" s="70"/>
      <c r="BP299" s="73"/>
      <c r="BQ299" s="48"/>
      <c r="BR299" s="63"/>
      <c r="BS299" s="50"/>
      <c r="BT299" s="76" t="e">
        <v>#DIV/0!</v>
      </c>
      <c r="BU299" s="77" t="e">
        <v>#DIV/0!</v>
      </c>
      <c r="BV299" s="78">
        <v>0</v>
      </c>
      <c r="BW299" s="79">
        <v>0</v>
      </c>
      <c r="BX299" s="62"/>
      <c r="BY299" s="63"/>
      <c r="BZ299" s="63"/>
      <c r="CA299" s="63"/>
      <c r="CB299" s="63"/>
      <c r="CC299" s="63"/>
      <c r="CD299" s="63"/>
      <c r="CE299" s="50"/>
    </row>
    <row r="300" spans="2:83" x14ac:dyDescent="0.3">
      <c r="B300" s="46">
        <v>0</v>
      </c>
      <c r="C300" s="47"/>
      <c r="D300" s="48"/>
      <c r="E300" s="49"/>
      <c r="F300" s="50"/>
      <c r="G300" s="51" t="e">
        <v>#DIV/0!</v>
      </c>
      <c r="H300" s="52" t="e">
        <v>#DIV/0!</v>
      </c>
      <c r="I300" s="53"/>
      <c r="J300" s="54"/>
      <c r="K300" s="54"/>
      <c r="L300" s="55"/>
      <c r="M300" s="56"/>
      <c r="N300" s="57">
        <v>0</v>
      </c>
      <c r="O300" s="58"/>
      <c r="P300" s="59"/>
      <c r="Q300" s="81"/>
      <c r="R300" s="82"/>
      <c r="S300" s="48"/>
      <c r="T300" s="50"/>
      <c r="U300" s="62"/>
      <c r="V300" s="63"/>
      <c r="W300" s="50"/>
      <c r="X300" s="48"/>
      <c r="Y300" s="63"/>
      <c r="Z300" s="63"/>
      <c r="AA300" s="64"/>
      <c r="AB300" s="65"/>
      <c r="AC300" s="66"/>
      <c r="AD300" s="67"/>
      <c r="AE300" s="68"/>
      <c r="AF300" s="48"/>
      <c r="AG300" s="63"/>
      <c r="AH300" s="63"/>
      <c r="AI300" s="63"/>
      <c r="AJ300" s="63"/>
      <c r="AK300" s="63"/>
      <c r="AL300" s="63"/>
      <c r="AM300" s="63"/>
      <c r="AN300" s="63"/>
      <c r="AO300" s="63"/>
      <c r="AP300" s="63"/>
      <c r="AQ300" s="63"/>
      <c r="AR300" s="63"/>
      <c r="AS300" s="63"/>
      <c r="AT300" s="63"/>
      <c r="AU300" s="63"/>
      <c r="AV300" s="63"/>
      <c r="AW300" s="50"/>
      <c r="AX300" s="69"/>
      <c r="AY300" s="69"/>
      <c r="AZ300" s="54"/>
      <c r="BA300" s="54"/>
      <c r="BB300" s="54"/>
      <c r="BC300" s="54"/>
      <c r="BD300" s="54"/>
      <c r="BE300" s="70"/>
      <c r="BF300" s="63"/>
      <c r="BG300" s="71">
        <v>0</v>
      </c>
      <c r="BH300" s="67"/>
      <c r="BI300" s="68"/>
      <c r="BJ300" s="72">
        <v>0</v>
      </c>
      <c r="BK300" s="62"/>
      <c r="BL300" s="70"/>
      <c r="BM300" s="70"/>
      <c r="BN300" s="70"/>
      <c r="BO300" s="70"/>
      <c r="BP300" s="73"/>
      <c r="BQ300" s="48"/>
      <c r="BR300" s="63"/>
      <c r="BS300" s="50"/>
      <c r="BT300" s="76" t="e">
        <v>#DIV/0!</v>
      </c>
      <c r="BU300" s="77" t="e">
        <v>#DIV/0!</v>
      </c>
      <c r="BV300" s="78">
        <v>0</v>
      </c>
      <c r="BW300" s="79">
        <v>0</v>
      </c>
      <c r="BX300" s="62"/>
      <c r="BY300" s="63"/>
      <c r="BZ300" s="63"/>
      <c r="CA300" s="63"/>
      <c r="CB300" s="63"/>
      <c r="CC300" s="63"/>
      <c r="CD300" s="63"/>
      <c r="CE300" s="50"/>
    </row>
    <row r="301" spans="2:83" x14ac:dyDescent="0.3">
      <c r="B301" s="46">
        <v>0</v>
      </c>
      <c r="C301" s="47"/>
      <c r="D301" s="48"/>
      <c r="E301" s="49"/>
      <c r="F301" s="50"/>
      <c r="G301" s="51" t="e">
        <v>#DIV/0!</v>
      </c>
      <c r="H301" s="52" t="e">
        <v>#DIV/0!</v>
      </c>
      <c r="I301" s="53"/>
      <c r="J301" s="54"/>
      <c r="K301" s="54"/>
      <c r="L301" s="55"/>
      <c r="M301" s="56"/>
      <c r="N301" s="57">
        <v>0</v>
      </c>
      <c r="O301" s="58"/>
      <c r="P301" s="59"/>
      <c r="Q301" s="81"/>
      <c r="R301" s="82"/>
      <c r="S301" s="48"/>
      <c r="T301" s="50"/>
      <c r="U301" s="62"/>
      <c r="V301" s="63"/>
      <c r="W301" s="50"/>
      <c r="X301" s="48"/>
      <c r="Y301" s="63"/>
      <c r="Z301" s="63"/>
      <c r="AA301" s="64"/>
      <c r="AB301" s="65"/>
      <c r="AC301" s="66"/>
      <c r="AD301" s="67"/>
      <c r="AE301" s="68"/>
      <c r="AF301" s="48"/>
      <c r="AG301" s="63"/>
      <c r="AH301" s="63"/>
      <c r="AI301" s="63"/>
      <c r="AJ301" s="63"/>
      <c r="AK301" s="63"/>
      <c r="AL301" s="63"/>
      <c r="AM301" s="63"/>
      <c r="AN301" s="63"/>
      <c r="AO301" s="63"/>
      <c r="AP301" s="63"/>
      <c r="AQ301" s="63"/>
      <c r="AR301" s="63"/>
      <c r="AS301" s="63"/>
      <c r="AT301" s="63"/>
      <c r="AU301" s="63"/>
      <c r="AV301" s="63"/>
      <c r="AW301" s="50"/>
      <c r="AX301" s="69"/>
      <c r="AY301" s="69"/>
      <c r="AZ301" s="54"/>
      <c r="BA301" s="54"/>
      <c r="BB301" s="54"/>
      <c r="BC301" s="54"/>
      <c r="BD301" s="54"/>
      <c r="BE301" s="70"/>
      <c r="BF301" s="63"/>
      <c r="BG301" s="71">
        <v>0</v>
      </c>
      <c r="BH301" s="67"/>
      <c r="BI301" s="68"/>
      <c r="BJ301" s="72">
        <v>0</v>
      </c>
      <c r="BK301" s="62"/>
      <c r="BL301" s="70"/>
      <c r="BM301" s="70"/>
      <c r="BN301" s="70"/>
      <c r="BO301" s="70"/>
      <c r="BP301" s="73"/>
      <c r="BQ301" s="48"/>
      <c r="BR301" s="63"/>
      <c r="BS301" s="50"/>
      <c r="BT301" s="76" t="e">
        <v>#DIV/0!</v>
      </c>
      <c r="BU301" s="77" t="e">
        <v>#DIV/0!</v>
      </c>
      <c r="BV301" s="78">
        <v>0</v>
      </c>
      <c r="BW301" s="79">
        <v>0</v>
      </c>
      <c r="BX301" s="62"/>
      <c r="BY301" s="63"/>
      <c r="BZ301" s="63"/>
      <c r="CA301" s="63"/>
      <c r="CB301" s="63"/>
      <c r="CC301" s="63"/>
      <c r="CD301" s="63"/>
      <c r="CE301" s="50"/>
    </row>
    <row r="302" spans="2:83" x14ac:dyDescent="0.3">
      <c r="B302" s="46">
        <v>0</v>
      </c>
      <c r="C302" s="47"/>
      <c r="D302" s="48"/>
      <c r="E302" s="49"/>
      <c r="F302" s="50"/>
      <c r="G302" s="51" t="e">
        <v>#DIV/0!</v>
      </c>
      <c r="H302" s="52" t="e">
        <v>#DIV/0!</v>
      </c>
      <c r="I302" s="53"/>
      <c r="J302" s="54"/>
      <c r="K302" s="54"/>
      <c r="L302" s="55"/>
      <c r="M302" s="56"/>
      <c r="N302" s="57">
        <v>0</v>
      </c>
      <c r="O302" s="58"/>
      <c r="P302" s="59"/>
      <c r="Q302" s="81"/>
      <c r="R302" s="82"/>
      <c r="S302" s="48"/>
      <c r="T302" s="50"/>
      <c r="U302" s="62"/>
      <c r="V302" s="63"/>
      <c r="W302" s="50"/>
      <c r="X302" s="48"/>
      <c r="Y302" s="63"/>
      <c r="Z302" s="63"/>
      <c r="AA302" s="64"/>
      <c r="AB302" s="65"/>
      <c r="AC302" s="66"/>
      <c r="AD302" s="67"/>
      <c r="AE302" s="68"/>
      <c r="AF302" s="48"/>
      <c r="AG302" s="63"/>
      <c r="AH302" s="63"/>
      <c r="AI302" s="63"/>
      <c r="AJ302" s="63"/>
      <c r="AK302" s="63"/>
      <c r="AL302" s="63"/>
      <c r="AM302" s="63"/>
      <c r="AN302" s="63"/>
      <c r="AO302" s="63"/>
      <c r="AP302" s="63"/>
      <c r="AQ302" s="63"/>
      <c r="AR302" s="63"/>
      <c r="AS302" s="63"/>
      <c r="AT302" s="63"/>
      <c r="AU302" s="63"/>
      <c r="AV302" s="63"/>
      <c r="AW302" s="50"/>
      <c r="AX302" s="69"/>
      <c r="AY302" s="69"/>
      <c r="AZ302" s="54"/>
      <c r="BA302" s="54"/>
      <c r="BB302" s="54"/>
      <c r="BC302" s="54"/>
      <c r="BD302" s="54"/>
      <c r="BE302" s="70"/>
      <c r="BF302" s="63"/>
      <c r="BG302" s="71">
        <v>0</v>
      </c>
      <c r="BH302" s="67"/>
      <c r="BI302" s="68"/>
      <c r="BJ302" s="72">
        <v>0</v>
      </c>
      <c r="BK302" s="62"/>
      <c r="BL302" s="70"/>
      <c r="BM302" s="70"/>
      <c r="BN302" s="70"/>
      <c r="BO302" s="70"/>
      <c r="BP302" s="73"/>
      <c r="BQ302" s="48"/>
      <c r="BR302" s="63"/>
      <c r="BS302" s="50"/>
      <c r="BT302" s="76" t="e">
        <v>#DIV/0!</v>
      </c>
      <c r="BU302" s="77" t="e">
        <v>#DIV/0!</v>
      </c>
      <c r="BV302" s="78">
        <v>0</v>
      </c>
      <c r="BW302" s="79">
        <v>0</v>
      </c>
      <c r="BX302" s="62"/>
      <c r="BY302" s="63"/>
      <c r="BZ302" s="63"/>
      <c r="CA302" s="63"/>
      <c r="CB302" s="63"/>
      <c r="CC302" s="63"/>
      <c r="CD302" s="63"/>
      <c r="CE302" s="50"/>
    </row>
    <row r="303" spans="2:83" x14ac:dyDescent="0.3">
      <c r="B303" s="46">
        <v>0</v>
      </c>
      <c r="C303" s="47"/>
      <c r="D303" s="48"/>
      <c r="E303" s="49"/>
      <c r="F303" s="50"/>
      <c r="G303" s="51" t="e">
        <v>#DIV/0!</v>
      </c>
      <c r="H303" s="52" t="e">
        <v>#DIV/0!</v>
      </c>
      <c r="I303" s="53"/>
      <c r="J303" s="54"/>
      <c r="K303" s="54"/>
      <c r="L303" s="55"/>
      <c r="M303" s="56"/>
      <c r="N303" s="57">
        <v>0</v>
      </c>
      <c r="O303" s="58"/>
      <c r="P303" s="59"/>
      <c r="Q303" s="81"/>
      <c r="R303" s="82"/>
      <c r="S303" s="48"/>
      <c r="T303" s="50"/>
      <c r="U303" s="62"/>
      <c r="V303" s="63"/>
      <c r="W303" s="50"/>
      <c r="X303" s="48"/>
      <c r="Y303" s="63"/>
      <c r="Z303" s="63"/>
      <c r="AA303" s="64"/>
      <c r="AB303" s="65"/>
      <c r="AC303" s="66"/>
      <c r="AD303" s="67"/>
      <c r="AE303" s="68"/>
      <c r="AF303" s="48"/>
      <c r="AG303" s="63"/>
      <c r="AH303" s="63"/>
      <c r="AI303" s="63"/>
      <c r="AJ303" s="63"/>
      <c r="AK303" s="63"/>
      <c r="AL303" s="63"/>
      <c r="AM303" s="63"/>
      <c r="AN303" s="63"/>
      <c r="AO303" s="63"/>
      <c r="AP303" s="63"/>
      <c r="AQ303" s="63"/>
      <c r="AR303" s="63"/>
      <c r="AS303" s="63"/>
      <c r="AT303" s="63"/>
      <c r="AU303" s="63"/>
      <c r="AV303" s="63"/>
      <c r="AW303" s="50"/>
      <c r="AX303" s="69"/>
      <c r="AY303" s="69"/>
      <c r="AZ303" s="54"/>
      <c r="BA303" s="54"/>
      <c r="BB303" s="54"/>
      <c r="BC303" s="54"/>
      <c r="BD303" s="54"/>
      <c r="BE303" s="70"/>
      <c r="BF303" s="63"/>
      <c r="BG303" s="71">
        <v>0</v>
      </c>
      <c r="BH303" s="67"/>
      <c r="BI303" s="68"/>
      <c r="BJ303" s="72">
        <v>0</v>
      </c>
      <c r="BK303" s="62"/>
      <c r="BL303" s="70"/>
      <c r="BM303" s="70"/>
      <c r="BN303" s="70"/>
      <c r="BO303" s="70"/>
      <c r="BP303" s="73"/>
      <c r="BQ303" s="48"/>
      <c r="BR303" s="63"/>
      <c r="BS303" s="50"/>
      <c r="BT303" s="76" t="e">
        <v>#DIV/0!</v>
      </c>
      <c r="BU303" s="77" t="e">
        <v>#DIV/0!</v>
      </c>
      <c r="BV303" s="78">
        <v>0</v>
      </c>
      <c r="BW303" s="79">
        <v>0</v>
      </c>
      <c r="BX303" s="62"/>
      <c r="BY303" s="63"/>
      <c r="BZ303" s="63"/>
      <c r="CA303" s="63"/>
      <c r="CB303" s="63"/>
      <c r="CC303" s="63"/>
      <c r="CD303" s="63"/>
      <c r="CE303" s="50"/>
    </row>
    <row r="304" spans="2:83" x14ac:dyDescent="0.3">
      <c r="B304" s="46">
        <v>0</v>
      </c>
      <c r="C304" s="47"/>
      <c r="D304" s="48"/>
      <c r="E304" s="49"/>
      <c r="F304" s="50"/>
      <c r="G304" s="51" t="e">
        <v>#DIV/0!</v>
      </c>
      <c r="H304" s="52" t="e">
        <v>#DIV/0!</v>
      </c>
      <c r="I304" s="53"/>
      <c r="J304" s="54"/>
      <c r="K304" s="54"/>
      <c r="L304" s="55"/>
      <c r="M304" s="56"/>
      <c r="N304" s="57">
        <v>0</v>
      </c>
      <c r="O304" s="58"/>
      <c r="P304" s="59"/>
      <c r="Q304" s="81"/>
      <c r="R304" s="82"/>
      <c r="S304" s="48"/>
      <c r="T304" s="50"/>
      <c r="U304" s="62"/>
      <c r="V304" s="63"/>
      <c r="W304" s="50"/>
      <c r="X304" s="48"/>
      <c r="Y304" s="63"/>
      <c r="Z304" s="63"/>
      <c r="AA304" s="64"/>
      <c r="AB304" s="65"/>
      <c r="AC304" s="66"/>
      <c r="AD304" s="67"/>
      <c r="AE304" s="68"/>
      <c r="AF304" s="48"/>
      <c r="AG304" s="63"/>
      <c r="AH304" s="63"/>
      <c r="AI304" s="63"/>
      <c r="AJ304" s="63"/>
      <c r="AK304" s="63"/>
      <c r="AL304" s="63"/>
      <c r="AM304" s="63"/>
      <c r="AN304" s="63"/>
      <c r="AO304" s="63"/>
      <c r="AP304" s="63"/>
      <c r="AQ304" s="63"/>
      <c r="AR304" s="63"/>
      <c r="AS304" s="63"/>
      <c r="AT304" s="63"/>
      <c r="AU304" s="63"/>
      <c r="AV304" s="63"/>
      <c r="AW304" s="50"/>
      <c r="AX304" s="69"/>
      <c r="AY304" s="69"/>
      <c r="AZ304" s="54"/>
      <c r="BA304" s="54"/>
      <c r="BB304" s="54"/>
      <c r="BC304" s="54"/>
      <c r="BD304" s="54"/>
      <c r="BE304" s="70"/>
      <c r="BF304" s="63"/>
      <c r="BG304" s="71">
        <v>0</v>
      </c>
      <c r="BH304" s="67"/>
      <c r="BI304" s="68"/>
      <c r="BJ304" s="72">
        <v>0</v>
      </c>
      <c r="BK304" s="62"/>
      <c r="BL304" s="70"/>
      <c r="BM304" s="70"/>
      <c r="BN304" s="70"/>
      <c r="BO304" s="70"/>
      <c r="BP304" s="73"/>
      <c r="BQ304" s="48"/>
      <c r="BR304" s="63"/>
      <c r="BS304" s="50"/>
      <c r="BT304" s="76" t="e">
        <v>#DIV/0!</v>
      </c>
      <c r="BU304" s="77" t="e">
        <v>#DIV/0!</v>
      </c>
      <c r="BV304" s="78">
        <v>0</v>
      </c>
      <c r="BW304" s="79">
        <v>0</v>
      </c>
      <c r="BX304" s="62"/>
      <c r="BY304" s="63"/>
      <c r="BZ304" s="63"/>
      <c r="CA304" s="63"/>
      <c r="CB304" s="63"/>
      <c r="CC304" s="63"/>
      <c r="CD304" s="63"/>
      <c r="CE304" s="50"/>
    </row>
    <row r="305" spans="2:83" x14ac:dyDescent="0.3">
      <c r="B305" s="46">
        <v>0</v>
      </c>
      <c r="C305" s="47"/>
      <c r="D305" s="48"/>
      <c r="E305" s="49"/>
      <c r="F305" s="50"/>
      <c r="G305" s="51" t="e">
        <v>#DIV/0!</v>
      </c>
      <c r="H305" s="52" t="e">
        <v>#DIV/0!</v>
      </c>
      <c r="I305" s="53"/>
      <c r="J305" s="54"/>
      <c r="K305" s="54"/>
      <c r="L305" s="55"/>
      <c r="M305" s="56"/>
      <c r="N305" s="57">
        <v>0</v>
      </c>
      <c r="O305" s="58"/>
      <c r="P305" s="59"/>
      <c r="Q305" s="81"/>
      <c r="R305" s="82"/>
      <c r="S305" s="48"/>
      <c r="T305" s="50"/>
      <c r="U305" s="62"/>
      <c r="V305" s="63"/>
      <c r="W305" s="50"/>
      <c r="X305" s="48"/>
      <c r="Y305" s="63"/>
      <c r="Z305" s="63"/>
      <c r="AA305" s="64"/>
      <c r="AB305" s="65"/>
      <c r="AC305" s="66"/>
      <c r="AD305" s="67"/>
      <c r="AE305" s="68"/>
      <c r="AF305" s="48"/>
      <c r="AG305" s="63"/>
      <c r="AH305" s="63"/>
      <c r="AI305" s="63"/>
      <c r="AJ305" s="63"/>
      <c r="AK305" s="63"/>
      <c r="AL305" s="63"/>
      <c r="AM305" s="63"/>
      <c r="AN305" s="63"/>
      <c r="AO305" s="63"/>
      <c r="AP305" s="63"/>
      <c r="AQ305" s="63"/>
      <c r="AR305" s="63"/>
      <c r="AS305" s="63"/>
      <c r="AT305" s="63"/>
      <c r="AU305" s="63"/>
      <c r="AV305" s="63"/>
      <c r="AW305" s="50"/>
      <c r="AX305" s="69"/>
      <c r="AY305" s="69"/>
      <c r="AZ305" s="54"/>
      <c r="BA305" s="54"/>
      <c r="BB305" s="54"/>
      <c r="BC305" s="54"/>
      <c r="BD305" s="54"/>
      <c r="BE305" s="70"/>
      <c r="BF305" s="63"/>
      <c r="BG305" s="71">
        <v>0</v>
      </c>
      <c r="BH305" s="67"/>
      <c r="BI305" s="68"/>
      <c r="BJ305" s="72">
        <v>0</v>
      </c>
      <c r="BK305" s="62"/>
      <c r="BL305" s="70"/>
      <c r="BM305" s="70"/>
      <c r="BN305" s="70"/>
      <c r="BO305" s="70"/>
      <c r="BP305" s="73"/>
      <c r="BQ305" s="48"/>
      <c r="BR305" s="63"/>
      <c r="BS305" s="50"/>
      <c r="BT305" s="76" t="e">
        <v>#DIV/0!</v>
      </c>
      <c r="BU305" s="77" t="e">
        <v>#DIV/0!</v>
      </c>
      <c r="BV305" s="78">
        <v>0</v>
      </c>
      <c r="BW305" s="79">
        <v>0</v>
      </c>
      <c r="BX305" s="62"/>
      <c r="BY305" s="63"/>
      <c r="BZ305" s="63"/>
      <c r="CA305" s="63"/>
      <c r="CB305" s="63"/>
      <c r="CC305" s="63"/>
      <c r="CD305" s="63"/>
      <c r="CE305" s="50"/>
    </row>
    <row r="306" spans="2:83" x14ac:dyDescent="0.3">
      <c r="B306" s="46">
        <v>0</v>
      </c>
      <c r="C306" s="47"/>
      <c r="D306" s="48"/>
      <c r="E306" s="49"/>
      <c r="F306" s="50"/>
      <c r="G306" s="51" t="e">
        <v>#DIV/0!</v>
      </c>
      <c r="H306" s="52" t="e">
        <v>#DIV/0!</v>
      </c>
      <c r="I306" s="53"/>
      <c r="J306" s="54"/>
      <c r="K306" s="54"/>
      <c r="L306" s="55"/>
      <c r="M306" s="56"/>
      <c r="N306" s="57">
        <v>0</v>
      </c>
      <c r="O306" s="58"/>
      <c r="P306" s="59"/>
      <c r="Q306" s="81"/>
      <c r="R306" s="82"/>
      <c r="S306" s="48"/>
      <c r="T306" s="50"/>
      <c r="U306" s="62"/>
      <c r="V306" s="63"/>
      <c r="W306" s="50"/>
      <c r="X306" s="48"/>
      <c r="Y306" s="63"/>
      <c r="Z306" s="63"/>
      <c r="AA306" s="64"/>
      <c r="AB306" s="65"/>
      <c r="AC306" s="66"/>
      <c r="AD306" s="67"/>
      <c r="AE306" s="68"/>
      <c r="AF306" s="48"/>
      <c r="AG306" s="63"/>
      <c r="AH306" s="63"/>
      <c r="AI306" s="63"/>
      <c r="AJ306" s="63"/>
      <c r="AK306" s="63"/>
      <c r="AL306" s="63"/>
      <c r="AM306" s="63"/>
      <c r="AN306" s="63"/>
      <c r="AO306" s="63"/>
      <c r="AP306" s="63"/>
      <c r="AQ306" s="63"/>
      <c r="AR306" s="63"/>
      <c r="AS306" s="63"/>
      <c r="AT306" s="63"/>
      <c r="AU306" s="63"/>
      <c r="AV306" s="63"/>
      <c r="AW306" s="50"/>
      <c r="AX306" s="69"/>
      <c r="AY306" s="69"/>
      <c r="AZ306" s="54"/>
      <c r="BA306" s="54"/>
      <c r="BB306" s="54"/>
      <c r="BC306" s="54"/>
      <c r="BD306" s="54"/>
      <c r="BE306" s="70"/>
      <c r="BF306" s="63"/>
      <c r="BG306" s="71">
        <v>0</v>
      </c>
      <c r="BH306" s="67"/>
      <c r="BI306" s="68"/>
      <c r="BJ306" s="72">
        <v>0</v>
      </c>
      <c r="BK306" s="62"/>
      <c r="BL306" s="70"/>
      <c r="BM306" s="70"/>
      <c r="BN306" s="70"/>
      <c r="BO306" s="70"/>
      <c r="BP306" s="73"/>
      <c r="BQ306" s="48"/>
      <c r="BR306" s="63"/>
      <c r="BS306" s="50"/>
      <c r="BT306" s="76" t="e">
        <v>#DIV/0!</v>
      </c>
      <c r="BU306" s="77" t="e">
        <v>#DIV/0!</v>
      </c>
      <c r="BV306" s="78">
        <v>0</v>
      </c>
      <c r="BW306" s="79">
        <v>0</v>
      </c>
      <c r="BX306" s="62"/>
      <c r="BY306" s="63"/>
      <c r="BZ306" s="63"/>
      <c r="CA306" s="63"/>
      <c r="CB306" s="63"/>
      <c r="CC306" s="63"/>
      <c r="CD306" s="63"/>
      <c r="CE306" s="50"/>
    </row>
    <row r="307" spans="2:83" x14ac:dyDescent="0.3">
      <c r="B307" s="46">
        <v>0</v>
      </c>
      <c r="C307" s="47"/>
      <c r="D307" s="48"/>
      <c r="E307" s="49"/>
      <c r="F307" s="50"/>
      <c r="G307" s="51" t="e">
        <v>#DIV/0!</v>
      </c>
      <c r="H307" s="52" t="e">
        <v>#DIV/0!</v>
      </c>
      <c r="I307" s="53"/>
      <c r="J307" s="54"/>
      <c r="K307" s="54"/>
      <c r="L307" s="55"/>
      <c r="M307" s="56"/>
      <c r="N307" s="57">
        <v>0</v>
      </c>
      <c r="O307" s="58"/>
      <c r="P307" s="59"/>
      <c r="Q307" s="81"/>
      <c r="R307" s="82"/>
      <c r="S307" s="48"/>
      <c r="T307" s="50"/>
      <c r="U307" s="62"/>
      <c r="V307" s="63"/>
      <c r="W307" s="50"/>
      <c r="X307" s="48"/>
      <c r="Y307" s="63"/>
      <c r="Z307" s="63"/>
      <c r="AA307" s="64"/>
      <c r="AB307" s="65"/>
      <c r="AC307" s="66"/>
      <c r="AD307" s="67"/>
      <c r="AE307" s="68"/>
      <c r="AF307" s="48"/>
      <c r="AG307" s="63"/>
      <c r="AH307" s="63"/>
      <c r="AI307" s="63"/>
      <c r="AJ307" s="63"/>
      <c r="AK307" s="63"/>
      <c r="AL307" s="63"/>
      <c r="AM307" s="63"/>
      <c r="AN307" s="63"/>
      <c r="AO307" s="63"/>
      <c r="AP307" s="63"/>
      <c r="AQ307" s="63"/>
      <c r="AR307" s="63"/>
      <c r="AS307" s="63"/>
      <c r="AT307" s="63"/>
      <c r="AU307" s="63"/>
      <c r="AV307" s="63"/>
      <c r="AW307" s="50"/>
      <c r="AX307" s="69"/>
      <c r="AY307" s="69"/>
      <c r="AZ307" s="54"/>
      <c r="BA307" s="54"/>
      <c r="BB307" s="54"/>
      <c r="BC307" s="54"/>
      <c r="BD307" s="54"/>
      <c r="BE307" s="70"/>
      <c r="BF307" s="63"/>
      <c r="BG307" s="71">
        <v>0</v>
      </c>
      <c r="BH307" s="67"/>
      <c r="BI307" s="68"/>
      <c r="BJ307" s="72">
        <v>0</v>
      </c>
      <c r="BK307" s="62"/>
      <c r="BL307" s="70"/>
      <c r="BM307" s="70"/>
      <c r="BN307" s="70"/>
      <c r="BO307" s="70"/>
      <c r="BP307" s="73"/>
      <c r="BQ307" s="48"/>
      <c r="BR307" s="63"/>
      <c r="BS307" s="50"/>
      <c r="BT307" s="76" t="e">
        <v>#DIV/0!</v>
      </c>
      <c r="BU307" s="77" t="e">
        <v>#DIV/0!</v>
      </c>
      <c r="BV307" s="78">
        <v>0</v>
      </c>
      <c r="BW307" s="79">
        <v>0</v>
      </c>
      <c r="BX307" s="62"/>
      <c r="BY307" s="63"/>
      <c r="BZ307" s="63"/>
      <c r="CA307" s="63"/>
      <c r="CB307" s="63"/>
      <c r="CC307" s="63"/>
      <c r="CD307" s="63"/>
      <c r="CE307" s="50"/>
    </row>
    <row r="308" spans="2:83" x14ac:dyDescent="0.3">
      <c r="B308" s="46">
        <v>0</v>
      </c>
      <c r="C308" s="47"/>
      <c r="D308" s="48"/>
      <c r="E308" s="49"/>
      <c r="F308" s="50"/>
      <c r="G308" s="51" t="e">
        <v>#DIV/0!</v>
      </c>
      <c r="H308" s="52" t="e">
        <v>#DIV/0!</v>
      </c>
      <c r="I308" s="53"/>
      <c r="J308" s="54"/>
      <c r="K308" s="54"/>
      <c r="L308" s="55"/>
      <c r="M308" s="56"/>
      <c r="N308" s="57">
        <v>0</v>
      </c>
      <c r="O308" s="58"/>
      <c r="P308" s="59"/>
      <c r="Q308" s="81"/>
      <c r="R308" s="82"/>
      <c r="S308" s="48"/>
      <c r="T308" s="50"/>
      <c r="U308" s="62"/>
      <c r="V308" s="63"/>
      <c r="W308" s="50"/>
      <c r="X308" s="48"/>
      <c r="Y308" s="63"/>
      <c r="Z308" s="63"/>
      <c r="AA308" s="64"/>
      <c r="AB308" s="65"/>
      <c r="AC308" s="66"/>
      <c r="AD308" s="67"/>
      <c r="AE308" s="68"/>
      <c r="AF308" s="48"/>
      <c r="AG308" s="63"/>
      <c r="AH308" s="63"/>
      <c r="AI308" s="63"/>
      <c r="AJ308" s="63"/>
      <c r="AK308" s="63"/>
      <c r="AL308" s="63"/>
      <c r="AM308" s="63"/>
      <c r="AN308" s="63"/>
      <c r="AO308" s="63"/>
      <c r="AP308" s="63"/>
      <c r="AQ308" s="63"/>
      <c r="AR308" s="63"/>
      <c r="AS308" s="63"/>
      <c r="AT308" s="63"/>
      <c r="AU308" s="63"/>
      <c r="AV308" s="63"/>
      <c r="AW308" s="50"/>
      <c r="AX308" s="69"/>
      <c r="AY308" s="69"/>
      <c r="AZ308" s="54"/>
      <c r="BA308" s="54"/>
      <c r="BB308" s="54"/>
      <c r="BC308" s="54"/>
      <c r="BD308" s="54"/>
      <c r="BE308" s="70"/>
      <c r="BF308" s="63"/>
      <c r="BG308" s="71">
        <v>0</v>
      </c>
      <c r="BH308" s="67"/>
      <c r="BI308" s="68"/>
      <c r="BJ308" s="72">
        <v>0</v>
      </c>
      <c r="BK308" s="62"/>
      <c r="BL308" s="70"/>
      <c r="BM308" s="70"/>
      <c r="BN308" s="70"/>
      <c r="BO308" s="70"/>
      <c r="BP308" s="73"/>
      <c r="BQ308" s="48"/>
      <c r="BR308" s="63"/>
      <c r="BS308" s="50"/>
      <c r="BT308" s="76" t="e">
        <v>#DIV/0!</v>
      </c>
      <c r="BU308" s="77" t="e">
        <v>#DIV/0!</v>
      </c>
      <c r="BV308" s="78">
        <v>0</v>
      </c>
      <c r="BW308" s="79">
        <v>0</v>
      </c>
      <c r="BX308" s="62"/>
      <c r="BY308" s="63"/>
      <c r="BZ308" s="63"/>
      <c r="CA308" s="63"/>
      <c r="CB308" s="63"/>
      <c r="CC308" s="63"/>
      <c r="CD308" s="63"/>
      <c r="CE308" s="50"/>
    </row>
    <row r="309" spans="2:83" x14ac:dyDescent="0.3">
      <c r="B309" s="46">
        <v>0</v>
      </c>
      <c r="C309" s="47"/>
      <c r="D309" s="48"/>
      <c r="E309" s="49"/>
      <c r="F309" s="50"/>
      <c r="G309" s="51" t="e">
        <v>#DIV/0!</v>
      </c>
      <c r="H309" s="52" t="e">
        <v>#DIV/0!</v>
      </c>
      <c r="I309" s="53"/>
      <c r="J309" s="54"/>
      <c r="K309" s="54"/>
      <c r="L309" s="55"/>
      <c r="M309" s="56"/>
      <c r="N309" s="57">
        <v>0</v>
      </c>
      <c r="O309" s="58"/>
      <c r="P309" s="59"/>
      <c r="Q309" s="81"/>
      <c r="R309" s="82"/>
      <c r="S309" s="48"/>
      <c r="T309" s="50"/>
      <c r="U309" s="62"/>
      <c r="V309" s="63"/>
      <c r="W309" s="50"/>
      <c r="X309" s="48"/>
      <c r="Y309" s="63"/>
      <c r="Z309" s="63"/>
      <c r="AA309" s="64"/>
      <c r="AB309" s="65"/>
      <c r="AC309" s="66"/>
      <c r="AD309" s="67"/>
      <c r="AE309" s="68"/>
      <c r="AF309" s="48"/>
      <c r="AG309" s="63"/>
      <c r="AH309" s="63"/>
      <c r="AI309" s="63"/>
      <c r="AJ309" s="63"/>
      <c r="AK309" s="63"/>
      <c r="AL309" s="63"/>
      <c r="AM309" s="63"/>
      <c r="AN309" s="63"/>
      <c r="AO309" s="63"/>
      <c r="AP309" s="63"/>
      <c r="AQ309" s="63"/>
      <c r="AR309" s="63"/>
      <c r="AS309" s="63"/>
      <c r="AT309" s="63"/>
      <c r="AU309" s="63"/>
      <c r="AV309" s="63"/>
      <c r="AW309" s="50"/>
      <c r="AX309" s="69"/>
      <c r="AY309" s="69"/>
      <c r="AZ309" s="54"/>
      <c r="BA309" s="54"/>
      <c r="BB309" s="54"/>
      <c r="BC309" s="54"/>
      <c r="BD309" s="54"/>
      <c r="BE309" s="70"/>
      <c r="BF309" s="63"/>
      <c r="BG309" s="71">
        <v>0</v>
      </c>
      <c r="BH309" s="67"/>
      <c r="BI309" s="68"/>
      <c r="BJ309" s="72">
        <v>0</v>
      </c>
      <c r="BK309" s="62"/>
      <c r="BL309" s="70"/>
      <c r="BM309" s="70"/>
      <c r="BN309" s="70"/>
      <c r="BO309" s="70"/>
      <c r="BP309" s="73"/>
      <c r="BQ309" s="48"/>
      <c r="BR309" s="63"/>
      <c r="BS309" s="50"/>
      <c r="BT309" s="76" t="e">
        <v>#DIV/0!</v>
      </c>
      <c r="BU309" s="77" t="e">
        <v>#DIV/0!</v>
      </c>
      <c r="BV309" s="78">
        <v>0</v>
      </c>
      <c r="BW309" s="79">
        <v>0</v>
      </c>
      <c r="BX309" s="62"/>
      <c r="BY309" s="63"/>
      <c r="BZ309" s="63"/>
      <c r="CA309" s="63"/>
      <c r="CB309" s="63"/>
      <c r="CC309" s="63"/>
      <c r="CD309" s="63"/>
      <c r="CE309" s="50"/>
    </row>
    <row r="310" spans="2:83" x14ac:dyDescent="0.3">
      <c r="B310" s="46">
        <v>0</v>
      </c>
      <c r="C310" s="47"/>
      <c r="D310" s="48"/>
      <c r="E310" s="49"/>
      <c r="F310" s="50"/>
      <c r="G310" s="51" t="e">
        <v>#DIV/0!</v>
      </c>
      <c r="H310" s="52" t="e">
        <v>#DIV/0!</v>
      </c>
      <c r="I310" s="53"/>
      <c r="J310" s="54"/>
      <c r="K310" s="54"/>
      <c r="L310" s="55"/>
      <c r="M310" s="56"/>
      <c r="N310" s="57">
        <v>0</v>
      </c>
      <c r="O310" s="58"/>
      <c r="P310" s="59"/>
      <c r="Q310" s="81"/>
      <c r="R310" s="82"/>
      <c r="S310" s="48"/>
      <c r="T310" s="50"/>
      <c r="U310" s="62"/>
      <c r="V310" s="63"/>
      <c r="W310" s="50"/>
      <c r="X310" s="48"/>
      <c r="Y310" s="63"/>
      <c r="Z310" s="63"/>
      <c r="AA310" s="64"/>
      <c r="AB310" s="65"/>
      <c r="AC310" s="66"/>
      <c r="AD310" s="67"/>
      <c r="AE310" s="68"/>
      <c r="AF310" s="48"/>
      <c r="AG310" s="63"/>
      <c r="AH310" s="63"/>
      <c r="AI310" s="63"/>
      <c r="AJ310" s="63"/>
      <c r="AK310" s="63"/>
      <c r="AL310" s="63"/>
      <c r="AM310" s="63"/>
      <c r="AN310" s="63"/>
      <c r="AO310" s="63"/>
      <c r="AP310" s="63"/>
      <c r="AQ310" s="63"/>
      <c r="AR310" s="63"/>
      <c r="AS310" s="63"/>
      <c r="AT310" s="63"/>
      <c r="AU310" s="63"/>
      <c r="AV310" s="63"/>
      <c r="AW310" s="50"/>
      <c r="AX310" s="69"/>
      <c r="AY310" s="69"/>
      <c r="AZ310" s="54"/>
      <c r="BA310" s="54"/>
      <c r="BB310" s="54"/>
      <c r="BC310" s="54"/>
      <c r="BD310" s="54"/>
      <c r="BE310" s="70"/>
      <c r="BF310" s="63"/>
      <c r="BG310" s="71">
        <v>0</v>
      </c>
      <c r="BH310" s="67"/>
      <c r="BI310" s="68"/>
      <c r="BJ310" s="72">
        <v>0</v>
      </c>
      <c r="BK310" s="62"/>
      <c r="BL310" s="70"/>
      <c r="BM310" s="70"/>
      <c r="BN310" s="70"/>
      <c r="BO310" s="70"/>
      <c r="BP310" s="73"/>
      <c r="BQ310" s="48"/>
      <c r="BR310" s="63"/>
      <c r="BS310" s="50"/>
      <c r="BT310" s="76" t="e">
        <v>#DIV/0!</v>
      </c>
      <c r="BU310" s="77" t="e">
        <v>#DIV/0!</v>
      </c>
      <c r="BV310" s="78">
        <v>0</v>
      </c>
      <c r="BW310" s="79">
        <v>0</v>
      </c>
      <c r="BX310" s="62"/>
      <c r="BY310" s="63"/>
      <c r="BZ310" s="63"/>
      <c r="CA310" s="63"/>
      <c r="CB310" s="63"/>
      <c r="CC310" s="63"/>
      <c r="CD310" s="63"/>
      <c r="CE310" s="50"/>
    </row>
    <row r="311" spans="2:83" x14ac:dyDescent="0.3">
      <c r="B311" s="46">
        <v>0</v>
      </c>
      <c r="C311" s="47"/>
      <c r="D311" s="48"/>
      <c r="E311" s="49"/>
      <c r="F311" s="50"/>
      <c r="G311" s="51" t="e">
        <v>#DIV/0!</v>
      </c>
      <c r="H311" s="52" t="e">
        <v>#DIV/0!</v>
      </c>
      <c r="I311" s="53"/>
      <c r="J311" s="54"/>
      <c r="K311" s="54"/>
      <c r="L311" s="55"/>
      <c r="M311" s="56"/>
      <c r="N311" s="57">
        <v>0</v>
      </c>
      <c r="O311" s="58"/>
      <c r="P311" s="59"/>
      <c r="Q311" s="81"/>
      <c r="R311" s="82"/>
      <c r="S311" s="48"/>
      <c r="T311" s="50"/>
      <c r="U311" s="62"/>
      <c r="V311" s="63"/>
      <c r="W311" s="50"/>
      <c r="X311" s="48"/>
      <c r="Y311" s="63"/>
      <c r="Z311" s="63"/>
      <c r="AA311" s="64"/>
      <c r="AB311" s="65"/>
      <c r="AC311" s="66"/>
      <c r="AD311" s="67"/>
      <c r="AE311" s="68"/>
      <c r="AF311" s="48"/>
      <c r="AG311" s="63"/>
      <c r="AH311" s="63"/>
      <c r="AI311" s="63"/>
      <c r="AJ311" s="63"/>
      <c r="AK311" s="63"/>
      <c r="AL311" s="63"/>
      <c r="AM311" s="63"/>
      <c r="AN311" s="63"/>
      <c r="AO311" s="63"/>
      <c r="AP311" s="63"/>
      <c r="AQ311" s="63"/>
      <c r="AR311" s="63"/>
      <c r="AS311" s="63"/>
      <c r="AT311" s="63"/>
      <c r="AU311" s="63"/>
      <c r="AV311" s="63"/>
      <c r="AW311" s="50"/>
      <c r="AX311" s="69"/>
      <c r="AY311" s="69"/>
      <c r="AZ311" s="54"/>
      <c r="BA311" s="54"/>
      <c r="BB311" s="54"/>
      <c r="BC311" s="54"/>
      <c r="BD311" s="54"/>
      <c r="BE311" s="70"/>
      <c r="BF311" s="63"/>
      <c r="BG311" s="71">
        <v>0</v>
      </c>
      <c r="BH311" s="67"/>
      <c r="BI311" s="68"/>
      <c r="BJ311" s="72">
        <v>0</v>
      </c>
      <c r="BK311" s="62"/>
      <c r="BL311" s="70"/>
      <c r="BM311" s="70"/>
      <c r="BN311" s="70"/>
      <c r="BO311" s="70"/>
      <c r="BP311" s="73"/>
      <c r="BQ311" s="48"/>
      <c r="BR311" s="63"/>
      <c r="BS311" s="50"/>
      <c r="BT311" s="76" t="e">
        <v>#DIV/0!</v>
      </c>
      <c r="BU311" s="77" t="e">
        <v>#DIV/0!</v>
      </c>
      <c r="BV311" s="78">
        <v>0</v>
      </c>
      <c r="BW311" s="79">
        <v>0</v>
      </c>
      <c r="BX311" s="62"/>
      <c r="BY311" s="63"/>
      <c r="BZ311" s="63"/>
      <c r="CA311" s="63"/>
      <c r="CB311" s="63"/>
      <c r="CC311" s="63"/>
      <c r="CD311" s="63"/>
      <c r="CE311" s="50"/>
    </row>
    <row r="312" spans="2:83" x14ac:dyDescent="0.3">
      <c r="B312" s="46">
        <v>0</v>
      </c>
      <c r="C312" s="47"/>
      <c r="D312" s="48"/>
      <c r="E312" s="49"/>
      <c r="F312" s="50"/>
      <c r="G312" s="51" t="e">
        <v>#DIV/0!</v>
      </c>
      <c r="H312" s="52" t="e">
        <v>#DIV/0!</v>
      </c>
      <c r="I312" s="53"/>
      <c r="J312" s="54"/>
      <c r="K312" s="54"/>
      <c r="L312" s="55"/>
      <c r="M312" s="56"/>
      <c r="N312" s="57">
        <v>0</v>
      </c>
      <c r="O312" s="58"/>
      <c r="P312" s="59"/>
      <c r="Q312" s="81"/>
      <c r="R312" s="82"/>
      <c r="S312" s="48"/>
      <c r="T312" s="50"/>
      <c r="U312" s="62"/>
      <c r="V312" s="63"/>
      <c r="W312" s="50"/>
      <c r="X312" s="48"/>
      <c r="Y312" s="63"/>
      <c r="Z312" s="63"/>
      <c r="AA312" s="64"/>
      <c r="AB312" s="65"/>
      <c r="AC312" s="66"/>
      <c r="AD312" s="67"/>
      <c r="AE312" s="68"/>
      <c r="AF312" s="48"/>
      <c r="AG312" s="63"/>
      <c r="AH312" s="63"/>
      <c r="AI312" s="63"/>
      <c r="AJ312" s="63"/>
      <c r="AK312" s="63"/>
      <c r="AL312" s="63"/>
      <c r="AM312" s="63"/>
      <c r="AN312" s="63"/>
      <c r="AO312" s="63"/>
      <c r="AP312" s="63"/>
      <c r="AQ312" s="63"/>
      <c r="AR312" s="63"/>
      <c r="AS312" s="63"/>
      <c r="AT312" s="63"/>
      <c r="AU312" s="63"/>
      <c r="AV312" s="63"/>
      <c r="AW312" s="50"/>
      <c r="AX312" s="69"/>
      <c r="AY312" s="69"/>
      <c r="AZ312" s="54"/>
      <c r="BA312" s="54"/>
      <c r="BB312" s="54"/>
      <c r="BC312" s="54"/>
      <c r="BD312" s="54"/>
      <c r="BE312" s="70"/>
      <c r="BF312" s="63"/>
      <c r="BG312" s="71">
        <v>0</v>
      </c>
      <c r="BH312" s="67"/>
      <c r="BI312" s="68"/>
      <c r="BJ312" s="72">
        <v>0</v>
      </c>
      <c r="BK312" s="62"/>
      <c r="BL312" s="70"/>
      <c r="BM312" s="70"/>
      <c r="BN312" s="70"/>
      <c r="BO312" s="70"/>
      <c r="BP312" s="73"/>
      <c r="BQ312" s="48"/>
      <c r="BR312" s="63"/>
      <c r="BS312" s="50"/>
      <c r="BT312" s="76" t="e">
        <v>#DIV/0!</v>
      </c>
      <c r="BU312" s="77" t="e">
        <v>#DIV/0!</v>
      </c>
      <c r="BV312" s="78">
        <v>0</v>
      </c>
      <c r="BW312" s="79">
        <v>0</v>
      </c>
      <c r="BX312" s="62"/>
      <c r="BY312" s="63"/>
      <c r="BZ312" s="63"/>
      <c r="CA312" s="63"/>
      <c r="CB312" s="63"/>
      <c r="CC312" s="63"/>
      <c r="CD312" s="63"/>
      <c r="CE312" s="50"/>
    </row>
    <row r="313" spans="2:83" x14ac:dyDescent="0.3">
      <c r="B313" s="46">
        <v>0</v>
      </c>
      <c r="C313" s="47"/>
      <c r="D313" s="48"/>
      <c r="E313" s="49"/>
      <c r="F313" s="50"/>
      <c r="G313" s="51" t="e">
        <v>#DIV/0!</v>
      </c>
      <c r="H313" s="52" t="e">
        <v>#DIV/0!</v>
      </c>
      <c r="I313" s="53"/>
      <c r="J313" s="54"/>
      <c r="K313" s="54"/>
      <c r="L313" s="55"/>
      <c r="M313" s="56"/>
      <c r="N313" s="57">
        <v>0</v>
      </c>
      <c r="O313" s="58"/>
      <c r="P313" s="59"/>
      <c r="Q313" s="81"/>
      <c r="R313" s="82"/>
      <c r="S313" s="48"/>
      <c r="T313" s="50"/>
      <c r="U313" s="62"/>
      <c r="V313" s="63"/>
      <c r="W313" s="50"/>
      <c r="X313" s="48"/>
      <c r="Y313" s="63"/>
      <c r="Z313" s="63"/>
      <c r="AA313" s="64"/>
      <c r="AB313" s="65"/>
      <c r="AC313" s="66"/>
      <c r="AD313" s="67"/>
      <c r="AE313" s="68"/>
      <c r="AF313" s="48"/>
      <c r="AG313" s="63"/>
      <c r="AH313" s="63"/>
      <c r="AI313" s="63"/>
      <c r="AJ313" s="63"/>
      <c r="AK313" s="63"/>
      <c r="AL313" s="63"/>
      <c r="AM313" s="63"/>
      <c r="AN313" s="63"/>
      <c r="AO313" s="63"/>
      <c r="AP313" s="63"/>
      <c r="AQ313" s="63"/>
      <c r="AR313" s="63"/>
      <c r="AS313" s="63"/>
      <c r="AT313" s="63"/>
      <c r="AU313" s="63"/>
      <c r="AV313" s="63"/>
      <c r="AW313" s="50"/>
      <c r="AX313" s="69"/>
      <c r="AY313" s="69"/>
      <c r="AZ313" s="54"/>
      <c r="BA313" s="54"/>
      <c r="BB313" s="54"/>
      <c r="BC313" s="54"/>
      <c r="BD313" s="54"/>
      <c r="BE313" s="70"/>
      <c r="BF313" s="63"/>
      <c r="BG313" s="71">
        <v>0</v>
      </c>
      <c r="BH313" s="67"/>
      <c r="BI313" s="68"/>
      <c r="BJ313" s="72">
        <v>0</v>
      </c>
      <c r="BK313" s="62"/>
      <c r="BL313" s="70"/>
      <c r="BM313" s="70"/>
      <c r="BN313" s="70"/>
      <c r="BO313" s="70"/>
      <c r="BP313" s="73"/>
      <c r="BQ313" s="48"/>
      <c r="BR313" s="63"/>
      <c r="BS313" s="50"/>
      <c r="BT313" s="76" t="e">
        <v>#DIV/0!</v>
      </c>
      <c r="BU313" s="77" t="e">
        <v>#DIV/0!</v>
      </c>
      <c r="BV313" s="78">
        <v>0</v>
      </c>
      <c r="BW313" s="79">
        <v>0</v>
      </c>
      <c r="BX313" s="62"/>
      <c r="BY313" s="63"/>
      <c r="BZ313" s="63"/>
      <c r="CA313" s="63"/>
      <c r="CB313" s="63"/>
      <c r="CC313" s="63"/>
      <c r="CD313" s="63"/>
      <c r="CE313" s="50"/>
    </row>
    <row r="314" spans="2:83" x14ac:dyDescent="0.3">
      <c r="B314" s="46">
        <v>0</v>
      </c>
      <c r="C314" s="47"/>
      <c r="D314" s="48"/>
      <c r="E314" s="49"/>
      <c r="F314" s="50"/>
      <c r="G314" s="51" t="e">
        <v>#DIV/0!</v>
      </c>
      <c r="H314" s="52" t="e">
        <v>#DIV/0!</v>
      </c>
      <c r="I314" s="53"/>
      <c r="J314" s="54"/>
      <c r="K314" s="54"/>
      <c r="L314" s="55"/>
      <c r="M314" s="56"/>
      <c r="N314" s="57">
        <v>0</v>
      </c>
      <c r="O314" s="58"/>
      <c r="P314" s="59"/>
      <c r="Q314" s="81"/>
      <c r="R314" s="82"/>
      <c r="S314" s="48"/>
      <c r="T314" s="50"/>
      <c r="U314" s="62"/>
      <c r="V314" s="63"/>
      <c r="W314" s="50"/>
      <c r="X314" s="48"/>
      <c r="Y314" s="63"/>
      <c r="Z314" s="63"/>
      <c r="AA314" s="64"/>
      <c r="AB314" s="65"/>
      <c r="AC314" s="66"/>
      <c r="AD314" s="67"/>
      <c r="AE314" s="68"/>
      <c r="AF314" s="48"/>
      <c r="AG314" s="63"/>
      <c r="AH314" s="63"/>
      <c r="AI314" s="63"/>
      <c r="AJ314" s="63"/>
      <c r="AK314" s="63"/>
      <c r="AL314" s="63"/>
      <c r="AM314" s="63"/>
      <c r="AN314" s="63"/>
      <c r="AO314" s="63"/>
      <c r="AP314" s="63"/>
      <c r="AQ314" s="63"/>
      <c r="AR314" s="63"/>
      <c r="AS314" s="63"/>
      <c r="AT314" s="63"/>
      <c r="AU314" s="63"/>
      <c r="AV314" s="63"/>
      <c r="AW314" s="50"/>
      <c r="AX314" s="69"/>
      <c r="AY314" s="69"/>
      <c r="AZ314" s="54"/>
      <c r="BA314" s="54"/>
      <c r="BB314" s="54"/>
      <c r="BC314" s="54"/>
      <c r="BD314" s="54"/>
      <c r="BE314" s="70"/>
      <c r="BF314" s="63"/>
      <c r="BG314" s="71">
        <v>0</v>
      </c>
      <c r="BH314" s="67"/>
      <c r="BI314" s="68"/>
      <c r="BJ314" s="72">
        <v>0</v>
      </c>
      <c r="BK314" s="62"/>
      <c r="BL314" s="70"/>
      <c r="BM314" s="70"/>
      <c r="BN314" s="70"/>
      <c r="BO314" s="70"/>
      <c r="BP314" s="73"/>
      <c r="BQ314" s="48"/>
      <c r="BR314" s="63"/>
      <c r="BS314" s="50"/>
      <c r="BT314" s="76" t="e">
        <v>#DIV/0!</v>
      </c>
      <c r="BU314" s="77" t="e">
        <v>#DIV/0!</v>
      </c>
      <c r="BV314" s="78">
        <v>0</v>
      </c>
      <c r="BW314" s="79">
        <v>0</v>
      </c>
      <c r="BX314" s="62"/>
      <c r="BY314" s="63"/>
      <c r="BZ314" s="63"/>
      <c r="CA314" s="63"/>
      <c r="CB314" s="63"/>
      <c r="CC314" s="63"/>
      <c r="CD314" s="63"/>
      <c r="CE314" s="50"/>
    </row>
    <row r="315" spans="2:83" x14ac:dyDescent="0.3">
      <c r="B315" s="46">
        <v>0</v>
      </c>
      <c r="C315" s="47"/>
      <c r="D315" s="48"/>
      <c r="E315" s="49"/>
      <c r="F315" s="50"/>
      <c r="G315" s="51" t="e">
        <v>#DIV/0!</v>
      </c>
      <c r="H315" s="52" t="e">
        <v>#DIV/0!</v>
      </c>
      <c r="I315" s="53"/>
      <c r="J315" s="54"/>
      <c r="K315" s="54"/>
      <c r="L315" s="55"/>
      <c r="M315" s="56"/>
      <c r="N315" s="57">
        <v>0</v>
      </c>
      <c r="O315" s="58"/>
      <c r="P315" s="59"/>
      <c r="Q315" s="81"/>
      <c r="R315" s="82"/>
      <c r="S315" s="48"/>
      <c r="T315" s="50"/>
      <c r="U315" s="62"/>
      <c r="V315" s="63"/>
      <c r="W315" s="50"/>
      <c r="X315" s="48"/>
      <c r="Y315" s="63"/>
      <c r="Z315" s="63"/>
      <c r="AA315" s="64"/>
      <c r="AB315" s="65"/>
      <c r="AC315" s="66"/>
      <c r="AD315" s="67"/>
      <c r="AE315" s="68"/>
      <c r="AF315" s="48"/>
      <c r="AG315" s="63"/>
      <c r="AH315" s="63"/>
      <c r="AI315" s="63"/>
      <c r="AJ315" s="63"/>
      <c r="AK315" s="63"/>
      <c r="AL315" s="63"/>
      <c r="AM315" s="63"/>
      <c r="AN315" s="63"/>
      <c r="AO315" s="63"/>
      <c r="AP315" s="63"/>
      <c r="AQ315" s="63"/>
      <c r="AR315" s="63"/>
      <c r="AS315" s="63"/>
      <c r="AT315" s="63"/>
      <c r="AU315" s="63"/>
      <c r="AV315" s="63"/>
      <c r="AW315" s="50"/>
      <c r="AX315" s="69"/>
      <c r="AY315" s="69"/>
      <c r="AZ315" s="54"/>
      <c r="BA315" s="54"/>
      <c r="BB315" s="54"/>
      <c r="BC315" s="54"/>
      <c r="BD315" s="54"/>
      <c r="BE315" s="70"/>
      <c r="BF315" s="63"/>
      <c r="BG315" s="71">
        <v>0</v>
      </c>
      <c r="BH315" s="67"/>
      <c r="BI315" s="68"/>
      <c r="BJ315" s="72">
        <v>0</v>
      </c>
      <c r="BK315" s="62"/>
      <c r="BL315" s="70"/>
      <c r="BM315" s="70"/>
      <c r="BN315" s="70"/>
      <c r="BO315" s="70"/>
      <c r="BP315" s="73"/>
      <c r="BQ315" s="48"/>
      <c r="BR315" s="63"/>
      <c r="BS315" s="50"/>
      <c r="BT315" s="76" t="e">
        <v>#DIV/0!</v>
      </c>
      <c r="BU315" s="77" t="e">
        <v>#DIV/0!</v>
      </c>
      <c r="BV315" s="78">
        <v>0</v>
      </c>
      <c r="BW315" s="79">
        <v>0</v>
      </c>
      <c r="BX315" s="62"/>
      <c r="BY315" s="63"/>
      <c r="BZ315" s="63"/>
      <c r="CA315" s="63"/>
      <c r="CB315" s="63"/>
      <c r="CC315" s="63"/>
      <c r="CD315" s="63"/>
      <c r="CE315" s="50"/>
    </row>
    <row r="316" spans="2:83" x14ac:dyDescent="0.3">
      <c r="B316" s="46">
        <v>0</v>
      </c>
      <c r="C316" s="47"/>
      <c r="D316" s="48"/>
      <c r="E316" s="49"/>
      <c r="F316" s="50"/>
      <c r="G316" s="51" t="e">
        <v>#DIV/0!</v>
      </c>
      <c r="H316" s="52" t="e">
        <v>#DIV/0!</v>
      </c>
      <c r="I316" s="53"/>
      <c r="J316" s="54"/>
      <c r="K316" s="54"/>
      <c r="L316" s="55"/>
      <c r="M316" s="56"/>
      <c r="N316" s="57">
        <v>0</v>
      </c>
      <c r="O316" s="58"/>
      <c r="P316" s="59"/>
      <c r="Q316" s="81"/>
      <c r="R316" s="82"/>
      <c r="S316" s="48"/>
      <c r="T316" s="50"/>
      <c r="U316" s="62"/>
      <c r="V316" s="63"/>
      <c r="W316" s="50"/>
      <c r="X316" s="48"/>
      <c r="Y316" s="63"/>
      <c r="Z316" s="63"/>
      <c r="AA316" s="64"/>
      <c r="AB316" s="65"/>
      <c r="AC316" s="66"/>
      <c r="AD316" s="67"/>
      <c r="AE316" s="68"/>
      <c r="AF316" s="48"/>
      <c r="AG316" s="63"/>
      <c r="AH316" s="63"/>
      <c r="AI316" s="63"/>
      <c r="AJ316" s="63"/>
      <c r="AK316" s="63"/>
      <c r="AL316" s="63"/>
      <c r="AM316" s="63"/>
      <c r="AN316" s="63"/>
      <c r="AO316" s="63"/>
      <c r="AP316" s="63"/>
      <c r="AQ316" s="63"/>
      <c r="AR316" s="63"/>
      <c r="AS316" s="63"/>
      <c r="AT316" s="63"/>
      <c r="AU316" s="63"/>
      <c r="AV316" s="63"/>
      <c r="AW316" s="50"/>
      <c r="AX316" s="69"/>
      <c r="AY316" s="69"/>
      <c r="AZ316" s="54"/>
      <c r="BA316" s="54"/>
      <c r="BB316" s="54"/>
      <c r="BC316" s="54"/>
      <c r="BD316" s="54"/>
      <c r="BE316" s="70"/>
      <c r="BF316" s="63"/>
      <c r="BG316" s="71">
        <v>0</v>
      </c>
      <c r="BH316" s="67"/>
      <c r="BI316" s="68"/>
      <c r="BJ316" s="72">
        <v>0</v>
      </c>
      <c r="BK316" s="62"/>
      <c r="BL316" s="70"/>
      <c r="BM316" s="70"/>
      <c r="BN316" s="70"/>
      <c r="BO316" s="70"/>
      <c r="BP316" s="73"/>
      <c r="BQ316" s="48"/>
      <c r="BR316" s="63"/>
      <c r="BS316" s="50"/>
      <c r="BT316" s="76" t="e">
        <v>#DIV/0!</v>
      </c>
      <c r="BU316" s="77" t="e">
        <v>#DIV/0!</v>
      </c>
      <c r="BV316" s="78">
        <v>0</v>
      </c>
      <c r="BW316" s="79">
        <v>0</v>
      </c>
      <c r="BX316" s="62"/>
      <c r="BY316" s="63"/>
      <c r="BZ316" s="63"/>
      <c r="CA316" s="63"/>
      <c r="CB316" s="63"/>
      <c r="CC316" s="63"/>
      <c r="CD316" s="63"/>
      <c r="CE316" s="50"/>
    </row>
    <row r="317" spans="2:83" x14ac:dyDescent="0.3">
      <c r="B317" s="46">
        <v>0</v>
      </c>
      <c r="C317" s="47"/>
      <c r="D317" s="48"/>
      <c r="E317" s="49"/>
      <c r="F317" s="50"/>
      <c r="G317" s="51" t="e">
        <v>#DIV/0!</v>
      </c>
      <c r="H317" s="52" t="e">
        <v>#DIV/0!</v>
      </c>
      <c r="I317" s="53"/>
      <c r="J317" s="54"/>
      <c r="K317" s="54"/>
      <c r="L317" s="55"/>
      <c r="M317" s="56"/>
      <c r="N317" s="57">
        <v>0</v>
      </c>
      <c r="O317" s="58"/>
      <c r="P317" s="59"/>
      <c r="Q317" s="81"/>
      <c r="R317" s="82"/>
      <c r="S317" s="48"/>
      <c r="T317" s="50"/>
      <c r="U317" s="62"/>
      <c r="V317" s="63"/>
      <c r="W317" s="50"/>
      <c r="X317" s="48"/>
      <c r="Y317" s="63"/>
      <c r="Z317" s="63"/>
      <c r="AA317" s="64"/>
      <c r="AB317" s="65"/>
      <c r="AC317" s="66"/>
      <c r="AD317" s="67"/>
      <c r="AE317" s="68"/>
      <c r="AF317" s="48"/>
      <c r="AG317" s="63"/>
      <c r="AH317" s="63"/>
      <c r="AI317" s="63"/>
      <c r="AJ317" s="63"/>
      <c r="AK317" s="63"/>
      <c r="AL317" s="63"/>
      <c r="AM317" s="63"/>
      <c r="AN317" s="63"/>
      <c r="AO317" s="63"/>
      <c r="AP317" s="63"/>
      <c r="AQ317" s="63"/>
      <c r="AR317" s="63"/>
      <c r="AS317" s="63"/>
      <c r="AT317" s="63"/>
      <c r="AU317" s="63"/>
      <c r="AV317" s="63"/>
      <c r="AW317" s="50"/>
      <c r="AX317" s="69"/>
      <c r="AY317" s="69"/>
      <c r="AZ317" s="54"/>
      <c r="BA317" s="54"/>
      <c r="BB317" s="54"/>
      <c r="BC317" s="54"/>
      <c r="BD317" s="54"/>
      <c r="BE317" s="70"/>
      <c r="BF317" s="63"/>
      <c r="BG317" s="71">
        <v>0</v>
      </c>
      <c r="BH317" s="67"/>
      <c r="BI317" s="68"/>
      <c r="BJ317" s="72">
        <v>0</v>
      </c>
      <c r="BK317" s="62"/>
      <c r="BL317" s="70"/>
      <c r="BM317" s="70"/>
      <c r="BN317" s="70"/>
      <c r="BO317" s="70"/>
      <c r="BP317" s="73"/>
      <c r="BQ317" s="48"/>
      <c r="BR317" s="63"/>
      <c r="BS317" s="50"/>
      <c r="BT317" s="76" t="e">
        <v>#DIV/0!</v>
      </c>
      <c r="BU317" s="77" t="e">
        <v>#DIV/0!</v>
      </c>
      <c r="BV317" s="78">
        <v>0</v>
      </c>
      <c r="BW317" s="79">
        <v>0</v>
      </c>
      <c r="BX317" s="62"/>
      <c r="BY317" s="63"/>
      <c r="BZ317" s="63"/>
      <c r="CA317" s="63"/>
      <c r="CB317" s="63"/>
      <c r="CC317" s="63"/>
      <c r="CD317" s="63"/>
      <c r="CE317" s="50"/>
    </row>
    <row r="318" spans="2:83" x14ac:dyDescent="0.3">
      <c r="B318" s="46">
        <v>0</v>
      </c>
      <c r="C318" s="47"/>
      <c r="D318" s="48"/>
      <c r="E318" s="49"/>
      <c r="F318" s="50"/>
      <c r="G318" s="51" t="e">
        <v>#DIV/0!</v>
      </c>
      <c r="H318" s="52" t="e">
        <v>#DIV/0!</v>
      </c>
      <c r="I318" s="53"/>
      <c r="J318" s="54"/>
      <c r="K318" s="54"/>
      <c r="L318" s="55"/>
      <c r="M318" s="56"/>
      <c r="N318" s="57">
        <v>0</v>
      </c>
      <c r="O318" s="58"/>
      <c r="P318" s="59"/>
      <c r="Q318" s="81"/>
      <c r="R318" s="82"/>
      <c r="S318" s="48"/>
      <c r="T318" s="50"/>
      <c r="U318" s="62"/>
      <c r="V318" s="63"/>
      <c r="W318" s="50"/>
      <c r="X318" s="48"/>
      <c r="Y318" s="63"/>
      <c r="Z318" s="63"/>
      <c r="AA318" s="64"/>
      <c r="AB318" s="65"/>
      <c r="AC318" s="66"/>
      <c r="AD318" s="67"/>
      <c r="AE318" s="68"/>
      <c r="AF318" s="48"/>
      <c r="AG318" s="63"/>
      <c r="AH318" s="63"/>
      <c r="AI318" s="63"/>
      <c r="AJ318" s="63"/>
      <c r="AK318" s="63"/>
      <c r="AL318" s="63"/>
      <c r="AM318" s="63"/>
      <c r="AN318" s="63"/>
      <c r="AO318" s="63"/>
      <c r="AP318" s="63"/>
      <c r="AQ318" s="63"/>
      <c r="AR318" s="63"/>
      <c r="AS318" s="63"/>
      <c r="AT318" s="63"/>
      <c r="AU318" s="63"/>
      <c r="AV318" s="63"/>
      <c r="AW318" s="50"/>
      <c r="AX318" s="69"/>
      <c r="AY318" s="69"/>
      <c r="AZ318" s="54"/>
      <c r="BA318" s="54"/>
      <c r="BB318" s="54"/>
      <c r="BC318" s="54"/>
      <c r="BD318" s="54"/>
      <c r="BE318" s="70"/>
      <c r="BF318" s="63"/>
      <c r="BG318" s="71">
        <v>0</v>
      </c>
      <c r="BH318" s="67"/>
      <c r="BI318" s="68"/>
      <c r="BJ318" s="72">
        <v>0</v>
      </c>
      <c r="BK318" s="62"/>
      <c r="BL318" s="70"/>
      <c r="BM318" s="70"/>
      <c r="BN318" s="70"/>
      <c r="BO318" s="70"/>
      <c r="BP318" s="73"/>
      <c r="BQ318" s="48"/>
      <c r="BR318" s="63"/>
      <c r="BS318" s="50"/>
      <c r="BT318" s="76" t="e">
        <v>#DIV/0!</v>
      </c>
      <c r="BU318" s="77" t="e">
        <v>#DIV/0!</v>
      </c>
      <c r="BV318" s="78">
        <v>0</v>
      </c>
      <c r="BW318" s="79">
        <v>0</v>
      </c>
      <c r="BX318" s="62"/>
      <c r="BY318" s="63"/>
      <c r="BZ318" s="63"/>
      <c r="CA318" s="63"/>
      <c r="CB318" s="63"/>
      <c r="CC318" s="63"/>
      <c r="CD318" s="63"/>
      <c r="CE318" s="50"/>
    </row>
    <row r="319" spans="2:83" x14ac:dyDescent="0.3">
      <c r="B319" s="46">
        <v>0</v>
      </c>
      <c r="C319" s="47"/>
      <c r="D319" s="48"/>
      <c r="E319" s="49"/>
      <c r="F319" s="50"/>
      <c r="G319" s="51" t="e">
        <v>#DIV/0!</v>
      </c>
      <c r="H319" s="52" t="e">
        <v>#DIV/0!</v>
      </c>
      <c r="I319" s="53"/>
      <c r="J319" s="54"/>
      <c r="K319" s="54"/>
      <c r="L319" s="55"/>
      <c r="M319" s="56"/>
      <c r="N319" s="57">
        <v>0</v>
      </c>
      <c r="O319" s="58"/>
      <c r="P319" s="59"/>
      <c r="Q319" s="81"/>
      <c r="R319" s="82"/>
      <c r="S319" s="48"/>
      <c r="T319" s="50"/>
      <c r="U319" s="62"/>
      <c r="V319" s="63"/>
      <c r="W319" s="50"/>
      <c r="X319" s="48"/>
      <c r="Y319" s="63"/>
      <c r="Z319" s="63"/>
      <c r="AA319" s="64"/>
      <c r="AB319" s="65"/>
      <c r="AC319" s="66"/>
      <c r="AD319" s="67"/>
      <c r="AE319" s="68"/>
      <c r="AF319" s="48"/>
      <c r="AG319" s="63"/>
      <c r="AH319" s="63"/>
      <c r="AI319" s="63"/>
      <c r="AJ319" s="63"/>
      <c r="AK319" s="63"/>
      <c r="AL319" s="63"/>
      <c r="AM319" s="63"/>
      <c r="AN319" s="63"/>
      <c r="AO319" s="63"/>
      <c r="AP319" s="63"/>
      <c r="AQ319" s="63"/>
      <c r="AR319" s="63"/>
      <c r="AS319" s="63"/>
      <c r="AT319" s="63"/>
      <c r="AU319" s="63"/>
      <c r="AV319" s="63"/>
      <c r="AW319" s="50"/>
      <c r="AX319" s="69"/>
      <c r="AY319" s="69"/>
      <c r="AZ319" s="54"/>
      <c r="BA319" s="54"/>
      <c r="BB319" s="54"/>
      <c r="BC319" s="54"/>
      <c r="BD319" s="54"/>
      <c r="BE319" s="70"/>
      <c r="BF319" s="63"/>
      <c r="BG319" s="71">
        <v>0</v>
      </c>
      <c r="BH319" s="67"/>
      <c r="BI319" s="68"/>
      <c r="BJ319" s="72">
        <v>0</v>
      </c>
      <c r="BK319" s="62"/>
      <c r="BL319" s="70"/>
      <c r="BM319" s="70"/>
      <c r="BN319" s="70"/>
      <c r="BO319" s="70"/>
      <c r="BP319" s="73"/>
      <c r="BQ319" s="48"/>
      <c r="BR319" s="63"/>
      <c r="BS319" s="50"/>
      <c r="BT319" s="76" t="e">
        <v>#DIV/0!</v>
      </c>
      <c r="BU319" s="77" t="e">
        <v>#DIV/0!</v>
      </c>
      <c r="BV319" s="78">
        <v>0</v>
      </c>
      <c r="BW319" s="79">
        <v>0</v>
      </c>
      <c r="BX319" s="62"/>
      <c r="BY319" s="63"/>
      <c r="BZ319" s="63"/>
      <c r="CA319" s="63"/>
      <c r="CB319" s="63"/>
      <c r="CC319" s="63"/>
      <c r="CD319" s="63"/>
      <c r="CE319" s="50"/>
    </row>
    <row r="320" spans="2:83" x14ac:dyDescent="0.3">
      <c r="B320" s="46">
        <v>0</v>
      </c>
      <c r="C320" s="47"/>
      <c r="D320" s="48"/>
      <c r="E320" s="49"/>
      <c r="F320" s="50"/>
      <c r="G320" s="51" t="e">
        <v>#DIV/0!</v>
      </c>
      <c r="H320" s="52" t="e">
        <v>#DIV/0!</v>
      </c>
      <c r="I320" s="53"/>
      <c r="J320" s="54"/>
      <c r="K320" s="54"/>
      <c r="L320" s="55"/>
      <c r="M320" s="56"/>
      <c r="N320" s="57">
        <v>0</v>
      </c>
      <c r="O320" s="58"/>
      <c r="P320" s="59"/>
      <c r="Q320" s="81"/>
      <c r="R320" s="82"/>
      <c r="S320" s="48"/>
      <c r="T320" s="50"/>
      <c r="U320" s="62"/>
      <c r="V320" s="63"/>
      <c r="W320" s="50"/>
      <c r="X320" s="48"/>
      <c r="Y320" s="63"/>
      <c r="Z320" s="63"/>
      <c r="AA320" s="64"/>
      <c r="AB320" s="65"/>
      <c r="AC320" s="66"/>
      <c r="AD320" s="67"/>
      <c r="AE320" s="68"/>
      <c r="AF320" s="48"/>
      <c r="AG320" s="63"/>
      <c r="AH320" s="63"/>
      <c r="AI320" s="63"/>
      <c r="AJ320" s="63"/>
      <c r="AK320" s="63"/>
      <c r="AL320" s="63"/>
      <c r="AM320" s="63"/>
      <c r="AN320" s="63"/>
      <c r="AO320" s="63"/>
      <c r="AP320" s="63"/>
      <c r="AQ320" s="63"/>
      <c r="AR320" s="63"/>
      <c r="AS320" s="63"/>
      <c r="AT320" s="63"/>
      <c r="AU320" s="63"/>
      <c r="AV320" s="63"/>
      <c r="AW320" s="50"/>
      <c r="AX320" s="69"/>
      <c r="AY320" s="69"/>
      <c r="AZ320" s="54"/>
      <c r="BA320" s="54"/>
      <c r="BB320" s="54"/>
      <c r="BC320" s="54"/>
      <c r="BD320" s="54"/>
      <c r="BE320" s="70"/>
      <c r="BF320" s="63"/>
      <c r="BG320" s="71">
        <v>0</v>
      </c>
      <c r="BH320" s="67"/>
      <c r="BI320" s="68"/>
      <c r="BJ320" s="72">
        <v>0</v>
      </c>
      <c r="BK320" s="62"/>
      <c r="BL320" s="70"/>
      <c r="BM320" s="70"/>
      <c r="BN320" s="70"/>
      <c r="BO320" s="70"/>
      <c r="BP320" s="73"/>
      <c r="BQ320" s="48"/>
      <c r="BR320" s="63"/>
      <c r="BS320" s="50"/>
      <c r="BT320" s="76" t="e">
        <v>#DIV/0!</v>
      </c>
      <c r="BU320" s="77" t="e">
        <v>#DIV/0!</v>
      </c>
      <c r="BV320" s="78">
        <v>0</v>
      </c>
      <c r="BW320" s="79">
        <v>0</v>
      </c>
      <c r="BX320" s="62"/>
      <c r="BY320" s="63"/>
      <c r="BZ320" s="63"/>
      <c r="CA320" s="63"/>
      <c r="CB320" s="63"/>
      <c r="CC320" s="63"/>
      <c r="CD320" s="63"/>
      <c r="CE320" s="50"/>
    </row>
    <row r="321" spans="2:83" x14ac:dyDescent="0.3">
      <c r="B321" s="46">
        <v>0</v>
      </c>
      <c r="C321" s="47"/>
      <c r="D321" s="48"/>
      <c r="E321" s="49"/>
      <c r="F321" s="50"/>
      <c r="G321" s="51" t="e">
        <v>#DIV/0!</v>
      </c>
      <c r="H321" s="52" t="e">
        <v>#DIV/0!</v>
      </c>
      <c r="I321" s="53"/>
      <c r="J321" s="54"/>
      <c r="K321" s="54"/>
      <c r="L321" s="55"/>
      <c r="M321" s="56"/>
      <c r="N321" s="57">
        <v>0</v>
      </c>
      <c r="O321" s="58"/>
      <c r="P321" s="59"/>
      <c r="Q321" s="81"/>
      <c r="R321" s="82"/>
      <c r="S321" s="48"/>
      <c r="T321" s="50"/>
      <c r="U321" s="62"/>
      <c r="V321" s="63"/>
      <c r="W321" s="50"/>
      <c r="X321" s="48"/>
      <c r="Y321" s="63"/>
      <c r="Z321" s="63"/>
      <c r="AA321" s="64"/>
      <c r="AB321" s="65"/>
      <c r="AC321" s="66"/>
      <c r="AD321" s="67"/>
      <c r="AE321" s="68"/>
      <c r="AF321" s="48"/>
      <c r="AG321" s="63"/>
      <c r="AH321" s="63"/>
      <c r="AI321" s="63"/>
      <c r="AJ321" s="63"/>
      <c r="AK321" s="63"/>
      <c r="AL321" s="63"/>
      <c r="AM321" s="63"/>
      <c r="AN321" s="63"/>
      <c r="AO321" s="63"/>
      <c r="AP321" s="63"/>
      <c r="AQ321" s="63"/>
      <c r="AR321" s="63"/>
      <c r="AS321" s="63"/>
      <c r="AT321" s="63"/>
      <c r="AU321" s="63"/>
      <c r="AV321" s="63"/>
      <c r="AW321" s="50"/>
      <c r="AX321" s="69"/>
      <c r="AY321" s="69"/>
      <c r="AZ321" s="54"/>
      <c r="BA321" s="54"/>
      <c r="BB321" s="54"/>
      <c r="BC321" s="54"/>
      <c r="BD321" s="54"/>
      <c r="BE321" s="70"/>
      <c r="BF321" s="63"/>
      <c r="BG321" s="71">
        <v>0</v>
      </c>
      <c r="BH321" s="67"/>
      <c r="BI321" s="68"/>
      <c r="BJ321" s="72">
        <v>0</v>
      </c>
      <c r="BK321" s="62"/>
      <c r="BL321" s="70"/>
      <c r="BM321" s="70"/>
      <c r="BN321" s="70"/>
      <c r="BO321" s="70"/>
      <c r="BP321" s="73"/>
      <c r="BQ321" s="48"/>
      <c r="BR321" s="63"/>
      <c r="BS321" s="50"/>
      <c r="BT321" s="76" t="e">
        <v>#DIV/0!</v>
      </c>
      <c r="BU321" s="77" t="e">
        <v>#DIV/0!</v>
      </c>
      <c r="BV321" s="78">
        <v>0</v>
      </c>
      <c r="BW321" s="79">
        <v>0</v>
      </c>
      <c r="BX321" s="62"/>
      <c r="BY321" s="63"/>
      <c r="BZ321" s="63"/>
      <c r="CA321" s="63"/>
      <c r="CB321" s="63"/>
      <c r="CC321" s="63"/>
      <c r="CD321" s="63"/>
      <c r="CE321" s="50"/>
    </row>
    <row r="322" spans="2:83" x14ac:dyDescent="0.3">
      <c r="B322" s="46">
        <v>0</v>
      </c>
      <c r="C322" s="47"/>
      <c r="D322" s="48"/>
      <c r="E322" s="49"/>
      <c r="F322" s="50"/>
      <c r="G322" s="51" t="e">
        <v>#DIV/0!</v>
      </c>
      <c r="H322" s="52" t="e">
        <v>#DIV/0!</v>
      </c>
      <c r="I322" s="53"/>
      <c r="J322" s="54"/>
      <c r="K322" s="54"/>
      <c r="L322" s="55"/>
      <c r="M322" s="56"/>
      <c r="N322" s="57">
        <v>0</v>
      </c>
      <c r="O322" s="58"/>
      <c r="P322" s="59"/>
      <c r="Q322" s="81"/>
      <c r="R322" s="82"/>
      <c r="S322" s="48"/>
      <c r="T322" s="50"/>
      <c r="U322" s="62"/>
      <c r="V322" s="63"/>
      <c r="W322" s="50"/>
      <c r="X322" s="48"/>
      <c r="Y322" s="63"/>
      <c r="Z322" s="63"/>
      <c r="AA322" s="64"/>
      <c r="AB322" s="65"/>
      <c r="AC322" s="66"/>
      <c r="AD322" s="67"/>
      <c r="AE322" s="68"/>
      <c r="AF322" s="48"/>
      <c r="AG322" s="63"/>
      <c r="AH322" s="63"/>
      <c r="AI322" s="63"/>
      <c r="AJ322" s="63"/>
      <c r="AK322" s="63"/>
      <c r="AL322" s="63"/>
      <c r="AM322" s="63"/>
      <c r="AN322" s="63"/>
      <c r="AO322" s="63"/>
      <c r="AP322" s="63"/>
      <c r="AQ322" s="63"/>
      <c r="AR322" s="63"/>
      <c r="AS322" s="63"/>
      <c r="AT322" s="63"/>
      <c r="AU322" s="63"/>
      <c r="AV322" s="63"/>
      <c r="AW322" s="50"/>
      <c r="AX322" s="69"/>
      <c r="AY322" s="69"/>
      <c r="AZ322" s="54"/>
      <c r="BA322" s="54"/>
      <c r="BB322" s="54"/>
      <c r="BC322" s="54"/>
      <c r="BD322" s="54"/>
      <c r="BE322" s="70"/>
      <c r="BF322" s="63"/>
      <c r="BG322" s="71">
        <v>0</v>
      </c>
      <c r="BH322" s="67"/>
      <c r="BI322" s="68"/>
      <c r="BJ322" s="72">
        <v>0</v>
      </c>
      <c r="BK322" s="62"/>
      <c r="BL322" s="70"/>
      <c r="BM322" s="70"/>
      <c r="BN322" s="70"/>
      <c r="BO322" s="70"/>
      <c r="BP322" s="73"/>
      <c r="BQ322" s="48"/>
      <c r="BR322" s="63"/>
      <c r="BS322" s="50"/>
      <c r="BT322" s="76" t="e">
        <v>#DIV/0!</v>
      </c>
      <c r="BU322" s="77" t="e">
        <v>#DIV/0!</v>
      </c>
      <c r="BV322" s="78">
        <v>0</v>
      </c>
      <c r="BW322" s="79">
        <v>0</v>
      </c>
      <c r="BX322" s="62"/>
      <c r="BY322" s="63"/>
      <c r="BZ322" s="63"/>
      <c r="CA322" s="63"/>
      <c r="CB322" s="63"/>
      <c r="CC322" s="63"/>
      <c r="CD322" s="63"/>
      <c r="CE322" s="50"/>
    </row>
    <row r="323" spans="2:83" x14ac:dyDescent="0.3">
      <c r="B323" s="46">
        <v>0</v>
      </c>
      <c r="C323" s="47"/>
      <c r="D323" s="48"/>
      <c r="E323" s="49"/>
      <c r="F323" s="50"/>
      <c r="G323" s="51" t="e">
        <v>#DIV/0!</v>
      </c>
      <c r="H323" s="52" t="e">
        <v>#DIV/0!</v>
      </c>
      <c r="I323" s="53"/>
      <c r="J323" s="54"/>
      <c r="K323" s="54"/>
      <c r="L323" s="55"/>
      <c r="M323" s="56"/>
      <c r="N323" s="57">
        <v>0</v>
      </c>
      <c r="O323" s="58"/>
      <c r="P323" s="59"/>
      <c r="Q323" s="81"/>
      <c r="R323" s="82"/>
      <c r="S323" s="48"/>
      <c r="T323" s="50"/>
      <c r="U323" s="62"/>
      <c r="V323" s="63"/>
      <c r="W323" s="50"/>
      <c r="X323" s="48"/>
      <c r="Y323" s="63"/>
      <c r="Z323" s="63"/>
      <c r="AA323" s="64"/>
      <c r="AB323" s="65"/>
      <c r="AC323" s="66"/>
      <c r="AD323" s="67"/>
      <c r="AE323" s="68"/>
      <c r="AF323" s="48"/>
      <c r="AG323" s="63"/>
      <c r="AH323" s="63"/>
      <c r="AI323" s="63"/>
      <c r="AJ323" s="63"/>
      <c r="AK323" s="63"/>
      <c r="AL323" s="63"/>
      <c r="AM323" s="63"/>
      <c r="AN323" s="63"/>
      <c r="AO323" s="63"/>
      <c r="AP323" s="63"/>
      <c r="AQ323" s="63"/>
      <c r="AR323" s="63"/>
      <c r="AS323" s="63"/>
      <c r="AT323" s="63"/>
      <c r="AU323" s="63"/>
      <c r="AV323" s="63"/>
      <c r="AW323" s="50"/>
      <c r="AX323" s="69"/>
      <c r="AY323" s="69"/>
      <c r="AZ323" s="54"/>
      <c r="BA323" s="54"/>
      <c r="BB323" s="54"/>
      <c r="BC323" s="54"/>
      <c r="BD323" s="54"/>
      <c r="BE323" s="70"/>
      <c r="BF323" s="63"/>
      <c r="BG323" s="71">
        <v>0</v>
      </c>
      <c r="BH323" s="67"/>
      <c r="BI323" s="68"/>
      <c r="BJ323" s="72">
        <v>0</v>
      </c>
      <c r="BK323" s="62"/>
      <c r="BL323" s="70"/>
      <c r="BM323" s="70"/>
      <c r="BN323" s="70"/>
      <c r="BO323" s="70"/>
      <c r="BP323" s="73"/>
      <c r="BQ323" s="48"/>
      <c r="BR323" s="63"/>
      <c r="BS323" s="50"/>
      <c r="BT323" s="76" t="e">
        <v>#DIV/0!</v>
      </c>
      <c r="BU323" s="77" t="e">
        <v>#DIV/0!</v>
      </c>
      <c r="BV323" s="78">
        <v>0</v>
      </c>
      <c r="BW323" s="79">
        <v>0</v>
      </c>
      <c r="BX323" s="62"/>
      <c r="BY323" s="63"/>
      <c r="BZ323" s="63"/>
      <c r="CA323" s="63"/>
      <c r="CB323" s="63"/>
      <c r="CC323" s="63"/>
      <c r="CD323" s="63"/>
      <c r="CE323" s="50"/>
    </row>
    <row r="324" spans="2:83" x14ac:dyDescent="0.3">
      <c r="B324" s="46">
        <v>0</v>
      </c>
      <c r="C324" s="47"/>
      <c r="D324" s="48"/>
      <c r="E324" s="49"/>
      <c r="F324" s="50"/>
      <c r="G324" s="51" t="e">
        <v>#DIV/0!</v>
      </c>
      <c r="H324" s="52" t="e">
        <v>#DIV/0!</v>
      </c>
      <c r="I324" s="53"/>
      <c r="J324" s="54"/>
      <c r="K324" s="54"/>
      <c r="L324" s="55"/>
      <c r="M324" s="56"/>
      <c r="N324" s="57">
        <v>0</v>
      </c>
      <c r="O324" s="58"/>
      <c r="P324" s="59"/>
      <c r="Q324" s="81"/>
      <c r="R324" s="82"/>
      <c r="S324" s="48"/>
      <c r="T324" s="50"/>
      <c r="U324" s="62"/>
      <c r="V324" s="63"/>
      <c r="W324" s="50"/>
      <c r="X324" s="48"/>
      <c r="Y324" s="63"/>
      <c r="Z324" s="63"/>
      <c r="AA324" s="64"/>
      <c r="AB324" s="65"/>
      <c r="AC324" s="66"/>
      <c r="AD324" s="67"/>
      <c r="AE324" s="68"/>
      <c r="AF324" s="48"/>
      <c r="AG324" s="63"/>
      <c r="AH324" s="63"/>
      <c r="AI324" s="63"/>
      <c r="AJ324" s="63"/>
      <c r="AK324" s="63"/>
      <c r="AL324" s="63"/>
      <c r="AM324" s="63"/>
      <c r="AN324" s="63"/>
      <c r="AO324" s="63"/>
      <c r="AP324" s="63"/>
      <c r="AQ324" s="63"/>
      <c r="AR324" s="63"/>
      <c r="AS324" s="63"/>
      <c r="AT324" s="63"/>
      <c r="AU324" s="63"/>
      <c r="AV324" s="63"/>
      <c r="AW324" s="50"/>
      <c r="AX324" s="69"/>
      <c r="AY324" s="69"/>
      <c r="AZ324" s="54"/>
      <c r="BA324" s="54"/>
      <c r="BB324" s="54"/>
      <c r="BC324" s="54"/>
      <c r="BD324" s="54"/>
      <c r="BE324" s="70"/>
      <c r="BF324" s="63"/>
      <c r="BG324" s="71">
        <v>0</v>
      </c>
      <c r="BH324" s="67"/>
      <c r="BI324" s="68"/>
      <c r="BJ324" s="72">
        <v>0</v>
      </c>
      <c r="BK324" s="62"/>
      <c r="BL324" s="70"/>
      <c r="BM324" s="70"/>
      <c r="BN324" s="70"/>
      <c r="BO324" s="70"/>
      <c r="BP324" s="73"/>
      <c r="BQ324" s="48"/>
      <c r="BR324" s="63"/>
      <c r="BS324" s="50"/>
      <c r="BT324" s="76" t="e">
        <v>#DIV/0!</v>
      </c>
      <c r="BU324" s="77" t="e">
        <v>#DIV/0!</v>
      </c>
      <c r="BV324" s="78">
        <v>0</v>
      </c>
      <c r="BW324" s="79">
        <v>0</v>
      </c>
      <c r="BX324" s="62"/>
      <c r="BY324" s="63"/>
      <c r="BZ324" s="63"/>
      <c r="CA324" s="63"/>
      <c r="CB324" s="63"/>
      <c r="CC324" s="63"/>
      <c r="CD324" s="63"/>
      <c r="CE324" s="50"/>
    </row>
    <row r="325" spans="2:83" x14ac:dyDescent="0.3">
      <c r="B325" s="46">
        <v>0</v>
      </c>
      <c r="C325" s="47"/>
      <c r="D325" s="48"/>
      <c r="E325" s="49"/>
      <c r="F325" s="50"/>
      <c r="G325" s="51" t="e">
        <v>#DIV/0!</v>
      </c>
      <c r="H325" s="52" t="e">
        <v>#DIV/0!</v>
      </c>
      <c r="I325" s="53"/>
      <c r="J325" s="54"/>
      <c r="K325" s="54"/>
      <c r="L325" s="55"/>
      <c r="M325" s="56"/>
      <c r="N325" s="57">
        <v>0</v>
      </c>
      <c r="O325" s="58"/>
      <c r="P325" s="59"/>
      <c r="Q325" s="81"/>
      <c r="R325" s="82"/>
      <c r="S325" s="48"/>
      <c r="T325" s="50"/>
      <c r="U325" s="62"/>
      <c r="V325" s="63"/>
      <c r="W325" s="50"/>
      <c r="X325" s="48"/>
      <c r="Y325" s="63"/>
      <c r="Z325" s="63"/>
      <c r="AA325" s="64"/>
      <c r="AB325" s="65"/>
      <c r="AC325" s="66"/>
      <c r="AD325" s="67"/>
      <c r="AE325" s="68"/>
      <c r="AF325" s="48"/>
      <c r="AG325" s="63"/>
      <c r="AH325" s="63"/>
      <c r="AI325" s="63"/>
      <c r="AJ325" s="63"/>
      <c r="AK325" s="63"/>
      <c r="AL325" s="63"/>
      <c r="AM325" s="63"/>
      <c r="AN325" s="63"/>
      <c r="AO325" s="63"/>
      <c r="AP325" s="63"/>
      <c r="AQ325" s="63"/>
      <c r="AR325" s="63"/>
      <c r="AS325" s="63"/>
      <c r="AT325" s="63"/>
      <c r="AU325" s="63"/>
      <c r="AV325" s="63"/>
      <c r="AW325" s="50"/>
      <c r="AX325" s="69"/>
      <c r="AY325" s="69"/>
      <c r="AZ325" s="54"/>
      <c r="BA325" s="54"/>
      <c r="BB325" s="54"/>
      <c r="BC325" s="54"/>
      <c r="BD325" s="54"/>
      <c r="BE325" s="70"/>
      <c r="BF325" s="63"/>
      <c r="BG325" s="71">
        <v>0</v>
      </c>
      <c r="BH325" s="67"/>
      <c r="BI325" s="68"/>
      <c r="BJ325" s="72">
        <v>0</v>
      </c>
      <c r="BK325" s="62"/>
      <c r="BL325" s="70"/>
      <c r="BM325" s="70"/>
      <c r="BN325" s="70"/>
      <c r="BO325" s="70"/>
      <c r="BP325" s="73"/>
      <c r="BQ325" s="48"/>
      <c r="BR325" s="63"/>
      <c r="BS325" s="50"/>
      <c r="BT325" s="76" t="e">
        <v>#DIV/0!</v>
      </c>
      <c r="BU325" s="77" t="e">
        <v>#DIV/0!</v>
      </c>
      <c r="BV325" s="78">
        <v>0</v>
      </c>
      <c r="BW325" s="79">
        <v>0</v>
      </c>
      <c r="BX325" s="62"/>
      <c r="BY325" s="63"/>
      <c r="BZ325" s="63"/>
      <c r="CA325" s="63"/>
      <c r="CB325" s="63"/>
      <c r="CC325" s="63"/>
      <c r="CD325" s="63"/>
      <c r="CE325" s="50"/>
    </row>
    <row r="326" spans="2:83" x14ac:dyDescent="0.3">
      <c r="B326" s="46">
        <v>0</v>
      </c>
      <c r="C326" s="47"/>
      <c r="D326" s="48"/>
      <c r="E326" s="49"/>
      <c r="F326" s="50"/>
      <c r="G326" s="51" t="e">
        <v>#DIV/0!</v>
      </c>
      <c r="H326" s="52" t="e">
        <v>#DIV/0!</v>
      </c>
      <c r="I326" s="53"/>
      <c r="J326" s="54"/>
      <c r="K326" s="54"/>
      <c r="L326" s="55"/>
      <c r="M326" s="56"/>
      <c r="N326" s="57">
        <v>0</v>
      </c>
      <c r="O326" s="58"/>
      <c r="P326" s="59"/>
      <c r="Q326" s="81"/>
      <c r="R326" s="82"/>
      <c r="S326" s="48"/>
      <c r="T326" s="50"/>
      <c r="U326" s="62"/>
      <c r="V326" s="63"/>
      <c r="W326" s="50"/>
      <c r="X326" s="48"/>
      <c r="Y326" s="63"/>
      <c r="Z326" s="63"/>
      <c r="AA326" s="64"/>
      <c r="AB326" s="65"/>
      <c r="AC326" s="66"/>
      <c r="AD326" s="67"/>
      <c r="AE326" s="68"/>
      <c r="AF326" s="48"/>
      <c r="AG326" s="63"/>
      <c r="AH326" s="63"/>
      <c r="AI326" s="63"/>
      <c r="AJ326" s="63"/>
      <c r="AK326" s="63"/>
      <c r="AL326" s="63"/>
      <c r="AM326" s="63"/>
      <c r="AN326" s="63"/>
      <c r="AO326" s="63"/>
      <c r="AP326" s="63"/>
      <c r="AQ326" s="63"/>
      <c r="AR326" s="63"/>
      <c r="AS326" s="63"/>
      <c r="AT326" s="63"/>
      <c r="AU326" s="63"/>
      <c r="AV326" s="63"/>
      <c r="AW326" s="50"/>
      <c r="AX326" s="69"/>
      <c r="AY326" s="69"/>
      <c r="AZ326" s="54"/>
      <c r="BA326" s="54"/>
      <c r="BB326" s="54"/>
      <c r="BC326" s="54"/>
      <c r="BD326" s="54"/>
      <c r="BE326" s="70"/>
      <c r="BF326" s="63"/>
      <c r="BG326" s="71">
        <v>0</v>
      </c>
      <c r="BH326" s="67"/>
      <c r="BI326" s="68"/>
      <c r="BJ326" s="72">
        <v>0</v>
      </c>
      <c r="BK326" s="62"/>
      <c r="BL326" s="70"/>
      <c r="BM326" s="70"/>
      <c r="BN326" s="70"/>
      <c r="BO326" s="70"/>
      <c r="BP326" s="73"/>
      <c r="BQ326" s="48"/>
      <c r="BR326" s="63"/>
      <c r="BS326" s="50"/>
      <c r="BT326" s="76" t="e">
        <v>#DIV/0!</v>
      </c>
      <c r="BU326" s="77" t="e">
        <v>#DIV/0!</v>
      </c>
      <c r="BV326" s="78">
        <v>0</v>
      </c>
      <c r="BW326" s="79">
        <v>0</v>
      </c>
      <c r="BX326" s="62"/>
      <c r="BY326" s="63"/>
      <c r="BZ326" s="63"/>
      <c r="CA326" s="63"/>
      <c r="CB326" s="63"/>
      <c r="CC326" s="63"/>
      <c r="CD326" s="63"/>
      <c r="CE326" s="50"/>
    </row>
    <row r="327" spans="2:83" x14ac:dyDescent="0.3">
      <c r="B327" s="46">
        <v>0</v>
      </c>
      <c r="C327" s="47"/>
      <c r="D327" s="48"/>
      <c r="E327" s="49"/>
      <c r="F327" s="50"/>
      <c r="G327" s="51" t="e">
        <v>#DIV/0!</v>
      </c>
      <c r="H327" s="52" t="e">
        <v>#DIV/0!</v>
      </c>
      <c r="I327" s="53"/>
      <c r="J327" s="54"/>
      <c r="K327" s="54"/>
      <c r="L327" s="55"/>
      <c r="M327" s="56"/>
      <c r="N327" s="57">
        <v>0</v>
      </c>
      <c r="O327" s="58"/>
      <c r="P327" s="59"/>
      <c r="Q327" s="81"/>
      <c r="R327" s="82"/>
      <c r="S327" s="48"/>
      <c r="T327" s="50"/>
      <c r="U327" s="62"/>
      <c r="V327" s="63"/>
      <c r="W327" s="50"/>
      <c r="X327" s="48"/>
      <c r="Y327" s="63"/>
      <c r="Z327" s="63"/>
      <c r="AA327" s="64"/>
      <c r="AB327" s="65"/>
      <c r="AC327" s="66"/>
      <c r="AD327" s="67"/>
      <c r="AE327" s="68"/>
      <c r="AF327" s="48"/>
      <c r="AG327" s="63"/>
      <c r="AH327" s="63"/>
      <c r="AI327" s="63"/>
      <c r="AJ327" s="63"/>
      <c r="AK327" s="63"/>
      <c r="AL327" s="63"/>
      <c r="AM327" s="63"/>
      <c r="AN327" s="63"/>
      <c r="AO327" s="63"/>
      <c r="AP327" s="63"/>
      <c r="AQ327" s="63"/>
      <c r="AR327" s="63"/>
      <c r="AS327" s="63"/>
      <c r="AT327" s="63"/>
      <c r="AU327" s="63"/>
      <c r="AV327" s="63"/>
      <c r="AW327" s="50"/>
      <c r="AX327" s="69"/>
      <c r="AY327" s="69"/>
      <c r="AZ327" s="54"/>
      <c r="BA327" s="54"/>
      <c r="BB327" s="54"/>
      <c r="BC327" s="54"/>
      <c r="BD327" s="54"/>
      <c r="BE327" s="70"/>
      <c r="BF327" s="63"/>
      <c r="BG327" s="71">
        <v>0</v>
      </c>
      <c r="BH327" s="67"/>
      <c r="BI327" s="68"/>
      <c r="BJ327" s="72">
        <v>0</v>
      </c>
      <c r="BK327" s="62"/>
      <c r="BL327" s="70"/>
      <c r="BM327" s="70"/>
      <c r="BN327" s="70"/>
      <c r="BO327" s="70"/>
      <c r="BP327" s="73"/>
      <c r="BQ327" s="48"/>
      <c r="BR327" s="63"/>
      <c r="BS327" s="50"/>
      <c r="BT327" s="76" t="e">
        <v>#DIV/0!</v>
      </c>
      <c r="BU327" s="77" t="e">
        <v>#DIV/0!</v>
      </c>
      <c r="BV327" s="78">
        <v>0</v>
      </c>
      <c r="BW327" s="79">
        <v>0</v>
      </c>
      <c r="BX327" s="62"/>
      <c r="BY327" s="63"/>
      <c r="BZ327" s="63"/>
      <c r="CA327" s="63"/>
      <c r="CB327" s="63"/>
      <c r="CC327" s="63"/>
      <c r="CD327" s="63"/>
      <c r="CE327" s="50"/>
    </row>
    <row r="328" spans="2:83" x14ac:dyDescent="0.3">
      <c r="B328" s="46">
        <v>0</v>
      </c>
      <c r="C328" s="47"/>
      <c r="D328" s="48"/>
      <c r="E328" s="49"/>
      <c r="F328" s="50"/>
      <c r="G328" s="51" t="e">
        <v>#DIV/0!</v>
      </c>
      <c r="H328" s="52" t="e">
        <v>#DIV/0!</v>
      </c>
      <c r="I328" s="53"/>
      <c r="J328" s="54"/>
      <c r="K328" s="54"/>
      <c r="L328" s="55"/>
      <c r="M328" s="56"/>
      <c r="N328" s="57">
        <v>0</v>
      </c>
      <c r="O328" s="58"/>
      <c r="P328" s="59"/>
      <c r="Q328" s="81"/>
      <c r="R328" s="82"/>
      <c r="S328" s="48"/>
      <c r="T328" s="50"/>
      <c r="U328" s="62"/>
      <c r="V328" s="63"/>
      <c r="W328" s="50"/>
      <c r="X328" s="48"/>
      <c r="Y328" s="63"/>
      <c r="Z328" s="63"/>
      <c r="AA328" s="64"/>
      <c r="AB328" s="65"/>
      <c r="AC328" s="66"/>
      <c r="AD328" s="67"/>
      <c r="AE328" s="68"/>
      <c r="AF328" s="48"/>
      <c r="AG328" s="63"/>
      <c r="AH328" s="63"/>
      <c r="AI328" s="63"/>
      <c r="AJ328" s="63"/>
      <c r="AK328" s="63"/>
      <c r="AL328" s="63"/>
      <c r="AM328" s="63"/>
      <c r="AN328" s="63"/>
      <c r="AO328" s="63"/>
      <c r="AP328" s="63"/>
      <c r="AQ328" s="63"/>
      <c r="AR328" s="63"/>
      <c r="AS328" s="63"/>
      <c r="AT328" s="63"/>
      <c r="AU328" s="63"/>
      <c r="AV328" s="63"/>
      <c r="AW328" s="50"/>
      <c r="AX328" s="69"/>
      <c r="AY328" s="69"/>
      <c r="AZ328" s="54"/>
      <c r="BA328" s="54"/>
      <c r="BB328" s="54"/>
      <c r="BC328" s="54"/>
      <c r="BD328" s="54"/>
      <c r="BE328" s="70"/>
      <c r="BF328" s="63"/>
      <c r="BG328" s="71">
        <v>0</v>
      </c>
      <c r="BH328" s="67"/>
      <c r="BI328" s="68"/>
      <c r="BJ328" s="72">
        <v>0</v>
      </c>
      <c r="BK328" s="62"/>
      <c r="BL328" s="70"/>
      <c r="BM328" s="70"/>
      <c r="BN328" s="70"/>
      <c r="BO328" s="70"/>
      <c r="BP328" s="73"/>
      <c r="BQ328" s="48"/>
      <c r="BR328" s="63"/>
      <c r="BS328" s="50"/>
      <c r="BT328" s="76" t="e">
        <v>#DIV/0!</v>
      </c>
      <c r="BU328" s="77" t="e">
        <v>#DIV/0!</v>
      </c>
      <c r="BV328" s="78">
        <v>0</v>
      </c>
      <c r="BW328" s="79">
        <v>0</v>
      </c>
      <c r="BX328" s="62"/>
      <c r="BY328" s="63"/>
      <c r="BZ328" s="63"/>
      <c r="CA328" s="63"/>
      <c r="CB328" s="63"/>
      <c r="CC328" s="63"/>
      <c r="CD328" s="63"/>
      <c r="CE328" s="50"/>
    </row>
    <row r="329" spans="2:83" x14ac:dyDescent="0.3">
      <c r="B329" s="46">
        <v>0</v>
      </c>
      <c r="C329" s="47"/>
      <c r="D329" s="48"/>
      <c r="E329" s="49"/>
      <c r="F329" s="50"/>
      <c r="G329" s="51" t="e">
        <v>#DIV/0!</v>
      </c>
      <c r="H329" s="52" t="e">
        <v>#DIV/0!</v>
      </c>
      <c r="I329" s="53"/>
      <c r="J329" s="54"/>
      <c r="K329" s="54"/>
      <c r="L329" s="55"/>
      <c r="M329" s="56"/>
      <c r="N329" s="57">
        <v>0</v>
      </c>
      <c r="O329" s="58"/>
      <c r="P329" s="59"/>
      <c r="Q329" s="81"/>
      <c r="R329" s="82"/>
      <c r="S329" s="48"/>
      <c r="T329" s="50"/>
      <c r="U329" s="62"/>
      <c r="V329" s="63"/>
      <c r="W329" s="50"/>
      <c r="X329" s="48"/>
      <c r="Y329" s="63"/>
      <c r="Z329" s="63"/>
      <c r="AA329" s="64"/>
      <c r="AB329" s="65"/>
      <c r="AC329" s="66"/>
      <c r="AD329" s="67"/>
      <c r="AE329" s="68"/>
      <c r="AF329" s="48"/>
      <c r="AG329" s="63"/>
      <c r="AH329" s="63"/>
      <c r="AI329" s="63"/>
      <c r="AJ329" s="63"/>
      <c r="AK329" s="63"/>
      <c r="AL329" s="63"/>
      <c r="AM329" s="63"/>
      <c r="AN329" s="63"/>
      <c r="AO329" s="63"/>
      <c r="AP329" s="63"/>
      <c r="AQ329" s="63"/>
      <c r="AR329" s="63"/>
      <c r="AS329" s="63"/>
      <c r="AT329" s="63"/>
      <c r="AU329" s="63"/>
      <c r="AV329" s="63"/>
      <c r="AW329" s="50"/>
      <c r="AX329" s="69"/>
      <c r="AY329" s="69"/>
      <c r="AZ329" s="54"/>
      <c r="BA329" s="54"/>
      <c r="BB329" s="54"/>
      <c r="BC329" s="54"/>
      <c r="BD329" s="54"/>
      <c r="BE329" s="70"/>
      <c r="BF329" s="63"/>
      <c r="BG329" s="71">
        <v>0</v>
      </c>
      <c r="BH329" s="67"/>
      <c r="BI329" s="68"/>
      <c r="BJ329" s="72">
        <v>0</v>
      </c>
      <c r="BK329" s="62"/>
      <c r="BL329" s="70"/>
      <c r="BM329" s="70"/>
      <c r="BN329" s="70"/>
      <c r="BO329" s="70"/>
      <c r="BP329" s="73"/>
      <c r="BQ329" s="48"/>
      <c r="BR329" s="63"/>
      <c r="BS329" s="50"/>
      <c r="BT329" s="76" t="e">
        <v>#DIV/0!</v>
      </c>
      <c r="BU329" s="77" t="e">
        <v>#DIV/0!</v>
      </c>
      <c r="BV329" s="78">
        <v>0</v>
      </c>
      <c r="BW329" s="79">
        <v>0</v>
      </c>
      <c r="BX329" s="62"/>
      <c r="BY329" s="63"/>
      <c r="BZ329" s="63"/>
      <c r="CA329" s="63"/>
      <c r="CB329" s="63"/>
      <c r="CC329" s="63"/>
      <c r="CD329" s="63"/>
      <c r="CE329" s="50"/>
    </row>
    <row r="330" spans="2:83" x14ac:dyDescent="0.3">
      <c r="B330" s="46">
        <v>0</v>
      </c>
      <c r="C330" s="47"/>
      <c r="D330" s="48"/>
      <c r="E330" s="49"/>
      <c r="F330" s="50"/>
      <c r="G330" s="51" t="e">
        <v>#DIV/0!</v>
      </c>
      <c r="H330" s="52" t="e">
        <v>#DIV/0!</v>
      </c>
      <c r="I330" s="53"/>
      <c r="J330" s="54"/>
      <c r="K330" s="54"/>
      <c r="L330" s="55"/>
      <c r="M330" s="56"/>
      <c r="N330" s="57">
        <v>0</v>
      </c>
      <c r="O330" s="58"/>
      <c r="P330" s="59"/>
      <c r="Q330" s="81"/>
      <c r="R330" s="82"/>
      <c r="S330" s="48"/>
      <c r="T330" s="50"/>
      <c r="U330" s="62"/>
      <c r="V330" s="63"/>
      <c r="W330" s="50"/>
      <c r="X330" s="48"/>
      <c r="Y330" s="63"/>
      <c r="Z330" s="63"/>
      <c r="AA330" s="64"/>
      <c r="AB330" s="65"/>
      <c r="AC330" s="66"/>
      <c r="AD330" s="67"/>
      <c r="AE330" s="68"/>
      <c r="AF330" s="48"/>
      <c r="AG330" s="63"/>
      <c r="AH330" s="63"/>
      <c r="AI330" s="63"/>
      <c r="AJ330" s="63"/>
      <c r="AK330" s="63"/>
      <c r="AL330" s="63"/>
      <c r="AM330" s="63"/>
      <c r="AN330" s="63"/>
      <c r="AO330" s="63"/>
      <c r="AP330" s="63"/>
      <c r="AQ330" s="63"/>
      <c r="AR330" s="63"/>
      <c r="AS330" s="63"/>
      <c r="AT330" s="63"/>
      <c r="AU330" s="63"/>
      <c r="AV330" s="63"/>
      <c r="AW330" s="50"/>
      <c r="AX330" s="69"/>
      <c r="AY330" s="69"/>
      <c r="AZ330" s="54"/>
      <c r="BA330" s="54"/>
      <c r="BB330" s="54"/>
      <c r="BC330" s="54"/>
      <c r="BD330" s="54"/>
      <c r="BE330" s="70"/>
      <c r="BF330" s="63"/>
      <c r="BG330" s="71">
        <v>0</v>
      </c>
      <c r="BH330" s="67"/>
      <c r="BI330" s="68"/>
      <c r="BJ330" s="72">
        <v>0</v>
      </c>
      <c r="BK330" s="62"/>
      <c r="BL330" s="70"/>
      <c r="BM330" s="70"/>
      <c r="BN330" s="70"/>
      <c r="BO330" s="70"/>
      <c r="BP330" s="73"/>
      <c r="BQ330" s="48"/>
      <c r="BR330" s="63"/>
      <c r="BS330" s="50"/>
      <c r="BT330" s="76" t="e">
        <v>#DIV/0!</v>
      </c>
      <c r="BU330" s="77" t="e">
        <v>#DIV/0!</v>
      </c>
      <c r="BV330" s="78">
        <v>0</v>
      </c>
      <c r="BW330" s="79">
        <v>0</v>
      </c>
      <c r="BX330" s="62"/>
      <c r="BY330" s="63"/>
      <c r="BZ330" s="63"/>
      <c r="CA330" s="63"/>
      <c r="CB330" s="63"/>
      <c r="CC330" s="63"/>
      <c r="CD330" s="63"/>
      <c r="CE330" s="50"/>
    </row>
    <row r="331" spans="2:83" x14ac:dyDescent="0.3">
      <c r="B331" s="46">
        <v>0</v>
      </c>
      <c r="C331" s="47"/>
      <c r="D331" s="48"/>
      <c r="E331" s="49"/>
      <c r="F331" s="50"/>
      <c r="G331" s="51" t="e">
        <v>#DIV/0!</v>
      </c>
      <c r="H331" s="52" t="e">
        <v>#DIV/0!</v>
      </c>
      <c r="I331" s="53"/>
      <c r="J331" s="54"/>
      <c r="K331" s="54"/>
      <c r="L331" s="55"/>
      <c r="M331" s="56"/>
      <c r="N331" s="57">
        <v>0</v>
      </c>
      <c r="O331" s="58"/>
      <c r="P331" s="59"/>
      <c r="Q331" s="81"/>
      <c r="R331" s="82"/>
      <c r="S331" s="48"/>
      <c r="T331" s="50"/>
      <c r="U331" s="62"/>
      <c r="V331" s="63"/>
      <c r="W331" s="50"/>
      <c r="X331" s="48"/>
      <c r="Y331" s="63"/>
      <c r="Z331" s="63"/>
      <c r="AA331" s="64"/>
      <c r="AB331" s="65"/>
      <c r="AC331" s="66"/>
      <c r="AD331" s="67"/>
      <c r="AE331" s="68"/>
      <c r="AF331" s="48"/>
      <c r="AG331" s="63"/>
      <c r="AH331" s="63"/>
      <c r="AI331" s="63"/>
      <c r="AJ331" s="63"/>
      <c r="AK331" s="63"/>
      <c r="AL331" s="63"/>
      <c r="AM331" s="63"/>
      <c r="AN331" s="63"/>
      <c r="AO331" s="63"/>
      <c r="AP331" s="63"/>
      <c r="AQ331" s="63"/>
      <c r="AR331" s="63"/>
      <c r="AS331" s="63"/>
      <c r="AT331" s="63"/>
      <c r="AU331" s="63"/>
      <c r="AV331" s="63"/>
      <c r="AW331" s="50"/>
      <c r="AX331" s="69"/>
      <c r="AY331" s="69"/>
      <c r="AZ331" s="54"/>
      <c r="BA331" s="54"/>
      <c r="BB331" s="54"/>
      <c r="BC331" s="54"/>
      <c r="BD331" s="54"/>
      <c r="BE331" s="70"/>
      <c r="BF331" s="63"/>
      <c r="BG331" s="71">
        <v>0</v>
      </c>
      <c r="BH331" s="67"/>
      <c r="BI331" s="68"/>
      <c r="BJ331" s="72">
        <v>0</v>
      </c>
      <c r="BK331" s="62"/>
      <c r="BL331" s="70"/>
      <c r="BM331" s="70"/>
      <c r="BN331" s="70"/>
      <c r="BO331" s="70"/>
      <c r="BP331" s="73"/>
      <c r="BQ331" s="48"/>
      <c r="BR331" s="63"/>
      <c r="BS331" s="50"/>
      <c r="BT331" s="76" t="e">
        <v>#DIV/0!</v>
      </c>
      <c r="BU331" s="77" t="e">
        <v>#DIV/0!</v>
      </c>
      <c r="BV331" s="78">
        <v>0</v>
      </c>
      <c r="BW331" s="79">
        <v>0</v>
      </c>
      <c r="BX331" s="62"/>
      <c r="BY331" s="63"/>
      <c r="BZ331" s="63"/>
      <c r="CA331" s="63"/>
      <c r="CB331" s="63"/>
      <c r="CC331" s="63"/>
      <c r="CD331" s="63"/>
      <c r="CE331" s="50"/>
    </row>
    <row r="332" spans="2:83" x14ac:dyDescent="0.3">
      <c r="B332" s="46">
        <v>0</v>
      </c>
      <c r="C332" s="47"/>
      <c r="D332" s="48"/>
      <c r="E332" s="49"/>
      <c r="F332" s="50"/>
      <c r="G332" s="51" t="e">
        <v>#DIV/0!</v>
      </c>
      <c r="H332" s="52" t="e">
        <v>#DIV/0!</v>
      </c>
      <c r="I332" s="53"/>
      <c r="J332" s="54"/>
      <c r="K332" s="54"/>
      <c r="L332" s="55"/>
      <c r="M332" s="56"/>
      <c r="N332" s="57">
        <v>0</v>
      </c>
      <c r="O332" s="58"/>
      <c r="P332" s="59"/>
      <c r="Q332" s="81"/>
      <c r="R332" s="82"/>
      <c r="S332" s="48"/>
      <c r="T332" s="50"/>
      <c r="U332" s="62"/>
      <c r="V332" s="63"/>
      <c r="W332" s="50"/>
      <c r="X332" s="48"/>
      <c r="Y332" s="63"/>
      <c r="Z332" s="63"/>
      <c r="AA332" s="64"/>
      <c r="AB332" s="65"/>
      <c r="AC332" s="66"/>
      <c r="AD332" s="67"/>
      <c r="AE332" s="68"/>
      <c r="AF332" s="48"/>
      <c r="AG332" s="63"/>
      <c r="AH332" s="63"/>
      <c r="AI332" s="63"/>
      <c r="AJ332" s="63"/>
      <c r="AK332" s="63"/>
      <c r="AL332" s="63"/>
      <c r="AM332" s="63"/>
      <c r="AN332" s="63"/>
      <c r="AO332" s="63"/>
      <c r="AP332" s="63"/>
      <c r="AQ332" s="63"/>
      <c r="AR332" s="63"/>
      <c r="AS332" s="63"/>
      <c r="AT332" s="63"/>
      <c r="AU332" s="63"/>
      <c r="AV332" s="63"/>
      <c r="AW332" s="50"/>
      <c r="AX332" s="69"/>
      <c r="AY332" s="69"/>
      <c r="AZ332" s="54"/>
      <c r="BA332" s="54"/>
      <c r="BB332" s="54"/>
      <c r="BC332" s="54"/>
      <c r="BD332" s="54"/>
      <c r="BE332" s="70"/>
      <c r="BF332" s="63"/>
      <c r="BG332" s="71">
        <v>0</v>
      </c>
      <c r="BH332" s="67"/>
      <c r="BI332" s="68"/>
      <c r="BJ332" s="72">
        <v>0</v>
      </c>
      <c r="BK332" s="62"/>
      <c r="BL332" s="70"/>
      <c r="BM332" s="70"/>
      <c r="BN332" s="70"/>
      <c r="BO332" s="70"/>
      <c r="BP332" s="73"/>
      <c r="BQ332" s="48"/>
      <c r="BR332" s="63"/>
      <c r="BS332" s="50"/>
      <c r="BT332" s="76" t="e">
        <v>#DIV/0!</v>
      </c>
      <c r="BU332" s="77" t="e">
        <v>#DIV/0!</v>
      </c>
      <c r="BV332" s="78">
        <v>0</v>
      </c>
      <c r="BW332" s="79">
        <v>0</v>
      </c>
      <c r="BX332" s="62"/>
      <c r="BY332" s="63"/>
      <c r="BZ332" s="63"/>
      <c r="CA332" s="63"/>
      <c r="CB332" s="63"/>
      <c r="CC332" s="63"/>
      <c r="CD332" s="63"/>
      <c r="CE332" s="50"/>
    </row>
    <row r="333" spans="2:83" x14ac:dyDescent="0.3">
      <c r="B333" s="46">
        <v>0</v>
      </c>
      <c r="C333" s="47"/>
      <c r="D333" s="48"/>
      <c r="E333" s="49"/>
      <c r="F333" s="50"/>
      <c r="G333" s="51" t="e">
        <v>#DIV/0!</v>
      </c>
      <c r="H333" s="52" t="e">
        <v>#DIV/0!</v>
      </c>
      <c r="I333" s="53"/>
      <c r="J333" s="54"/>
      <c r="K333" s="54"/>
      <c r="L333" s="55"/>
      <c r="M333" s="56"/>
      <c r="N333" s="57">
        <v>0</v>
      </c>
      <c r="O333" s="58"/>
      <c r="P333" s="59"/>
      <c r="Q333" s="81"/>
      <c r="R333" s="82"/>
      <c r="S333" s="48"/>
      <c r="T333" s="50"/>
      <c r="U333" s="62"/>
      <c r="V333" s="63"/>
      <c r="W333" s="50"/>
      <c r="X333" s="48"/>
      <c r="Y333" s="63"/>
      <c r="Z333" s="63"/>
      <c r="AA333" s="64"/>
      <c r="AB333" s="65"/>
      <c r="AC333" s="66"/>
      <c r="AD333" s="67"/>
      <c r="AE333" s="68"/>
      <c r="AF333" s="48"/>
      <c r="AG333" s="63"/>
      <c r="AH333" s="63"/>
      <c r="AI333" s="63"/>
      <c r="AJ333" s="63"/>
      <c r="AK333" s="63"/>
      <c r="AL333" s="63"/>
      <c r="AM333" s="63"/>
      <c r="AN333" s="63"/>
      <c r="AO333" s="63"/>
      <c r="AP333" s="63"/>
      <c r="AQ333" s="63"/>
      <c r="AR333" s="63"/>
      <c r="AS333" s="63"/>
      <c r="AT333" s="63"/>
      <c r="AU333" s="63"/>
      <c r="AV333" s="63"/>
      <c r="AW333" s="50"/>
      <c r="AX333" s="69"/>
      <c r="AY333" s="69"/>
      <c r="AZ333" s="54"/>
      <c r="BA333" s="54"/>
      <c r="BB333" s="54"/>
      <c r="BC333" s="54"/>
      <c r="BD333" s="54"/>
      <c r="BE333" s="70"/>
      <c r="BF333" s="63"/>
      <c r="BG333" s="71">
        <v>0</v>
      </c>
      <c r="BH333" s="67"/>
      <c r="BI333" s="68"/>
      <c r="BJ333" s="72">
        <v>0</v>
      </c>
      <c r="BK333" s="62"/>
      <c r="BL333" s="70"/>
      <c r="BM333" s="70"/>
      <c r="BN333" s="70"/>
      <c r="BO333" s="70"/>
      <c r="BP333" s="73"/>
      <c r="BQ333" s="48"/>
      <c r="BR333" s="63"/>
      <c r="BS333" s="50"/>
      <c r="BT333" s="76" t="e">
        <v>#DIV/0!</v>
      </c>
      <c r="BU333" s="77" t="e">
        <v>#DIV/0!</v>
      </c>
      <c r="BV333" s="78">
        <v>0</v>
      </c>
      <c r="BW333" s="79">
        <v>0</v>
      </c>
      <c r="BX333" s="62"/>
      <c r="BY333" s="63"/>
      <c r="BZ333" s="63"/>
      <c r="CA333" s="63"/>
      <c r="CB333" s="63"/>
      <c r="CC333" s="63"/>
      <c r="CD333" s="63"/>
      <c r="CE333" s="50"/>
    </row>
    <row r="334" spans="2:83" x14ac:dyDescent="0.3">
      <c r="B334" s="46">
        <v>0</v>
      </c>
      <c r="C334" s="47"/>
      <c r="D334" s="48"/>
      <c r="E334" s="49"/>
      <c r="F334" s="50"/>
      <c r="G334" s="51" t="e">
        <v>#DIV/0!</v>
      </c>
      <c r="H334" s="52" t="e">
        <v>#DIV/0!</v>
      </c>
      <c r="I334" s="53"/>
      <c r="J334" s="54"/>
      <c r="K334" s="54"/>
      <c r="L334" s="55"/>
      <c r="M334" s="56"/>
      <c r="N334" s="57">
        <v>0</v>
      </c>
      <c r="O334" s="58"/>
      <c r="P334" s="59"/>
      <c r="Q334" s="81"/>
      <c r="R334" s="82"/>
      <c r="S334" s="48"/>
      <c r="T334" s="50"/>
      <c r="U334" s="62"/>
      <c r="V334" s="63"/>
      <c r="W334" s="50"/>
      <c r="X334" s="48"/>
      <c r="Y334" s="63"/>
      <c r="Z334" s="63"/>
      <c r="AA334" s="64"/>
      <c r="AB334" s="65"/>
      <c r="AC334" s="66"/>
      <c r="AD334" s="67"/>
      <c r="AE334" s="68"/>
      <c r="AF334" s="48"/>
      <c r="AG334" s="63"/>
      <c r="AH334" s="63"/>
      <c r="AI334" s="63"/>
      <c r="AJ334" s="63"/>
      <c r="AK334" s="63"/>
      <c r="AL334" s="63"/>
      <c r="AM334" s="63"/>
      <c r="AN334" s="63"/>
      <c r="AO334" s="63"/>
      <c r="AP334" s="63"/>
      <c r="AQ334" s="63"/>
      <c r="AR334" s="63"/>
      <c r="AS334" s="63"/>
      <c r="AT334" s="63"/>
      <c r="AU334" s="63"/>
      <c r="AV334" s="63"/>
      <c r="AW334" s="50"/>
      <c r="AX334" s="69"/>
      <c r="AY334" s="69"/>
      <c r="AZ334" s="54"/>
      <c r="BA334" s="54"/>
      <c r="BB334" s="54"/>
      <c r="BC334" s="54"/>
      <c r="BD334" s="54"/>
      <c r="BE334" s="70"/>
      <c r="BF334" s="63"/>
      <c r="BG334" s="71">
        <v>0</v>
      </c>
      <c r="BH334" s="67"/>
      <c r="BI334" s="68"/>
      <c r="BJ334" s="72">
        <v>0</v>
      </c>
      <c r="BK334" s="62"/>
      <c r="BL334" s="70"/>
      <c r="BM334" s="70"/>
      <c r="BN334" s="70"/>
      <c r="BO334" s="70"/>
      <c r="BP334" s="73"/>
      <c r="BQ334" s="48"/>
      <c r="BR334" s="63"/>
      <c r="BS334" s="50"/>
      <c r="BT334" s="76" t="e">
        <v>#DIV/0!</v>
      </c>
      <c r="BU334" s="77" t="e">
        <v>#DIV/0!</v>
      </c>
      <c r="BV334" s="78">
        <v>0</v>
      </c>
      <c r="BW334" s="79">
        <v>0</v>
      </c>
      <c r="BX334" s="62"/>
      <c r="BY334" s="63"/>
      <c r="BZ334" s="63"/>
      <c r="CA334" s="63"/>
      <c r="CB334" s="63"/>
      <c r="CC334" s="63"/>
      <c r="CD334" s="63"/>
      <c r="CE334" s="50"/>
    </row>
    <row r="335" spans="2:83" x14ac:dyDescent="0.3">
      <c r="B335" s="46">
        <v>0</v>
      </c>
      <c r="C335" s="47"/>
      <c r="D335" s="48"/>
      <c r="E335" s="49"/>
      <c r="F335" s="50"/>
      <c r="G335" s="51" t="e">
        <v>#DIV/0!</v>
      </c>
      <c r="H335" s="52" t="e">
        <v>#DIV/0!</v>
      </c>
      <c r="I335" s="53"/>
      <c r="J335" s="54"/>
      <c r="K335" s="54"/>
      <c r="L335" s="55"/>
      <c r="M335" s="56"/>
      <c r="N335" s="57">
        <v>0</v>
      </c>
      <c r="O335" s="58"/>
      <c r="P335" s="59"/>
      <c r="Q335" s="81"/>
      <c r="R335" s="82"/>
      <c r="S335" s="48"/>
      <c r="T335" s="50"/>
      <c r="U335" s="62"/>
      <c r="V335" s="63"/>
      <c r="W335" s="50"/>
      <c r="X335" s="48"/>
      <c r="Y335" s="63"/>
      <c r="Z335" s="63"/>
      <c r="AA335" s="64"/>
      <c r="AB335" s="65"/>
      <c r="AC335" s="66"/>
      <c r="AD335" s="67"/>
      <c r="AE335" s="68"/>
      <c r="AF335" s="48"/>
      <c r="AG335" s="63"/>
      <c r="AH335" s="63"/>
      <c r="AI335" s="63"/>
      <c r="AJ335" s="63"/>
      <c r="AK335" s="63"/>
      <c r="AL335" s="63"/>
      <c r="AM335" s="63"/>
      <c r="AN335" s="63"/>
      <c r="AO335" s="63"/>
      <c r="AP335" s="63"/>
      <c r="AQ335" s="63"/>
      <c r="AR335" s="63"/>
      <c r="AS335" s="63"/>
      <c r="AT335" s="63"/>
      <c r="AU335" s="63"/>
      <c r="AV335" s="63"/>
      <c r="AW335" s="50"/>
      <c r="AX335" s="69"/>
      <c r="AY335" s="69"/>
      <c r="AZ335" s="54"/>
      <c r="BA335" s="54"/>
      <c r="BB335" s="54"/>
      <c r="BC335" s="54"/>
      <c r="BD335" s="54"/>
      <c r="BE335" s="70"/>
      <c r="BF335" s="63"/>
      <c r="BG335" s="71">
        <v>0</v>
      </c>
      <c r="BH335" s="67"/>
      <c r="BI335" s="68"/>
      <c r="BJ335" s="72">
        <v>0</v>
      </c>
      <c r="BK335" s="62"/>
      <c r="BL335" s="70"/>
      <c r="BM335" s="70"/>
      <c r="BN335" s="70"/>
      <c r="BO335" s="70"/>
      <c r="BP335" s="73"/>
      <c r="BQ335" s="48"/>
      <c r="BR335" s="63"/>
      <c r="BS335" s="50"/>
      <c r="BT335" s="76" t="e">
        <v>#DIV/0!</v>
      </c>
      <c r="BU335" s="77" t="e">
        <v>#DIV/0!</v>
      </c>
      <c r="BV335" s="78">
        <v>0</v>
      </c>
      <c r="BW335" s="79">
        <v>0</v>
      </c>
      <c r="BX335" s="62"/>
      <c r="BY335" s="63"/>
      <c r="BZ335" s="63"/>
      <c r="CA335" s="63"/>
      <c r="CB335" s="63"/>
      <c r="CC335" s="63"/>
      <c r="CD335" s="63"/>
      <c r="CE335" s="50"/>
    </row>
    <row r="336" spans="2:83" x14ac:dyDescent="0.3">
      <c r="B336" s="46">
        <v>0</v>
      </c>
      <c r="C336" s="47"/>
      <c r="D336" s="48"/>
      <c r="E336" s="49"/>
      <c r="F336" s="50"/>
      <c r="G336" s="51" t="e">
        <v>#DIV/0!</v>
      </c>
      <c r="H336" s="52" t="e">
        <v>#DIV/0!</v>
      </c>
      <c r="I336" s="53"/>
      <c r="J336" s="54"/>
      <c r="K336" s="54"/>
      <c r="L336" s="55"/>
      <c r="M336" s="56"/>
      <c r="N336" s="57">
        <v>0</v>
      </c>
      <c r="O336" s="58"/>
      <c r="P336" s="59"/>
      <c r="Q336" s="81"/>
      <c r="R336" s="82"/>
      <c r="S336" s="48"/>
      <c r="T336" s="50"/>
      <c r="U336" s="62"/>
      <c r="V336" s="63"/>
      <c r="W336" s="50"/>
      <c r="X336" s="48"/>
      <c r="Y336" s="63"/>
      <c r="Z336" s="63"/>
      <c r="AA336" s="64"/>
      <c r="AB336" s="65"/>
      <c r="AC336" s="66"/>
      <c r="AD336" s="67"/>
      <c r="AE336" s="68"/>
      <c r="AF336" s="48"/>
      <c r="AG336" s="63"/>
      <c r="AH336" s="63"/>
      <c r="AI336" s="63"/>
      <c r="AJ336" s="63"/>
      <c r="AK336" s="63"/>
      <c r="AL336" s="63"/>
      <c r="AM336" s="63"/>
      <c r="AN336" s="63"/>
      <c r="AO336" s="63"/>
      <c r="AP336" s="63"/>
      <c r="AQ336" s="63"/>
      <c r="AR336" s="63"/>
      <c r="AS336" s="63"/>
      <c r="AT336" s="63"/>
      <c r="AU336" s="63"/>
      <c r="AV336" s="63"/>
      <c r="AW336" s="50"/>
      <c r="AX336" s="69"/>
      <c r="AY336" s="69"/>
      <c r="AZ336" s="54"/>
      <c r="BA336" s="54"/>
      <c r="BB336" s="54"/>
      <c r="BC336" s="54"/>
      <c r="BD336" s="54"/>
      <c r="BE336" s="70"/>
      <c r="BF336" s="63"/>
      <c r="BG336" s="71">
        <v>0</v>
      </c>
      <c r="BH336" s="67"/>
      <c r="BI336" s="68"/>
      <c r="BJ336" s="72">
        <v>0</v>
      </c>
      <c r="BK336" s="62"/>
      <c r="BL336" s="70"/>
      <c r="BM336" s="70"/>
      <c r="BN336" s="70"/>
      <c r="BO336" s="70"/>
      <c r="BP336" s="73"/>
      <c r="BQ336" s="48"/>
      <c r="BR336" s="63"/>
      <c r="BS336" s="50"/>
      <c r="BT336" s="76" t="e">
        <v>#DIV/0!</v>
      </c>
      <c r="BU336" s="77" t="e">
        <v>#DIV/0!</v>
      </c>
      <c r="BV336" s="78">
        <v>0</v>
      </c>
      <c r="BW336" s="79">
        <v>0</v>
      </c>
      <c r="BX336" s="62"/>
      <c r="BY336" s="63"/>
      <c r="BZ336" s="63"/>
      <c r="CA336" s="63"/>
      <c r="CB336" s="63"/>
      <c r="CC336" s="63"/>
      <c r="CD336" s="63"/>
      <c r="CE336" s="50"/>
    </row>
    <row r="337" spans="2:83" x14ac:dyDescent="0.3">
      <c r="B337" s="46">
        <v>0</v>
      </c>
      <c r="C337" s="47"/>
      <c r="D337" s="48"/>
      <c r="E337" s="49"/>
      <c r="F337" s="50"/>
      <c r="G337" s="51" t="e">
        <v>#DIV/0!</v>
      </c>
      <c r="H337" s="52" t="e">
        <v>#DIV/0!</v>
      </c>
      <c r="I337" s="53"/>
      <c r="J337" s="54"/>
      <c r="K337" s="54"/>
      <c r="L337" s="55"/>
      <c r="M337" s="56"/>
      <c r="N337" s="57">
        <v>0</v>
      </c>
      <c r="O337" s="58"/>
      <c r="P337" s="59"/>
      <c r="Q337" s="81"/>
      <c r="R337" s="82"/>
      <c r="S337" s="48"/>
      <c r="T337" s="50"/>
      <c r="U337" s="62"/>
      <c r="V337" s="63"/>
      <c r="W337" s="50"/>
      <c r="X337" s="48"/>
      <c r="Y337" s="63"/>
      <c r="Z337" s="63"/>
      <c r="AA337" s="64"/>
      <c r="AB337" s="65"/>
      <c r="AC337" s="66"/>
      <c r="AD337" s="67"/>
      <c r="AE337" s="68"/>
      <c r="AF337" s="48"/>
      <c r="AG337" s="63"/>
      <c r="AH337" s="63"/>
      <c r="AI337" s="63"/>
      <c r="AJ337" s="63"/>
      <c r="AK337" s="63"/>
      <c r="AL337" s="63"/>
      <c r="AM337" s="63"/>
      <c r="AN337" s="63"/>
      <c r="AO337" s="63"/>
      <c r="AP337" s="63"/>
      <c r="AQ337" s="63"/>
      <c r="AR337" s="63"/>
      <c r="AS337" s="63"/>
      <c r="AT337" s="63"/>
      <c r="AU337" s="63"/>
      <c r="AV337" s="63"/>
      <c r="AW337" s="50"/>
      <c r="AX337" s="69"/>
      <c r="AY337" s="69"/>
      <c r="AZ337" s="54"/>
      <c r="BA337" s="54"/>
      <c r="BB337" s="54"/>
      <c r="BC337" s="54"/>
      <c r="BD337" s="54"/>
      <c r="BE337" s="70"/>
      <c r="BF337" s="63"/>
      <c r="BG337" s="71">
        <v>0</v>
      </c>
      <c r="BH337" s="67"/>
      <c r="BI337" s="68"/>
      <c r="BJ337" s="72">
        <v>0</v>
      </c>
      <c r="BK337" s="62"/>
      <c r="BL337" s="70"/>
      <c r="BM337" s="70"/>
      <c r="BN337" s="70"/>
      <c r="BO337" s="70"/>
      <c r="BP337" s="73"/>
      <c r="BQ337" s="48"/>
      <c r="BR337" s="63"/>
      <c r="BS337" s="50"/>
      <c r="BT337" s="76" t="e">
        <v>#DIV/0!</v>
      </c>
      <c r="BU337" s="77" t="e">
        <v>#DIV/0!</v>
      </c>
      <c r="BV337" s="78">
        <v>0</v>
      </c>
      <c r="BW337" s="79">
        <v>0</v>
      </c>
      <c r="BX337" s="62"/>
      <c r="BY337" s="63"/>
      <c r="BZ337" s="63"/>
      <c r="CA337" s="63"/>
      <c r="CB337" s="63"/>
      <c r="CC337" s="63"/>
      <c r="CD337" s="63"/>
      <c r="CE337" s="50"/>
    </row>
    <row r="338" spans="2:83" x14ac:dyDescent="0.3">
      <c r="B338" s="46">
        <v>0</v>
      </c>
      <c r="C338" s="47"/>
      <c r="D338" s="48"/>
      <c r="E338" s="49"/>
      <c r="F338" s="50"/>
      <c r="G338" s="51" t="e">
        <v>#DIV/0!</v>
      </c>
      <c r="H338" s="52" t="e">
        <v>#DIV/0!</v>
      </c>
      <c r="I338" s="53"/>
      <c r="J338" s="54"/>
      <c r="K338" s="54"/>
      <c r="L338" s="55"/>
      <c r="M338" s="56"/>
      <c r="N338" s="57">
        <v>0</v>
      </c>
      <c r="O338" s="58"/>
      <c r="P338" s="59"/>
      <c r="Q338" s="81"/>
      <c r="R338" s="82"/>
      <c r="S338" s="48"/>
      <c r="T338" s="50"/>
      <c r="U338" s="62"/>
      <c r="V338" s="63"/>
      <c r="W338" s="50"/>
      <c r="X338" s="48"/>
      <c r="Y338" s="63"/>
      <c r="Z338" s="63"/>
      <c r="AA338" s="64"/>
      <c r="AB338" s="65"/>
      <c r="AC338" s="66"/>
      <c r="AD338" s="67"/>
      <c r="AE338" s="68"/>
      <c r="AF338" s="48"/>
      <c r="AG338" s="63"/>
      <c r="AH338" s="63"/>
      <c r="AI338" s="63"/>
      <c r="AJ338" s="63"/>
      <c r="AK338" s="63"/>
      <c r="AL338" s="63"/>
      <c r="AM338" s="63"/>
      <c r="AN338" s="63"/>
      <c r="AO338" s="63"/>
      <c r="AP338" s="63"/>
      <c r="AQ338" s="63"/>
      <c r="AR338" s="63"/>
      <c r="AS338" s="63"/>
      <c r="AT338" s="63"/>
      <c r="AU338" s="63"/>
      <c r="AV338" s="63"/>
      <c r="AW338" s="50"/>
      <c r="AX338" s="69"/>
      <c r="AY338" s="69"/>
      <c r="AZ338" s="54"/>
      <c r="BA338" s="54"/>
      <c r="BB338" s="54"/>
      <c r="BC338" s="54"/>
      <c r="BD338" s="54"/>
      <c r="BE338" s="70"/>
      <c r="BF338" s="63"/>
      <c r="BG338" s="71">
        <v>0</v>
      </c>
      <c r="BH338" s="67"/>
      <c r="BI338" s="68"/>
      <c r="BJ338" s="72">
        <v>0</v>
      </c>
      <c r="BK338" s="62"/>
      <c r="BL338" s="70"/>
      <c r="BM338" s="70"/>
      <c r="BN338" s="70"/>
      <c r="BO338" s="70"/>
      <c r="BP338" s="73"/>
      <c r="BQ338" s="48"/>
      <c r="BR338" s="63"/>
      <c r="BS338" s="50"/>
      <c r="BT338" s="76" t="e">
        <v>#DIV/0!</v>
      </c>
      <c r="BU338" s="77" t="e">
        <v>#DIV/0!</v>
      </c>
      <c r="BV338" s="78">
        <v>0</v>
      </c>
      <c r="BW338" s="79">
        <v>0</v>
      </c>
      <c r="BX338" s="62"/>
      <c r="BY338" s="63"/>
      <c r="BZ338" s="63"/>
      <c r="CA338" s="63"/>
      <c r="CB338" s="63"/>
      <c r="CC338" s="63"/>
      <c r="CD338" s="63"/>
      <c r="CE338" s="50"/>
    </row>
    <row r="339" spans="2:83" x14ac:dyDescent="0.3">
      <c r="B339" s="46">
        <v>0</v>
      </c>
      <c r="C339" s="47"/>
      <c r="D339" s="48"/>
      <c r="E339" s="49"/>
      <c r="F339" s="50"/>
      <c r="G339" s="51" t="e">
        <v>#DIV/0!</v>
      </c>
      <c r="H339" s="52" t="e">
        <v>#DIV/0!</v>
      </c>
      <c r="I339" s="53"/>
      <c r="J339" s="54"/>
      <c r="K339" s="54"/>
      <c r="L339" s="55"/>
      <c r="M339" s="56"/>
      <c r="N339" s="57">
        <v>0</v>
      </c>
      <c r="O339" s="58"/>
      <c r="P339" s="59"/>
      <c r="Q339" s="81"/>
      <c r="R339" s="82"/>
      <c r="S339" s="48"/>
      <c r="T339" s="50"/>
      <c r="U339" s="62"/>
      <c r="V339" s="63"/>
      <c r="W339" s="50"/>
      <c r="X339" s="48"/>
      <c r="Y339" s="63"/>
      <c r="Z339" s="63"/>
      <c r="AA339" s="64"/>
      <c r="AB339" s="65"/>
      <c r="AC339" s="66"/>
      <c r="AD339" s="67"/>
      <c r="AE339" s="68"/>
      <c r="AF339" s="48"/>
      <c r="AG339" s="63"/>
      <c r="AH339" s="63"/>
      <c r="AI339" s="63"/>
      <c r="AJ339" s="63"/>
      <c r="AK339" s="63"/>
      <c r="AL339" s="63"/>
      <c r="AM339" s="63"/>
      <c r="AN339" s="63"/>
      <c r="AO339" s="63"/>
      <c r="AP339" s="63"/>
      <c r="AQ339" s="63"/>
      <c r="AR339" s="63"/>
      <c r="AS339" s="63"/>
      <c r="AT339" s="63"/>
      <c r="AU339" s="63"/>
      <c r="AV339" s="63"/>
      <c r="AW339" s="50"/>
      <c r="AX339" s="69"/>
      <c r="AY339" s="69"/>
      <c r="AZ339" s="54"/>
      <c r="BA339" s="54"/>
      <c r="BB339" s="54"/>
      <c r="BC339" s="54"/>
      <c r="BD339" s="54"/>
      <c r="BE339" s="70"/>
      <c r="BF339" s="63"/>
      <c r="BG339" s="71">
        <v>0</v>
      </c>
      <c r="BH339" s="67"/>
      <c r="BI339" s="68"/>
      <c r="BJ339" s="72">
        <v>0</v>
      </c>
      <c r="BK339" s="62"/>
      <c r="BL339" s="70"/>
      <c r="BM339" s="70"/>
      <c r="BN339" s="70"/>
      <c r="BO339" s="70"/>
      <c r="BP339" s="73"/>
      <c r="BQ339" s="48"/>
      <c r="BR339" s="63"/>
      <c r="BS339" s="50"/>
      <c r="BT339" s="76" t="e">
        <v>#DIV/0!</v>
      </c>
      <c r="BU339" s="77" t="e">
        <v>#DIV/0!</v>
      </c>
      <c r="BV339" s="78">
        <v>0</v>
      </c>
      <c r="BW339" s="79">
        <v>0</v>
      </c>
      <c r="BX339" s="62"/>
      <c r="BY339" s="63"/>
      <c r="BZ339" s="63"/>
      <c r="CA339" s="63"/>
      <c r="CB339" s="63"/>
      <c r="CC339" s="63"/>
      <c r="CD339" s="63"/>
      <c r="CE339" s="50"/>
    </row>
    <row r="340" spans="2:83" x14ac:dyDescent="0.3">
      <c r="B340" s="46">
        <v>0</v>
      </c>
      <c r="C340" s="47"/>
      <c r="D340" s="48"/>
      <c r="E340" s="49"/>
      <c r="F340" s="50"/>
      <c r="G340" s="51" t="e">
        <v>#DIV/0!</v>
      </c>
      <c r="H340" s="52" t="e">
        <v>#DIV/0!</v>
      </c>
      <c r="I340" s="53"/>
      <c r="J340" s="54"/>
      <c r="K340" s="54"/>
      <c r="L340" s="55"/>
      <c r="M340" s="56"/>
      <c r="N340" s="57">
        <v>0</v>
      </c>
      <c r="O340" s="58"/>
      <c r="P340" s="59"/>
      <c r="Q340" s="81"/>
      <c r="R340" s="82"/>
      <c r="S340" s="48"/>
      <c r="T340" s="50"/>
      <c r="U340" s="62"/>
      <c r="V340" s="63"/>
      <c r="W340" s="50"/>
      <c r="X340" s="48"/>
      <c r="Y340" s="63"/>
      <c r="Z340" s="63"/>
      <c r="AA340" s="64"/>
      <c r="AB340" s="65"/>
      <c r="AC340" s="66"/>
      <c r="AD340" s="67"/>
      <c r="AE340" s="68"/>
      <c r="AF340" s="48"/>
      <c r="AG340" s="63"/>
      <c r="AH340" s="63"/>
      <c r="AI340" s="63"/>
      <c r="AJ340" s="63"/>
      <c r="AK340" s="63"/>
      <c r="AL340" s="63"/>
      <c r="AM340" s="63"/>
      <c r="AN340" s="63"/>
      <c r="AO340" s="63"/>
      <c r="AP340" s="63"/>
      <c r="AQ340" s="63"/>
      <c r="AR340" s="63"/>
      <c r="AS340" s="63"/>
      <c r="AT340" s="63"/>
      <c r="AU340" s="63"/>
      <c r="AV340" s="63"/>
      <c r="AW340" s="50"/>
      <c r="AX340" s="69"/>
      <c r="AY340" s="69"/>
      <c r="AZ340" s="54"/>
      <c r="BA340" s="54"/>
      <c r="BB340" s="54"/>
      <c r="BC340" s="54"/>
      <c r="BD340" s="54"/>
      <c r="BE340" s="70"/>
      <c r="BF340" s="63"/>
      <c r="BG340" s="71">
        <v>0</v>
      </c>
      <c r="BH340" s="67"/>
      <c r="BI340" s="68"/>
      <c r="BJ340" s="72">
        <v>0</v>
      </c>
      <c r="BK340" s="62"/>
      <c r="BL340" s="70"/>
      <c r="BM340" s="70"/>
      <c r="BN340" s="70"/>
      <c r="BO340" s="70"/>
      <c r="BP340" s="73"/>
      <c r="BQ340" s="48"/>
      <c r="BR340" s="63"/>
      <c r="BS340" s="50"/>
      <c r="BT340" s="76" t="e">
        <v>#DIV/0!</v>
      </c>
      <c r="BU340" s="77" t="e">
        <v>#DIV/0!</v>
      </c>
      <c r="BV340" s="78">
        <v>0</v>
      </c>
      <c r="BW340" s="79">
        <v>0</v>
      </c>
      <c r="BX340" s="62"/>
      <c r="BY340" s="63"/>
      <c r="BZ340" s="63"/>
      <c r="CA340" s="63"/>
      <c r="CB340" s="63"/>
      <c r="CC340" s="63"/>
      <c r="CD340" s="63"/>
      <c r="CE340" s="50"/>
    </row>
    <row r="341" spans="2:83" x14ac:dyDescent="0.3">
      <c r="B341" s="46">
        <v>0</v>
      </c>
      <c r="C341" s="47"/>
      <c r="D341" s="48"/>
      <c r="E341" s="49"/>
      <c r="F341" s="50"/>
      <c r="G341" s="51" t="e">
        <v>#DIV/0!</v>
      </c>
      <c r="H341" s="52" t="e">
        <v>#DIV/0!</v>
      </c>
      <c r="I341" s="53"/>
      <c r="J341" s="54"/>
      <c r="K341" s="54"/>
      <c r="L341" s="55"/>
      <c r="M341" s="56"/>
      <c r="N341" s="57">
        <v>0</v>
      </c>
      <c r="O341" s="58"/>
      <c r="P341" s="59"/>
      <c r="Q341" s="81"/>
      <c r="R341" s="82"/>
      <c r="S341" s="48"/>
      <c r="T341" s="50"/>
      <c r="U341" s="62"/>
      <c r="V341" s="63"/>
      <c r="W341" s="50"/>
      <c r="X341" s="48"/>
      <c r="Y341" s="63"/>
      <c r="Z341" s="63"/>
      <c r="AA341" s="64"/>
      <c r="AB341" s="65"/>
      <c r="AC341" s="66"/>
      <c r="AD341" s="67"/>
      <c r="AE341" s="68"/>
      <c r="AF341" s="48"/>
      <c r="AG341" s="63"/>
      <c r="AH341" s="63"/>
      <c r="AI341" s="63"/>
      <c r="AJ341" s="63"/>
      <c r="AK341" s="63"/>
      <c r="AL341" s="63"/>
      <c r="AM341" s="63"/>
      <c r="AN341" s="63"/>
      <c r="AO341" s="63"/>
      <c r="AP341" s="63"/>
      <c r="AQ341" s="63"/>
      <c r="AR341" s="63"/>
      <c r="AS341" s="63"/>
      <c r="AT341" s="63"/>
      <c r="AU341" s="63"/>
      <c r="AV341" s="63"/>
      <c r="AW341" s="50"/>
      <c r="AX341" s="69"/>
      <c r="AY341" s="69"/>
      <c r="AZ341" s="54"/>
      <c r="BA341" s="54"/>
      <c r="BB341" s="54"/>
      <c r="BC341" s="54"/>
      <c r="BD341" s="54"/>
      <c r="BE341" s="70"/>
      <c r="BF341" s="63"/>
      <c r="BG341" s="71">
        <v>0</v>
      </c>
      <c r="BH341" s="67"/>
      <c r="BI341" s="68"/>
      <c r="BJ341" s="72">
        <v>0</v>
      </c>
      <c r="BK341" s="62"/>
      <c r="BL341" s="70"/>
      <c r="BM341" s="70"/>
      <c r="BN341" s="70"/>
      <c r="BO341" s="70"/>
      <c r="BP341" s="73"/>
      <c r="BQ341" s="48"/>
      <c r="BR341" s="63"/>
      <c r="BS341" s="50"/>
      <c r="BT341" s="76" t="e">
        <v>#DIV/0!</v>
      </c>
      <c r="BU341" s="77" t="e">
        <v>#DIV/0!</v>
      </c>
      <c r="BV341" s="78">
        <v>0</v>
      </c>
      <c r="BW341" s="79">
        <v>0</v>
      </c>
      <c r="BX341" s="62"/>
      <c r="BY341" s="63"/>
      <c r="BZ341" s="63"/>
      <c r="CA341" s="63"/>
      <c r="CB341" s="63"/>
      <c r="CC341" s="63"/>
      <c r="CD341" s="63"/>
      <c r="CE341" s="50"/>
    </row>
    <row r="342" spans="2:83" x14ac:dyDescent="0.3">
      <c r="B342" s="46">
        <v>0</v>
      </c>
      <c r="C342" s="47"/>
      <c r="D342" s="48"/>
      <c r="E342" s="49"/>
      <c r="F342" s="50"/>
      <c r="G342" s="51" t="e">
        <v>#DIV/0!</v>
      </c>
      <c r="H342" s="52" t="e">
        <v>#DIV/0!</v>
      </c>
      <c r="I342" s="53"/>
      <c r="J342" s="54"/>
      <c r="K342" s="54"/>
      <c r="L342" s="55"/>
      <c r="M342" s="56"/>
      <c r="N342" s="57">
        <v>0</v>
      </c>
      <c r="O342" s="58"/>
      <c r="P342" s="59"/>
      <c r="Q342" s="81"/>
      <c r="R342" s="82"/>
      <c r="S342" s="48"/>
      <c r="T342" s="50"/>
      <c r="U342" s="62"/>
      <c r="V342" s="63"/>
      <c r="W342" s="50"/>
      <c r="X342" s="48"/>
      <c r="Y342" s="63"/>
      <c r="Z342" s="63"/>
      <c r="AA342" s="64"/>
      <c r="AB342" s="65"/>
      <c r="AC342" s="66"/>
      <c r="AD342" s="67"/>
      <c r="AE342" s="68"/>
      <c r="AF342" s="48"/>
      <c r="AG342" s="63"/>
      <c r="AH342" s="63"/>
      <c r="AI342" s="63"/>
      <c r="AJ342" s="63"/>
      <c r="AK342" s="63"/>
      <c r="AL342" s="63"/>
      <c r="AM342" s="63"/>
      <c r="AN342" s="63"/>
      <c r="AO342" s="63"/>
      <c r="AP342" s="63"/>
      <c r="AQ342" s="63"/>
      <c r="AR342" s="63"/>
      <c r="AS342" s="63"/>
      <c r="AT342" s="63"/>
      <c r="AU342" s="63"/>
      <c r="AV342" s="63"/>
      <c r="AW342" s="50"/>
      <c r="AX342" s="69"/>
      <c r="AY342" s="69"/>
      <c r="AZ342" s="54"/>
      <c r="BA342" s="54"/>
      <c r="BB342" s="54"/>
      <c r="BC342" s="54"/>
      <c r="BD342" s="54"/>
      <c r="BE342" s="70"/>
      <c r="BF342" s="63"/>
      <c r="BG342" s="71">
        <v>0</v>
      </c>
      <c r="BH342" s="67"/>
      <c r="BI342" s="68"/>
      <c r="BJ342" s="72">
        <v>0</v>
      </c>
      <c r="BK342" s="62"/>
      <c r="BL342" s="70"/>
      <c r="BM342" s="70"/>
      <c r="BN342" s="70"/>
      <c r="BO342" s="70"/>
      <c r="BP342" s="73"/>
      <c r="BQ342" s="48"/>
      <c r="BR342" s="63"/>
      <c r="BS342" s="50"/>
      <c r="BT342" s="76" t="e">
        <v>#DIV/0!</v>
      </c>
      <c r="BU342" s="77" t="e">
        <v>#DIV/0!</v>
      </c>
      <c r="BV342" s="78">
        <v>0</v>
      </c>
      <c r="BW342" s="79">
        <v>0</v>
      </c>
      <c r="BX342" s="62"/>
      <c r="BY342" s="63"/>
      <c r="BZ342" s="63"/>
      <c r="CA342" s="63"/>
      <c r="CB342" s="63"/>
      <c r="CC342" s="63"/>
      <c r="CD342" s="63"/>
      <c r="CE342" s="50"/>
    </row>
    <row r="343" spans="2:83" x14ac:dyDescent="0.3">
      <c r="B343" s="46">
        <v>0</v>
      </c>
      <c r="C343" s="47"/>
      <c r="D343" s="48"/>
      <c r="E343" s="49"/>
      <c r="F343" s="50"/>
      <c r="G343" s="51" t="e">
        <v>#DIV/0!</v>
      </c>
      <c r="H343" s="52" t="e">
        <v>#DIV/0!</v>
      </c>
      <c r="I343" s="53"/>
      <c r="J343" s="54"/>
      <c r="K343" s="54"/>
      <c r="L343" s="55"/>
      <c r="M343" s="56"/>
      <c r="N343" s="57">
        <v>0</v>
      </c>
      <c r="O343" s="58"/>
      <c r="P343" s="59"/>
      <c r="Q343" s="81"/>
      <c r="R343" s="82"/>
      <c r="S343" s="48"/>
      <c r="T343" s="50"/>
      <c r="U343" s="62"/>
      <c r="V343" s="63"/>
      <c r="W343" s="50"/>
      <c r="X343" s="48"/>
      <c r="Y343" s="63"/>
      <c r="Z343" s="63"/>
      <c r="AA343" s="64"/>
      <c r="AB343" s="65"/>
      <c r="AC343" s="66"/>
      <c r="AD343" s="67"/>
      <c r="AE343" s="68"/>
      <c r="AF343" s="48"/>
      <c r="AG343" s="63"/>
      <c r="AH343" s="63"/>
      <c r="AI343" s="63"/>
      <c r="AJ343" s="63"/>
      <c r="AK343" s="63"/>
      <c r="AL343" s="63"/>
      <c r="AM343" s="63"/>
      <c r="AN343" s="63"/>
      <c r="AO343" s="63"/>
      <c r="AP343" s="63"/>
      <c r="AQ343" s="63"/>
      <c r="AR343" s="63"/>
      <c r="AS343" s="63"/>
      <c r="AT343" s="63"/>
      <c r="AU343" s="63"/>
      <c r="AV343" s="63"/>
      <c r="AW343" s="50"/>
      <c r="AX343" s="69"/>
      <c r="AY343" s="69"/>
      <c r="AZ343" s="54"/>
      <c r="BA343" s="54"/>
      <c r="BB343" s="54"/>
      <c r="BC343" s="54"/>
      <c r="BD343" s="54"/>
      <c r="BE343" s="70"/>
      <c r="BF343" s="63"/>
      <c r="BG343" s="71">
        <v>0</v>
      </c>
      <c r="BH343" s="67"/>
      <c r="BI343" s="68"/>
      <c r="BJ343" s="72">
        <v>0</v>
      </c>
      <c r="BK343" s="62"/>
      <c r="BL343" s="70"/>
      <c r="BM343" s="70"/>
      <c r="BN343" s="70"/>
      <c r="BO343" s="70"/>
      <c r="BP343" s="73"/>
      <c r="BQ343" s="48"/>
      <c r="BR343" s="63"/>
      <c r="BS343" s="50"/>
      <c r="BT343" s="76" t="e">
        <v>#DIV/0!</v>
      </c>
      <c r="BU343" s="77" t="e">
        <v>#DIV/0!</v>
      </c>
      <c r="BV343" s="78">
        <v>0</v>
      </c>
      <c r="BW343" s="79">
        <v>0</v>
      </c>
      <c r="BX343" s="62"/>
      <c r="BY343" s="63"/>
      <c r="BZ343" s="63"/>
      <c r="CA343" s="63"/>
      <c r="CB343" s="63"/>
      <c r="CC343" s="63"/>
      <c r="CD343" s="63"/>
      <c r="CE343" s="50"/>
    </row>
    <row r="344" spans="2:83" x14ac:dyDescent="0.3">
      <c r="B344" s="46">
        <v>0</v>
      </c>
      <c r="C344" s="47"/>
      <c r="D344" s="48"/>
      <c r="E344" s="49"/>
      <c r="F344" s="50"/>
      <c r="G344" s="51" t="e">
        <v>#DIV/0!</v>
      </c>
      <c r="H344" s="52" t="e">
        <v>#DIV/0!</v>
      </c>
      <c r="I344" s="53"/>
      <c r="J344" s="54"/>
      <c r="K344" s="54"/>
      <c r="L344" s="55"/>
      <c r="M344" s="56"/>
      <c r="N344" s="57">
        <v>0</v>
      </c>
      <c r="O344" s="58"/>
      <c r="P344" s="59"/>
      <c r="Q344" s="81"/>
      <c r="R344" s="82"/>
      <c r="S344" s="48"/>
      <c r="T344" s="50"/>
      <c r="U344" s="62"/>
      <c r="V344" s="63"/>
      <c r="W344" s="50"/>
      <c r="X344" s="48"/>
      <c r="Y344" s="63"/>
      <c r="Z344" s="63"/>
      <c r="AA344" s="64"/>
      <c r="AB344" s="65"/>
      <c r="AC344" s="66"/>
      <c r="AD344" s="67"/>
      <c r="AE344" s="68"/>
      <c r="AF344" s="48"/>
      <c r="AG344" s="63"/>
      <c r="AH344" s="63"/>
      <c r="AI344" s="63"/>
      <c r="AJ344" s="63"/>
      <c r="AK344" s="63"/>
      <c r="AL344" s="63"/>
      <c r="AM344" s="63"/>
      <c r="AN344" s="63"/>
      <c r="AO344" s="63"/>
      <c r="AP344" s="63"/>
      <c r="AQ344" s="63"/>
      <c r="AR344" s="63"/>
      <c r="AS344" s="63"/>
      <c r="AT344" s="63"/>
      <c r="AU344" s="63"/>
      <c r="AV344" s="63"/>
      <c r="AW344" s="50"/>
      <c r="AX344" s="69"/>
      <c r="AY344" s="69"/>
      <c r="AZ344" s="54"/>
      <c r="BA344" s="54"/>
      <c r="BB344" s="54"/>
      <c r="BC344" s="54"/>
      <c r="BD344" s="54"/>
      <c r="BE344" s="70"/>
      <c r="BF344" s="63"/>
      <c r="BG344" s="71">
        <v>0</v>
      </c>
      <c r="BH344" s="67"/>
      <c r="BI344" s="68"/>
      <c r="BJ344" s="72">
        <v>0</v>
      </c>
      <c r="BK344" s="62"/>
      <c r="BL344" s="70"/>
      <c r="BM344" s="70"/>
      <c r="BN344" s="70"/>
      <c r="BO344" s="70"/>
      <c r="BP344" s="73"/>
      <c r="BQ344" s="48"/>
      <c r="BR344" s="63"/>
      <c r="BS344" s="50"/>
      <c r="BT344" s="76" t="e">
        <v>#DIV/0!</v>
      </c>
      <c r="BU344" s="77" t="e">
        <v>#DIV/0!</v>
      </c>
      <c r="BV344" s="78">
        <v>0</v>
      </c>
      <c r="BW344" s="79">
        <v>0</v>
      </c>
      <c r="BX344" s="62"/>
      <c r="BY344" s="63"/>
      <c r="BZ344" s="63"/>
      <c r="CA344" s="63"/>
      <c r="CB344" s="63"/>
      <c r="CC344" s="63"/>
      <c r="CD344" s="63"/>
      <c r="CE344" s="50"/>
    </row>
    <row r="345" spans="2:83" x14ac:dyDescent="0.3">
      <c r="B345" s="46">
        <v>0</v>
      </c>
      <c r="C345" s="47"/>
      <c r="D345" s="48"/>
      <c r="E345" s="49"/>
      <c r="F345" s="50"/>
      <c r="G345" s="51" t="e">
        <v>#DIV/0!</v>
      </c>
      <c r="H345" s="52" t="e">
        <v>#DIV/0!</v>
      </c>
      <c r="I345" s="53"/>
      <c r="J345" s="54"/>
      <c r="K345" s="54"/>
      <c r="L345" s="55"/>
      <c r="M345" s="56"/>
      <c r="N345" s="57">
        <v>0</v>
      </c>
      <c r="O345" s="58"/>
      <c r="P345" s="59"/>
      <c r="Q345" s="81"/>
      <c r="R345" s="82"/>
      <c r="S345" s="48"/>
      <c r="T345" s="50"/>
      <c r="U345" s="62"/>
      <c r="V345" s="63"/>
      <c r="W345" s="50"/>
      <c r="X345" s="48"/>
      <c r="Y345" s="63"/>
      <c r="Z345" s="63"/>
      <c r="AA345" s="64"/>
      <c r="AB345" s="65"/>
      <c r="AC345" s="66"/>
      <c r="AD345" s="67"/>
      <c r="AE345" s="68"/>
      <c r="AF345" s="48"/>
      <c r="AG345" s="63"/>
      <c r="AH345" s="63"/>
      <c r="AI345" s="63"/>
      <c r="AJ345" s="63"/>
      <c r="AK345" s="63"/>
      <c r="AL345" s="63"/>
      <c r="AM345" s="63"/>
      <c r="AN345" s="63"/>
      <c r="AO345" s="63"/>
      <c r="AP345" s="63"/>
      <c r="AQ345" s="63"/>
      <c r="AR345" s="63"/>
      <c r="AS345" s="63"/>
      <c r="AT345" s="63"/>
      <c r="AU345" s="63"/>
      <c r="AV345" s="63"/>
      <c r="AW345" s="50"/>
      <c r="AX345" s="69"/>
      <c r="AY345" s="69"/>
      <c r="AZ345" s="54"/>
      <c r="BA345" s="54"/>
      <c r="BB345" s="54"/>
      <c r="BC345" s="54"/>
      <c r="BD345" s="54"/>
      <c r="BE345" s="70"/>
      <c r="BF345" s="63"/>
      <c r="BG345" s="71">
        <v>0</v>
      </c>
      <c r="BH345" s="67"/>
      <c r="BI345" s="68"/>
      <c r="BJ345" s="72">
        <v>0</v>
      </c>
      <c r="BK345" s="62"/>
      <c r="BL345" s="70"/>
      <c r="BM345" s="70"/>
      <c r="BN345" s="70"/>
      <c r="BO345" s="70"/>
      <c r="BP345" s="73"/>
      <c r="BQ345" s="48"/>
      <c r="BR345" s="63"/>
      <c r="BS345" s="50"/>
      <c r="BT345" s="76" t="e">
        <v>#DIV/0!</v>
      </c>
      <c r="BU345" s="77" t="e">
        <v>#DIV/0!</v>
      </c>
      <c r="BV345" s="78">
        <v>0</v>
      </c>
      <c r="BW345" s="79">
        <v>0</v>
      </c>
      <c r="BX345" s="62"/>
      <c r="BY345" s="63"/>
      <c r="BZ345" s="63"/>
      <c r="CA345" s="63"/>
      <c r="CB345" s="63"/>
      <c r="CC345" s="63"/>
      <c r="CD345" s="63"/>
      <c r="CE345" s="50"/>
    </row>
    <row r="346" spans="2:83" x14ac:dyDescent="0.3">
      <c r="B346" s="46">
        <v>0</v>
      </c>
      <c r="C346" s="47"/>
      <c r="D346" s="48"/>
      <c r="E346" s="49"/>
      <c r="F346" s="50"/>
      <c r="G346" s="51" t="e">
        <v>#DIV/0!</v>
      </c>
      <c r="H346" s="52" t="e">
        <v>#DIV/0!</v>
      </c>
      <c r="I346" s="53"/>
      <c r="J346" s="54"/>
      <c r="K346" s="54"/>
      <c r="L346" s="55"/>
      <c r="M346" s="56"/>
      <c r="N346" s="57">
        <v>0</v>
      </c>
      <c r="O346" s="58"/>
      <c r="P346" s="59"/>
      <c r="Q346" s="81"/>
      <c r="R346" s="82"/>
      <c r="S346" s="48"/>
      <c r="T346" s="50"/>
      <c r="U346" s="62"/>
      <c r="V346" s="63"/>
      <c r="W346" s="50"/>
      <c r="X346" s="48"/>
      <c r="Y346" s="63"/>
      <c r="Z346" s="63"/>
      <c r="AA346" s="64"/>
      <c r="AB346" s="65"/>
      <c r="AC346" s="66"/>
      <c r="AD346" s="67"/>
      <c r="AE346" s="68"/>
      <c r="AF346" s="48"/>
      <c r="AG346" s="63"/>
      <c r="AH346" s="63"/>
      <c r="AI346" s="63"/>
      <c r="AJ346" s="63"/>
      <c r="AK346" s="63"/>
      <c r="AL346" s="63"/>
      <c r="AM346" s="63"/>
      <c r="AN346" s="63"/>
      <c r="AO346" s="63"/>
      <c r="AP346" s="63"/>
      <c r="AQ346" s="63"/>
      <c r="AR346" s="63"/>
      <c r="AS346" s="63"/>
      <c r="AT346" s="63"/>
      <c r="AU346" s="63"/>
      <c r="AV346" s="63"/>
      <c r="AW346" s="50"/>
      <c r="AX346" s="69"/>
      <c r="AY346" s="69"/>
      <c r="AZ346" s="54"/>
      <c r="BA346" s="54"/>
      <c r="BB346" s="54"/>
      <c r="BC346" s="54"/>
      <c r="BD346" s="54"/>
      <c r="BE346" s="70"/>
      <c r="BF346" s="63"/>
      <c r="BG346" s="71">
        <v>0</v>
      </c>
      <c r="BH346" s="67"/>
      <c r="BI346" s="68"/>
      <c r="BJ346" s="72">
        <v>0</v>
      </c>
      <c r="BK346" s="62"/>
      <c r="BL346" s="70"/>
      <c r="BM346" s="70"/>
      <c r="BN346" s="70"/>
      <c r="BO346" s="70"/>
      <c r="BP346" s="73"/>
      <c r="BQ346" s="48"/>
      <c r="BR346" s="63"/>
      <c r="BS346" s="50"/>
      <c r="BT346" s="76" t="e">
        <v>#DIV/0!</v>
      </c>
      <c r="BU346" s="77" t="e">
        <v>#DIV/0!</v>
      </c>
      <c r="BV346" s="78">
        <v>0</v>
      </c>
      <c r="BW346" s="79">
        <v>0</v>
      </c>
      <c r="BX346" s="62"/>
      <c r="BY346" s="63"/>
      <c r="BZ346" s="63"/>
      <c r="CA346" s="63"/>
      <c r="CB346" s="63"/>
      <c r="CC346" s="63"/>
      <c r="CD346" s="63"/>
      <c r="CE346" s="50"/>
    </row>
    <row r="347" spans="2:83" x14ac:dyDescent="0.3">
      <c r="B347" s="46">
        <v>0</v>
      </c>
      <c r="C347" s="47"/>
      <c r="D347" s="48"/>
      <c r="E347" s="49"/>
      <c r="F347" s="50"/>
      <c r="G347" s="51" t="e">
        <v>#DIV/0!</v>
      </c>
      <c r="H347" s="52" t="e">
        <v>#DIV/0!</v>
      </c>
      <c r="I347" s="53"/>
      <c r="J347" s="54"/>
      <c r="K347" s="54"/>
      <c r="L347" s="55"/>
      <c r="M347" s="56"/>
      <c r="N347" s="57">
        <v>0</v>
      </c>
      <c r="O347" s="58"/>
      <c r="P347" s="59"/>
      <c r="Q347" s="81"/>
      <c r="R347" s="82"/>
      <c r="S347" s="48"/>
      <c r="T347" s="50"/>
      <c r="U347" s="62"/>
      <c r="V347" s="63"/>
      <c r="W347" s="50"/>
      <c r="X347" s="48"/>
      <c r="Y347" s="63"/>
      <c r="Z347" s="63"/>
      <c r="AA347" s="64"/>
      <c r="AB347" s="65"/>
      <c r="AC347" s="66"/>
      <c r="AD347" s="67"/>
      <c r="AE347" s="68"/>
      <c r="AF347" s="48"/>
      <c r="AG347" s="63"/>
      <c r="AH347" s="63"/>
      <c r="AI347" s="63"/>
      <c r="AJ347" s="63"/>
      <c r="AK347" s="63"/>
      <c r="AL347" s="63"/>
      <c r="AM347" s="63"/>
      <c r="AN347" s="63"/>
      <c r="AO347" s="63"/>
      <c r="AP347" s="63"/>
      <c r="AQ347" s="63"/>
      <c r="AR347" s="63"/>
      <c r="AS347" s="63"/>
      <c r="AT347" s="63"/>
      <c r="AU347" s="63"/>
      <c r="AV347" s="63"/>
      <c r="AW347" s="50"/>
      <c r="AX347" s="69"/>
      <c r="AY347" s="69"/>
      <c r="AZ347" s="54"/>
      <c r="BA347" s="54"/>
      <c r="BB347" s="54"/>
      <c r="BC347" s="54"/>
      <c r="BD347" s="54"/>
      <c r="BE347" s="70"/>
      <c r="BF347" s="63"/>
      <c r="BG347" s="71">
        <v>0</v>
      </c>
      <c r="BH347" s="67"/>
      <c r="BI347" s="68"/>
      <c r="BJ347" s="72">
        <v>0</v>
      </c>
      <c r="BK347" s="62"/>
      <c r="BL347" s="70"/>
      <c r="BM347" s="70"/>
      <c r="BN347" s="70"/>
      <c r="BO347" s="70"/>
      <c r="BP347" s="73"/>
      <c r="BQ347" s="48"/>
      <c r="BR347" s="63"/>
      <c r="BS347" s="50"/>
      <c r="BT347" s="76" t="e">
        <v>#DIV/0!</v>
      </c>
      <c r="BU347" s="77" t="e">
        <v>#DIV/0!</v>
      </c>
      <c r="BV347" s="78">
        <v>0</v>
      </c>
      <c r="BW347" s="79">
        <v>0</v>
      </c>
      <c r="BX347" s="62"/>
      <c r="BY347" s="63"/>
      <c r="BZ347" s="63"/>
      <c r="CA347" s="63"/>
      <c r="CB347" s="63"/>
      <c r="CC347" s="63"/>
      <c r="CD347" s="63"/>
      <c r="CE347" s="50"/>
    </row>
    <row r="348" spans="2:83" x14ac:dyDescent="0.3">
      <c r="B348" s="46">
        <v>0</v>
      </c>
      <c r="C348" s="47"/>
      <c r="D348" s="48"/>
      <c r="E348" s="49"/>
      <c r="F348" s="50"/>
      <c r="G348" s="51" t="e">
        <v>#DIV/0!</v>
      </c>
      <c r="H348" s="52" t="e">
        <v>#DIV/0!</v>
      </c>
      <c r="I348" s="53"/>
      <c r="J348" s="54"/>
      <c r="K348" s="54"/>
      <c r="L348" s="55"/>
      <c r="M348" s="56"/>
      <c r="N348" s="57">
        <v>0</v>
      </c>
      <c r="O348" s="58"/>
      <c r="P348" s="59"/>
      <c r="Q348" s="81"/>
      <c r="R348" s="82"/>
      <c r="S348" s="48"/>
      <c r="T348" s="50"/>
      <c r="U348" s="62"/>
      <c r="V348" s="63"/>
      <c r="W348" s="50"/>
      <c r="X348" s="48"/>
      <c r="Y348" s="63"/>
      <c r="Z348" s="63"/>
      <c r="AA348" s="64"/>
      <c r="AB348" s="65"/>
      <c r="AC348" s="66"/>
      <c r="AD348" s="67"/>
      <c r="AE348" s="68"/>
      <c r="AF348" s="48"/>
      <c r="AG348" s="63"/>
      <c r="AH348" s="63"/>
      <c r="AI348" s="63"/>
      <c r="AJ348" s="63"/>
      <c r="AK348" s="63"/>
      <c r="AL348" s="63"/>
      <c r="AM348" s="63"/>
      <c r="AN348" s="63"/>
      <c r="AO348" s="63"/>
      <c r="AP348" s="63"/>
      <c r="AQ348" s="63"/>
      <c r="AR348" s="63"/>
      <c r="AS348" s="63"/>
      <c r="AT348" s="63"/>
      <c r="AU348" s="63"/>
      <c r="AV348" s="63"/>
      <c r="AW348" s="50"/>
      <c r="AX348" s="69"/>
      <c r="AY348" s="69"/>
      <c r="AZ348" s="54"/>
      <c r="BA348" s="54"/>
      <c r="BB348" s="54"/>
      <c r="BC348" s="54"/>
      <c r="BD348" s="54"/>
      <c r="BE348" s="70"/>
      <c r="BF348" s="63"/>
      <c r="BG348" s="71">
        <v>0</v>
      </c>
      <c r="BH348" s="67"/>
      <c r="BI348" s="68"/>
      <c r="BJ348" s="72">
        <v>0</v>
      </c>
      <c r="BK348" s="62"/>
      <c r="BL348" s="70"/>
      <c r="BM348" s="70"/>
      <c r="BN348" s="70"/>
      <c r="BO348" s="70"/>
      <c r="BP348" s="73"/>
      <c r="BQ348" s="48"/>
      <c r="BR348" s="63"/>
      <c r="BS348" s="50"/>
      <c r="BT348" s="76" t="e">
        <v>#DIV/0!</v>
      </c>
      <c r="BU348" s="77" t="e">
        <v>#DIV/0!</v>
      </c>
      <c r="BV348" s="78">
        <v>0</v>
      </c>
      <c r="BW348" s="79">
        <v>0</v>
      </c>
      <c r="BX348" s="62"/>
      <c r="BY348" s="63"/>
      <c r="BZ348" s="63"/>
      <c r="CA348" s="63"/>
      <c r="CB348" s="63"/>
      <c r="CC348" s="63"/>
      <c r="CD348" s="63"/>
      <c r="CE348" s="50"/>
    </row>
    <row r="349" spans="2:83" x14ac:dyDescent="0.3">
      <c r="B349" s="46">
        <v>0</v>
      </c>
      <c r="C349" s="47"/>
      <c r="D349" s="48"/>
      <c r="E349" s="49"/>
      <c r="F349" s="50"/>
      <c r="G349" s="51" t="e">
        <v>#DIV/0!</v>
      </c>
      <c r="H349" s="52" t="e">
        <v>#DIV/0!</v>
      </c>
      <c r="I349" s="53"/>
      <c r="J349" s="54"/>
      <c r="K349" s="54"/>
      <c r="L349" s="55"/>
      <c r="M349" s="56"/>
      <c r="N349" s="57">
        <v>0</v>
      </c>
      <c r="O349" s="58"/>
      <c r="P349" s="59"/>
      <c r="Q349" s="81"/>
      <c r="R349" s="82"/>
      <c r="S349" s="48"/>
      <c r="T349" s="50"/>
      <c r="U349" s="62"/>
      <c r="V349" s="63"/>
      <c r="W349" s="50"/>
      <c r="X349" s="48"/>
      <c r="Y349" s="63"/>
      <c r="Z349" s="63"/>
      <c r="AA349" s="64"/>
      <c r="AB349" s="65"/>
      <c r="AC349" s="66"/>
      <c r="AD349" s="67"/>
      <c r="AE349" s="68"/>
      <c r="AF349" s="48"/>
      <c r="AG349" s="63"/>
      <c r="AH349" s="63"/>
      <c r="AI349" s="63"/>
      <c r="AJ349" s="63"/>
      <c r="AK349" s="63"/>
      <c r="AL349" s="63"/>
      <c r="AM349" s="63"/>
      <c r="AN349" s="63"/>
      <c r="AO349" s="63"/>
      <c r="AP349" s="63"/>
      <c r="AQ349" s="63"/>
      <c r="AR349" s="63"/>
      <c r="AS349" s="63"/>
      <c r="AT349" s="63"/>
      <c r="AU349" s="63"/>
      <c r="AV349" s="63"/>
      <c r="AW349" s="50"/>
      <c r="AX349" s="69"/>
      <c r="AY349" s="69"/>
      <c r="AZ349" s="54"/>
      <c r="BA349" s="54"/>
      <c r="BB349" s="54"/>
      <c r="BC349" s="54"/>
      <c r="BD349" s="54"/>
      <c r="BE349" s="70"/>
      <c r="BF349" s="63"/>
      <c r="BG349" s="71">
        <v>0</v>
      </c>
      <c r="BH349" s="67"/>
      <c r="BI349" s="68"/>
      <c r="BJ349" s="72">
        <v>0</v>
      </c>
      <c r="BK349" s="62"/>
      <c r="BL349" s="70"/>
      <c r="BM349" s="70"/>
      <c r="BN349" s="70"/>
      <c r="BO349" s="70"/>
      <c r="BP349" s="73"/>
      <c r="BQ349" s="48"/>
      <c r="BR349" s="63"/>
      <c r="BS349" s="50"/>
      <c r="BT349" s="76" t="e">
        <v>#DIV/0!</v>
      </c>
      <c r="BU349" s="77" t="e">
        <v>#DIV/0!</v>
      </c>
      <c r="BV349" s="78">
        <v>0</v>
      </c>
      <c r="BW349" s="79">
        <v>0</v>
      </c>
      <c r="BX349" s="62"/>
      <c r="BY349" s="63"/>
      <c r="BZ349" s="63"/>
      <c r="CA349" s="63"/>
      <c r="CB349" s="63"/>
      <c r="CC349" s="63"/>
      <c r="CD349" s="63"/>
      <c r="CE349" s="50"/>
    </row>
    <row r="350" spans="2:83" x14ac:dyDescent="0.3">
      <c r="B350" s="46">
        <v>0</v>
      </c>
      <c r="C350" s="47"/>
      <c r="D350" s="48"/>
      <c r="E350" s="49"/>
      <c r="F350" s="50"/>
      <c r="G350" s="51" t="e">
        <v>#DIV/0!</v>
      </c>
      <c r="H350" s="52" t="e">
        <v>#DIV/0!</v>
      </c>
      <c r="I350" s="53"/>
      <c r="J350" s="54"/>
      <c r="K350" s="54"/>
      <c r="L350" s="55"/>
      <c r="M350" s="56"/>
      <c r="N350" s="57">
        <v>0</v>
      </c>
      <c r="O350" s="58"/>
      <c r="P350" s="59"/>
      <c r="Q350" s="81"/>
      <c r="R350" s="82"/>
      <c r="S350" s="48"/>
      <c r="T350" s="50"/>
      <c r="U350" s="62"/>
      <c r="V350" s="63"/>
      <c r="W350" s="50"/>
      <c r="X350" s="48"/>
      <c r="Y350" s="63"/>
      <c r="Z350" s="63"/>
      <c r="AA350" s="64"/>
      <c r="AB350" s="65"/>
      <c r="AC350" s="66"/>
      <c r="AD350" s="67"/>
      <c r="AE350" s="68"/>
      <c r="AF350" s="48"/>
      <c r="AG350" s="63"/>
      <c r="AH350" s="63"/>
      <c r="AI350" s="63"/>
      <c r="AJ350" s="63"/>
      <c r="AK350" s="63"/>
      <c r="AL350" s="63"/>
      <c r="AM350" s="63"/>
      <c r="AN350" s="63"/>
      <c r="AO350" s="63"/>
      <c r="AP350" s="63"/>
      <c r="AQ350" s="63"/>
      <c r="AR350" s="63"/>
      <c r="AS350" s="63"/>
      <c r="AT350" s="63"/>
      <c r="AU350" s="63"/>
      <c r="AV350" s="63"/>
      <c r="AW350" s="50"/>
      <c r="AX350" s="69"/>
      <c r="AY350" s="69"/>
      <c r="AZ350" s="54"/>
      <c r="BA350" s="54"/>
      <c r="BB350" s="54"/>
      <c r="BC350" s="54"/>
      <c r="BD350" s="54"/>
      <c r="BE350" s="70"/>
      <c r="BF350" s="63"/>
      <c r="BG350" s="71">
        <v>0</v>
      </c>
      <c r="BH350" s="67"/>
      <c r="BI350" s="68"/>
      <c r="BJ350" s="72">
        <v>0</v>
      </c>
      <c r="BK350" s="62"/>
      <c r="BL350" s="70"/>
      <c r="BM350" s="70"/>
      <c r="BN350" s="70"/>
      <c r="BO350" s="70"/>
      <c r="BP350" s="73"/>
      <c r="BQ350" s="48"/>
      <c r="BR350" s="63"/>
      <c r="BS350" s="50"/>
      <c r="BT350" s="76" t="e">
        <v>#DIV/0!</v>
      </c>
      <c r="BU350" s="77" t="e">
        <v>#DIV/0!</v>
      </c>
      <c r="BV350" s="78">
        <v>0</v>
      </c>
      <c r="BW350" s="79">
        <v>0</v>
      </c>
      <c r="BX350" s="62"/>
      <c r="BY350" s="63"/>
      <c r="BZ350" s="63"/>
      <c r="CA350" s="63"/>
      <c r="CB350" s="63"/>
      <c r="CC350" s="63"/>
      <c r="CD350" s="63"/>
      <c r="CE350" s="50"/>
    </row>
    <row r="351" spans="2:83" x14ac:dyDescent="0.3">
      <c r="B351" s="46">
        <v>0</v>
      </c>
      <c r="C351" s="47"/>
      <c r="D351" s="48"/>
      <c r="E351" s="49"/>
      <c r="F351" s="50"/>
      <c r="G351" s="51" t="e">
        <v>#DIV/0!</v>
      </c>
      <c r="H351" s="52" t="e">
        <v>#DIV/0!</v>
      </c>
      <c r="I351" s="53"/>
      <c r="J351" s="54"/>
      <c r="K351" s="54"/>
      <c r="L351" s="55"/>
      <c r="M351" s="56"/>
      <c r="N351" s="57">
        <v>0</v>
      </c>
      <c r="O351" s="58"/>
      <c r="P351" s="59"/>
      <c r="Q351" s="81"/>
      <c r="R351" s="82"/>
      <c r="S351" s="48"/>
      <c r="T351" s="50"/>
      <c r="U351" s="62"/>
      <c r="V351" s="63"/>
      <c r="W351" s="50"/>
      <c r="X351" s="48"/>
      <c r="Y351" s="63"/>
      <c r="Z351" s="63"/>
      <c r="AA351" s="64"/>
      <c r="AB351" s="65"/>
      <c r="AC351" s="66"/>
      <c r="AD351" s="67"/>
      <c r="AE351" s="68"/>
      <c r="AF351" s="48"/>
      <c r="AG351" s="63"/>
      <c r="AH351" s="63"/>
      <c r="AI351" s="63"/>
      <c r="AJ351" s="63"/>
      <c r="AK351" s="63"/>
      <c r="AL351" s="63"/>
      <c r="AM351" s="63"/>
      <c r="AN351" s="63"/>
      <c r="AO351" s="63"/>
      <c r="AP351" s="63"/>
      <c r="AQ351" s="63"/>
      <c r="AR351" s="63"/>
      <c r="AS351" s="63"/>
      <c r="AT351" s="63"/>
      <c r="AU351" s="63"/>
      <c r="AV351" s="63"/>
      <c r="AW351" s="50"/>
      <c r="AX351" s="69"/>
      <c r="AY351" s="69"/>
      <c r="AZ351" s="54"/>
      <c r="BA351" s="54"/>
      <c r="BB351" s="54"/>
      <c r="BC351" s="54"/>
      <c r="BD351" s="54"/>
      <c r="BE351" s="70"/>
      <c r="BF351" s="63"/>
      <c r="BG351" s="71">
        <v>0</v>
      </c>
      <c r="BH351" s="67"/>
      <c r="BI351" s="68"/>
      <c r="BJ351" s="72">
        <v>0</v>
      </c>
      <c r="BK351" s="62"/>
      <c r="BL351" s="70"/>
      <c r="BM351" s="70"/>
      <c r="BN351" s="70"/>
      <c r="BO351" s="70"/>
      <c r="BP351" s="73"/>
      <c r="BQ351" s="48"/>
      <c r="BR351" s="63"/>
      <c r="BS351" s="50"/>
      <c r="BT351" s="76" t="e">
        <v>#DIV/0!</v>
      </c>
      <c r="BU351" s="77" t="e">
        <v>#DIV/0!</v>
      </c>
      <c r="BV351" s="78">
        <v>0</v>
      </c>
      <c r="BW351" s="79">
        <v>0</v>
      </c>
      <c r="BX351" s="62"/>
      <c r="BY351" s="63"/>
      <c r="BZ351" s="63"/>
      <c r="CA351" s="63"/>
      <c r="CB351" s="63"/>
      <c r="CC351" s="63"/>
      <c r="CD351" s="63"/>
      <c r="CE351" s="50"/>
    </row>
    <row r="352" spans="2:83" x14ac:dyDescent="0.3">
      <c r="B352" s="46">
        <v>0</v>
      </c>
      <c r="C352" s="47"/>
      <c r="D352" s="48"/>
      <c r="E352" s="49"/>
      <c r="F352" s="50"/>
      <c r="G352" s="51" t="e">
        <v>#DIV/0!</v>
      </c>
      <c r="H352" s="52" t="e">
        <v>#DIV/0!</v>
      </c>
      <c r="I352" s="53"/>
      <c r="J352" s="54"/>
      <c r="K352" s="54"/>
      <c r="L352" s="55"/>
      <c r="M352" s="56"/>
      <c r="N352" s="57">
        <v>0</v>
      </c>
      <c r="O352" s="58"/>
      <c r="P352" s="59"/>
      <c r="Q352" s="81"/>
      <c r="R352" s="82"/>
      <c r="S352" s="48"/>
      <c r="T352" s="50"/>
      <c r="U352" s="62"/>
      <c r="V352" s="63"/>
      <c r="W352" s="50"/>
      <c r="X352" s="48"/>
      <c r="Y352" s="63"/>
      <c r="Z352" s="63"/>
      <c r="AA352" s="64"/>
      <c r="AB352" s="65"/>
      <c r="AC352" s="66"/>
      <c r="AD352" s="67"/>
      <c r="AE352" s="68"/>
      <c r="AF352" s="48"/>
      <c r="AG352" s="63"/>
      <c r="AH352" s="63"/>
      <c r="AI352" s="63"/>
      <c r="AJ352" s="63"/>
      <c r="AK352" s="63"/>
      <c r="AL352" s="63"/>
      <c r="AM352" s="63"/>
      <c r="AN352" s="63"/>
      <c r="AO352" s="63"/>
      <c r="AP352" s="63"/>
      <c r="AQ352" s="63"/>
      <c r="AR352" s="63"/>
      <c r="AS352" s="63"/>
      <c r="AT352" s="63"/>
      <c r="AU352" s="63"/>
      <c r="AV352" s="63"/>
      <c r="AW352" s="50"/>
      <c r="AX352" s="69"/>
      <c r="AY352" s="69"/>
      <c r="AZ352" s="54"/>
      <c r="BA352" s="54"/>
      <c r="BB352" s="54"/>
      <c r="BC352" s="54"/>
      <c r="BD352" s="54"/>
      <c r="BE352" s="70"/>
      <c r="BF352" s="63"/>
      <c r="BG352" s="71">
        <v>0</v>
      </c>
      <c r="BH352" s="67"/>
      <c r="BI352" s="68"/>
      <c r="BJ352" s="72">
        <v>0</v>
      </c>
      <c r="BK352" s="62"/>
      <c r="BL352" s="70"/>
      <c r="BM352" s="70"/>
      <c r="BN352" s="70"/>
      <c r="BO352" s="70"/>
      <c r="BP352" s="73"/>
      <c r="BQ352" s="48"/>
      <c r="BR352" s="63"/>
      <c r="BS352" s="50"/>
      <c r="BT352" s="76" t="e">
        <v>#DIV/0!</v>
      </c>
      <c r="BU352" s="77" t="e">
        <v>#DIV/0!</v>
      </c>
      <c r="BV352" s="78">
        <v>0</v>
      </c>
      <c r="BW352" s="79">
        <v>0</v>
      </c>
      <c r="BX352" s="62"/>
      <c r="BY352" s="63"/>
      <c r="BZ352" s="63"/>
      <c r="CA352" s="63"/>
      <c r="CB352" s="63"/>
      <c r="CC352" s="63"/>
      <c r="CD352" s="63"/>
      <c r="CE352" s="50"/>
    </row>
    <row r="353" spans="2:83" x14ac:dyDescent="0.3">
      <c r="B353" s="46">
        <v>0</v>
      </c>
      <c r="C353" s="47"/>
      <c r="D353" s="48"/>
      <c r="E353" s="49"/>
      <c r="F353" s="50"/>
      <c r="G353" s="51" t="e">
        <v>#DIV/0!</v>
      </c>
      <c r="H353" s="52" t="e">
        <v>#DIV/0!</v>
      </c>
      <c r="I353" s="53"/>
      <c r="J353" s="54"/>
      <c r="K353" s="54"/>
      <c r="L353" s="55"/>
      <c r="M353" s="56"/>
      <c r="N353" s="57">
        <v>0</v>
      </c>
      <c r="O353" s="58"/>
      <c r="P353" s="59"/>
      <c r="Q353" s="81"/>
      <c r="R353" s="82"/>
      <c r="S353" s="48"/>
      <c r="T353" s="50"/>
      <c r="U353" s="62"/>
      <c r="V353" s="63"/>
      <c r="W353" s="50"/>
      <c r="X353" s="48"/>
      <c r="Y353" s="63"/>
      <c r="Z353" s="63"/>
      <c r="AA353" s="64"/>
      <c r="AB353" s="65"/>
      <c r="AC353" s="66"/>
      <c r="AD353" s="67"/>
      <c r="AE353" s="68"/>
      <c r="AF353" s="48"/>
      <c r="AG353" s="63"/>
      <c r="AH353" s="63"/>
      <c r="AI353" s="63"/>
      <c r="AJ353" s="63"/>
      <c r="AK353" s="63"/>
      <c r="AL353" s="63"/>
      <c r="AM353" s="63"/>
      <c r="AN353" s="63"/>
      <c r="AO353" s="63"/>
      <c r="AP353" s="63"/>
      <c r="AQ353" s="63"/>
      <c r="AR353" s="63"/>
      <c r="AS353" s="63"/>
      <c r="AT353" s="63"/>
      <c r="AU353" s="63"/>
      <c r="AV353" s="63"/>
      <c r="AW353" s="50"/>
      <c r="AX353" s="69"/>
      <c r="AY353" s="69"/>
      <c r="AZ353" s="54"/>
      <c r="BA353" s="54"/>
      <c r="BB353" s="54"/>
      <c r="BC353" s="54"/>
      <c r="BD353" s="54"/>
      <c r="BE353" s="70"/>
      <c r="BF353" s="63"/>
      <c r="BG353" s="71">
        <v>0</v>
      </c>
      <c r="BH353" s="67"/>
      <c r="BI353" s="68"/>
      <c r="BJ353" s="72">
        <v>0</v>
      </c>
      <c r="BK353" s="62"/>
      <c r="BL353" s="70"/>
      <c r="BM353" s="70"/>
      <c r="BN353" s="70"/>
      <c r="BO353" s="70"/>
      <c r="BP353" s="73"/>
      <c r="BQ353" s="48"/>
      <c r="BR353" s="63"/>
      <c r="BS353" s="50"/>
      <c r="BT353" s="76" t="e">
        <v>#DIV/0!</v>
      </c>
      <c r="BU353" s="77" t="e">
        <v>#DIV/0!</v>
      </c>
      <c r="BV353" s="78">
        <v>0</v>
      </c>
      <c r="BW353" s="79">
        <v>0</v>
      </c>
      <c r="BX353" s="62"/>
      <c r="BY353" s="63"/>
      <c r="BZ353" s="63"/>
      <c r="CA353" s="63"/>
      <c r="CB353" s="63"/>
      <c r="CC353" s="63"/>
      <c r="CD353" s="63"/>
      <c r="CE353" s="50"/>
    </row>
    <row r="354" spans="2:83" x14ac:dyDescent="0.3">
      <c r="B354" s="46">
        <v>0</v>
      </c>
      <c r="C354" s="47"/>
      <c r="D354" s="48"/>
      <c r="E354" s="49"/>
      <c r="F354" s="50"/>
      <c r="G354" s="51" t="e">
        <v>#DIV/0!</v>
      </c>
      <c r="H354" s="52" t="e">
        <v>#DIV/0!</v>
      </c>
      <c r="I354" s="53"/>
      <c r="J354" s="54"/>
      <c r="K354" s="54"/>
      <c r="L354" s="55"/>
      <c r="M354" s="56"/>
      <c r="N354" s="57">
        <v>0</v>
      </c>
      <c r="O354" s="58"/>
      <c r="P354" s="59"/>
      <c r="Q354" s="81"/>
      <c r="R354" s="82"/>
      <c r="S354" s="48"/>
      <c r="T354" s="50"/>
      <c r="U354" s="62"/>
      <c r="V354" s="63"/>
      <c r="W354" s="50"/>
      <c r="X354" s="48"/>
      <c r="Y354" s="63"/>
      <c r="Z354" s="63"/>
      <c r="AA354" s="64"/>
      <c r="AB354" s="65"/>
      <c r="AC354" s="66"/>
      <c r="AD354" s="67"/>
      <c r="AE354" s="68"/>
      <c r="AF354" s="48"/>
      <c r="AG354" s="63"/>
      <c r="AH354" s="63"/>
      <c r="AI354" s="63"/>
      <c r="AJ354" s="63"/>
      <c r="AK354" s="63"/>
      <c r="AL354" s="63"/>
      <c r="AM354" s="63"/>
      <c r="AN354" s="63"/>
      <c r="AO354" s="63"/>
      <c r="AP354" s="63"/>
      <c r="AQ354" s="63"/>
      <c r="AR354" s="63"/>
      <c r="AS354" s="63"/>
      <c r="AT354" s="63"/>
      <c r="AU354" s="63"/>
      <c r="AV354" s="63"/>
      <c r="AW354" s="50"/>
      <c r="AX354" s="69"/>
      <c r="AY354" s="69"/>
      <c r="AZ354" s="54"/>
      <c r="BA354" s="54"/>
      <c r="BB354" s="54"/>
      <c r="BC354" s="54"/>
      <c r="BD354" s="54"/>
      <c r="BE354" s="70"/>
      <c r="BF354" s="63"/>
      <c r="BG354" s="71">
        <v>0</v>
      </c>
      <c r="BH354" s="67"/>
      <c r="BI354" s="68"/>
      <c r="BJ354" s="72">
        <v>0</v>
      </c>
      <c r="BK354" s="62"/>
      <c r="BL354" s="70"/>
      <c r="BM354" s="70"/>
      <c r="BN354" s="70"/>
      <c r="BO354" s="70"/>
      <c r="BP354" s="73"/>
      <c r="BQ354" s="48"/>
      <c r="BR354" s="63"/>
      <c r="BS354" s="50"/>
      <c r="BT354" s="76" t="e">
        <v>#DIV/0!</v>
      </c>
      <c r="BU354" s="77" t="e">
        <v>#DIV/0!</v>
      </c>
      <c r="BV354" s="78">
        <v>0</v>
      </c>
      <c r="BW354" s="79">
        <v>0</v>
      </c>
      <c r="BX354" s="62"/>
      <c r="BY354" s="63"/>
      <c r="BZ354" s="63"/>
      <c r="CA354" s="63"/>
      <c r="CB354" s="63"/>
      <c r="CC354" s="63"/>
      <c r="CD354" s="63"/>
      <c r="CE354" s="50"/>
    </row>
    <row r="355" spans="2:83" x14ac:dyDescent="0.3">
      <c r="B355" s="46">
        <v>0</v>
      </c>
      <c r="C355" s="47"/>
      <c r="D355" s="48"/>
      <c r="E355" s="49"/>
      <c r="F355" s="50"/>
      <c r="G355" s="51" t="e">
        <v>#DIV/0!</v>
      </c>
      <c r="H355" s="52" t="e">
        <v>#DIV/0!</v>
      </c>
      <c r="I355" s="53"/>
      <c r="J355" s="54"/>
      <c r="K355" s="54"/>
      <c r="L355" s="55"/>
      <c r="M355" s="56"/>
      <c r="N355" s="57">
        <v>0</v>
      </c>
      <c r="O355" s="58"/>
      <c r="P355" s="59"/>
      <c r="Q355" s="81"/>
      <c r="R355" s="82"/>
      <c r="S355" s="48"/>
      <c r="T355" s="50"/>
      <c r="U355" s="62"/>
      <c r="V355" s="63"/>
      <c r="W355" s="50"/>
      <c r="X355" s="48"/>
      <c r="Y355" s="63"/>
      <c r="Z355" s="63"/>
      <c r="AA355" s="64"/>
      <c r="AB355" s="65"/>
      <c r="AC355" s="66"/>
      <c r="AD355" s="67"/>
      <c r="AE355" s="68"/>
      <c r="AF355" s="48"/>
      <c r="AG355" s="63"/>
      <c r="AH355" s="63"/>
      <c r="AI355" s="63"/>
      <c r="AJ355" s="63"/>
      <c r="AK355" s="63"/>
      <c r="AL355" s="63"/>
      <c r="AM355" s="63"/>
      <c r="AN355" s="63"/>
      <c r="AO355" s="63"/>
      <c r="AP355" s="63"/>
      <c r="AQ355" s="63"/>
      <c r="AR355" s="63"/>
      <c r="AS355" s="63"/>
      <c r="AT355" s="63"/>
      <c r="AU355" s="63"/>
      <c r="AV355" s="63"/>
      <c r="AW355" s="50"/>
      <c r="AX355" s="69"/>
      <c r="AY355" s="69"/>
      <c r="AZ355" s="54"/>
      <c r="BA355" s="54"/>
      <c r="BB355" s="54"/>
      <c r="BC355" s="54"/>
      <c r="BD355" s="54"/>
      <c r="BE355" s="70"/>
      <c r="BF355" s="63"/>
      <c r="BG355" s="71">
        <v>0</v>
      </c>
      <c r="BH355" s="67"/>
      <c r="BI355" s="68"/>
      <c r="BJ355" s="72">
        <v>0</v>
      </c>
      <c r="BK355" s="62"/>
      <c r="BL355" s="70"/>
      <c r="BM355" s="70"/>
      <c r="BN355" s="70"/>
      <c r="BO355" s="70"/>
      <c r="BP355" s="73"/>
      <c r="BQ355" s="48"/>
      <c r="BR355" s="63"/>
      <c r="BS355" s="50"/>
      <c r="BT355" s="76" t="e">
        <v>#DIV/0!</v>
      </c>
      <c r="BU355" s="77" t="e">
        <v>#DIV/0!</v>
      </c>
      <c r="BV355" s="78">
        <v>0</v>
      </c>
      <c r="BW355" s="79">
        <v>0</v>
      </c>
      <c r="BX355" s="62"/>
      <c r="BY355" s="63"/>
      <c r="BZ355" s="63"/>
      <c r="CA355" s="63"/>
      <c r="CB355" s="63"/>
      <c r="CC355" s="63"/>
      <c r="CD355" s="63"/>
      <c r="CE355" s="50"/>
    </row>
    <row r="356" spans="2:83" x14ac:dyDescent="0.3">
      <c r="B356" s="46">
        <v>0</v>
      </c>
      <c r="C356" s="47"/>
      <c r="D356" s="48"/>
      <c r="E356" s="49"/>
      <c r="F356" s="50"/>
      <c r="G356" s="51" t="e">
        <v>#DIV/0!</v>
      </c>
      <c r="H356" s="52" t="e">
        <v>#DIV/0!</v>
      </c>
      <c r="I356" s="53"/>
      <c r="J356" s="54"/>
      <c r="K356" s="54"/>
      <c r="L356" s="55"/>
      <c r="M356" s="56"/>
      <c r="N356" s="57">
        <v>0</v>
      </c>
      <c r="O356" s="58"/>
      <c r="P356" s="59"/>
      <c r="Q356" s="81"/>
      <c r="R356" s="82"/>
      <c r="S356" s="48"/>
      <c r="T356" s="50"/>
      <c r="U356" s="62"/>
      <c r="V356" s="63"/>
      <c r="W356" s="50"/>
      <c r="X356" s="48"/>
      <c r="Y356" s="63"/>
      <c r="Z356" s="63"/>
      <c r="AA356" s="64"/>
      <c r="AB356" s="65"/>
      <c r="AC356" s="66"/>
      <c r="AD356" s="67"/>
      <c r="AE356" s="68"/>
      <c r="AF356" s="48"/>
      <c r="AG356" s="63"/>
      <c r="AH356" s="63"/>
      <c r="AI356" s="63"/>
      <c r="AJ356" s="63"/>
      <c r="AK356" s="63"/>
      <c r="AL356" s="63"/>
      <c r="AM356" s="63"/>
      <c r="AN356" s="63"/>
      <c r="AO356" s="63"/>
      <c r="AP356" s="63"/>
      <c r="AQ356" s="63"/>
      <c r="AR356" s="63"/>
      <c r="AS356" s="63"/>
      <c r="AT356" s="63"/>
      <c r="AU356" s="63"/>
      <c r="AV356" s="63"/>
      <c r="AW356" s="50"/>
      <c r="AX356" s="69"/>
      <c r="AY356" s="69"/>
      <c r="AZ356" s="54"/>
      <c r="BA356" s="54"/>
      <c r="BB356" s="54"/>
      <c r="BC356" s="54"/>
      <c r="BD356" s="54"/>
      <c r="BE356" s="70"/>
      <c r="BF356" s="63"/>
      <c r="BG356" s="71">
        <v>0</v>
      </c>
      <c r="BH356" s="67"/>
      <c r="BI356" s="68"/>
      <c r="BJ356" s="72">
        <v>0</v>
      </c>
      <c r="BK356" s="62"/>
      <c r="BL356" s="70"/>
      <c r="BM356" s="70"/>
      <c r="BN356" s="70"/>
      <c r="BO356" s="70"/>
      <c r="BP356" s="73"/>
      <c r="BQ356" s="48"/>
      <c r="BR356" s="63"/>
      <c r="BS356" s="50"/>
      <c r="BT356" s="76" t="e">
        <v>#DIV/0!</v>
      </c>
      <c r="BU356" s="77" t="e">
        <v>#DIV/0!</v>
      </c>
      <c r="BV356" s="78">
        <v>0</v>
      </c>
      <c r="BW356" s="79">
        <v>0</v>
      </c>
      <c r="BX356" s="62"/>
      <c r="BY356" s="63"/>
      <c r="BZ356" s="63"/>
      <c r="CA356" s="63"/>
      <c r="CB356" s="63"/>
      <c r="CC356" s="63"/>
      <c r="CD356" s="63"/>
      <c r="CE356" s="50"/>
    </row>
    <row r="357" spans="2:83" x14ac:dyDescent="0.3">
      <c r="B357" s="46">
        <v>0</v>
      </c>
      <c r="C357" s="47"/>
      <c r="D357" s="48"/>
      <c r="E357" s="49"/>
      <c r="F357" s="50"/>
      <c r="G357" s="51" t="e">
        <v>#DIV/0!</v>
      </c>
      <c r="H357" s="52" t="e">
        <v>#DIV/0!</v>
      </c>
      <c r="I357" s="53"/>
      <c r="J357" s="54"/>
      <c r="K357" s="54"/>
      <c r="L357" s="55"/>
      <c r="M357" s="56"/>
      <c r="N357" s="57">
        <v>0</v>
      </c>
      <c r="O357" s="58"/>
      <c r="P357" s="59"/>
      <c r="Q357" s="81"/>
      <c r="R357" s="82"/>
      <c r="S357" s="48"/>
      <c r="T357" s="50"/>
      <c r="U357" s="62"/>
      <c r="V357" s="63"/>
      <c r="W357" s="50"/>
      <c r="X357" s="48"/>
      <c r="Y357" s="63"/>
      <c r="Z357" s="63"/>
      <c r="AA357" s="64"/>
      <c r="AB357" s="65"/>
      <c r="AC357" s="66"/>
      <c r="AD357" s="67"/>
      <c r="AE357" s="68"/>
      <c r="AF357" s="48"/>
      <c r="AG357" s="63"/>
      <c r="AH357" s="63"/>
      <c r="AI357" s="63"/>
      <c r="AJ357" s="63"/>
      <c r="AK357" s="63"/>
      <c r="AL357" s="63"/>
      <c r="AM357" s="63"/>
      <c r="AN357" s="63"/>
      <c r="AO357" s="63"/>
      <c r="AP357" s="63"/>
      <c r="AQ357" s="63"/>
      <c r="AR357" s="63"/>
      <c r="AS357" s="63"/>
      <c r="AT357" s="63"/>
      <c r="AU357" s="63"/>
      <c r="AV357" s="63"/>
      <c r="AW357" s="50"/>
      <c r="AX357" s="69"/>
      <c r="AY357" s="69"/>
      <c r="AZ357" s="54"/>
      <c r="BA357" s="54"/>
      <c r="BB357" s="54"/>
      <c r="BC357" s="54"/>
      <c r="BD357" s="54"/>
      <c r="BE357" s="70"/>
      <c r="BF357" s="63"/>
      <c r="BG357" s="71">
        <v>0</v>
      </c>
      <c r="BH357" s="67"/>
      <c r="BI357" s="68"/>
      <c r="BJ357" s="72">
        <v>0</v>
      </c>
      <c r="BK357" s="62"/>
      <c r="BL357" s="70"/>
      <c r="BM357" s="70"/>
      <c r="BN357" s="70"/>
      <c r="BO357" s="70"/>
      <c r="BP357" s="73"/>
      <c r="BQ357" s="48"/>
      <c r="BR357" s="63"/>
      <c r="BS357" s="50"/>
      <c r="BT357" s="76" t="e">
        <v>#DIV/0!</v>
      </c>
      <c r="BU357" s="77" t="e">
        <v>#DIV/0!</v>
      </c>
      <c r="BV357" s="78">
        <v>0</v>
      </c>
      <c r="BW357" s="79">
        <v>0</v>
      </c>
      <c r="BX357" s="62"/>
      <c r="BY357" s="63"/>
      <c r="BZ357" s="63"/>
      <c r="CA357" s="63"/>
      <c r="CB357" s="63"/>
      <c r="CC357" s="63"/>
      <c r="CD357" s="63"/>
      <c r="CE357" s="50"/>
    </row>
    <row r="358" spans="2:83" x14ac:dyDescent="0.3">
      <c r="B358" s="46">
        <v>0</v>
      </c>
      <c r="C358" s="47"/>
      <c r="D358" s="48"/>
      <c r="E358" s="49"/>
      <c r="F358" s="50"/>
      <c r="G358" s="51" t="e">
        <v>#DIV/0!</v>
      </c>
      <c r="H358" s="52" t="e">
        <v>#DIV/0!</v>
      </c>
      <c r="I358" s="53"/>
      <c r="J358" s="54"/>
      <c r="K358" s="54"/>
      <c r="L358" s="55"/>
      <c r="M358" s="56"/>
      <c r="N358" s="57">
        <v>0</v>
      </c>
      <c r="O358" s="58"/>
      <c r="P358" s="59"/>
      <c r="Q358" s="81"/>
      <c r="R358" s="82"/>
      <c r="S358" s="48"/>
      <c r="T358" s="50"/>
      <c r="U358" s="62"/>
      <c r="V358" s="63"/>
      <c r="W358" s="50"/>
      <c r="X358" s="48"/>
      <c r="Y358" s="63"/>
      <c r="Z358" s="63"/>
      <c r="AA358" s="64"/>
      <c r="AB358" s="65"/>
      <c r="AC358" s="66"/>
      <c r="AD358" s="67"/>
      <c r="AE358" s="68"/>
      <c r="AF358" s="48"/>
      <c r="AG358" s="63"/>
      <c r="AH358" s="63"/>
      <c r="AI358" s="63"/>
      <c r="AJ358" s="63"/>
      <c r="AK358" s="63"/>
      <c r="AL358" s="63"/>
      <c r="AM358" s="63"/>
      <c r="AN358" s="63"/>
      <c r="AO358" s="63"/>
      <c r="AP358" s="63"/>
      <c r="AQ358" s="63"/>
      <c r="AR358" s="63"/>
      <c r="AS358" s="63"/>
      <c r="AT358" s="63"/>
      <c r="AU358" s="63"/>
      <c r="AV358" s="63"/>
      <c r="AW358" s="50"/>
      <c r="AX358" s="69"/>
      <c r="AY358" s="69"/>
      <c r="AZ358" s="54"/>
      <c r="BA358" s="54"/>
      <c r="BB358" s="54"/>
      <c r="BC358" s="54"/>
      <c r="BD358" s="54"/>
      <c r="BE358" s="70"/>
      <c r="BF358" s="63"/>
      <c r="BG358" s="71">
        <v>0</v>
      </c>
      <c r="BH358" s="67"/>
      <c r="BI358" s="68"/>
      <c r="BJ358" s="72">
        <v>0</v>
      </c>
      <c r="BK358" s="62"/>
      <c r="BL358" s="70"/>
      <c r="BM358" s="70"/>
      <c r="BN358" s="70"/>
      <c r="BO358" s="70"/>
      <c r="BP358" s="73"/>
      <c r="BQ358" s="48"/>
      <c r="BR358" s="63"/>
      <c r="BS358" s="50"/>
      <c r="BT358" s="76" t="e">
        <v>#DIV/0!</v>
      </c>
      <c r="BU358" s="77" t="e">
        <v>#DIV/0!</v>
      </c>
      <c r="BV358" s="78">
        <v>0</v>
      </c>
      <c r="BW358" s="79">
        <v>0</v>
      </c>
      <c r="BX358" s="62"/>
      <c r="BY358" s="63"/>
      <c r="BZ358" s="63"/>
      <c r="CA358" s="63"/>
      <c r="CB358" s="63"/>
      <c r="CC358" s="63"/>
      <c r="CD358" s="63"/>
      <c r="CE358" s="50"/>
    </row>
    <row r="359" spans="2:83" x14ac:dyDescent="0.3">
      <c r="B359" s="46">
        <v>0</v>
      </c>
      <c r="C359" s="47"/>
      <c r="D359" s="48"/>
      <c r="E359" s="49"/>
      <c r="F359" s="50"/>
      <c r="G359" s="51" t="e">
        <v>#DIV/0!</v>
      </c>
      <c r="H359" s="52" t="e">
        <v>#DIV/0!</v>
      </c>
      <c r="I359" s="53"/>
      <c r="J359" s="54"/>
      <c r="K359" s="54"/>
      <c r="L359" s="55"/>
      <c r="M359" s="56"/>
      <c r="N359" s="57">
        <v>0</v>
      </c>
      <c r="O359" s="58"/>
      <c r="P359" s="59"/>
      <c r="Q359" s="81"/>
      <c r="R359" s="82"/>
      <c r="S359" s="48"/>
      <c r="T359" s="50"/>
      <c r="U359" s="62"/>
      <c r="V359" s="63"/>
      <c r="W359" s="50"/>
      <c r="X359" s="48"/>
      <c r="Y359" s="63"/>
      <c r="Z359" s="63"/>
      <c r="AA359" s="64"/>
      <c r="AB359" s="65"/>
      <c r="AC359" s="66"/>
      <c r="AD359" s="67"/>
      <c r="AE359" s="68"/>
      <c r="AF359" s="48"/>
      <c r="AG359" s="63"/>
      <c r="AH359" s="63"/>
      <c r="AI359" s="63"/>
      <c r="AJ359" s="63"/>
      <c r="AK359" s="63"/>
      <c r="AL359" s="63"/>
      <c r="AM359" s="63"/>
      <c r="AN359" s="63"/>
      <c r="AO359" s="63"/>
      <c r="AP359" s="63"/>
      <c r="AQ359" s="63"/>
      <c r="AR359" s="63"/>
      <c r="AS359" s="63"/>
      <c r="AT359" s="63"/>
      <c r="AU359" s="63"/>
      <c r="AV359" s="63"/>
      <c r="AW359" s="50"/>
      <c r="AX359" s="69"/>
      <c r="AY359" s="69"/>
      <c r="AZ359" s="54"/>
      <c r="BA359" s="54"/>
      <c r="BB359" s="54"/>
      <c r="BC359" s="54"/>
      <c r="BD359" s="54"/>
      <c r="BE359" s="70"/>
      <c r="BF359" s="63"/>
      <c r="BG359" s="71">
        <v>0</v>
      </c>
      <c r="BH359" s="67"/>
      <c r="BI359" s="68"/>
      <c r="BJ359" s="72">
        <v>0</v>
      </c>
      <c r="BK359" s="62"/>
      <c r="BL359" s="70"/>
      <c r="BM359" s="70"/>
      <c r="BN359" s="70"/>
      <c r="BO359" s="70"/>
      <c r="BP359" s="73"/>
      <c r="BQ359" s="48"/>
      <c r="BR359" s="63"/>
      <c r="BS359" s="50"/>
      <c r="BT359" s="76" t="e">
        <v>#DIV/0!</v>
      </c>
      <c r="BU359" s="77" t="e">
        <v>#DIV/0!</v>
      </c>
      <c r="BV359" s="78">
        <v>0</v>
      </c>
      <c r="BW359" s="79">
        <v>0</v>
      </c>
      <c r="BX359" s="62"/>
      <c r="BY359" s="63"/>
      <c r="BZ359" s="63"/>
      <c r="CA359" s="63"/>
      <c r="CB359" s="63"/>
      <c r="CC359" s="63"/>
      <c r="CD359" s="63"/>
      <c r="CE359" s="50"/>
    </row>
    <row r="360" spans="2:83" x14ac:dyDescent="0.3">
      <c r="B360" s="46">
        <v>0</v>
      </c>
      <c r="C360" s="47"/>
      <c r="D360" s="48"/>
      <c r="E360" s="49"/>
      <c r="F360" s="50"/>
      <c r="G360" s="51" t="e">
        <v>#DIV/0!</v>
      </c>
      <c r="H360" s="52" t="e">
        <v>#DIV/0!</v>
      </c>
      <c r="I360" s="53"/>
      <c r="J360" s="54"/>
      <c r="K360" s="54"/>
      <c r="L360" s="55"/>
      <c r="M360" s="56"/>
      <c r="N360" s="57">
        <v>0</v>
      </c>
      <c r="O360" s="58"/>
      <c r="P360" s="59"/>
      <c r="Q360" s="81"/>
      <c r="R360" s="82"/>
      <c r="S360" s="48"/>
      <c r="T360" s="50"/>
      <c r="U360" s="62"/>
      <c r="V360" s="63"/>
      <c r="W360" s="50"/>
      <c r="X360" s="48"/>
      <c r="Y360" s="63"/>
      <c r="Z360" s="63"/>
      <c r="AA360" s="64"/>
      <c r="AB360" s="65"/>
      <c r="AC360" s="66"/>
      <c r="AD360" s="67"/>
      <c r="AE360" s="68"/>
      <c r="AF360" s="48"/>
      <c r="AG360" s="63"/>
      <c r="AH360" s="63"/>
      <c r="AI360" s="63"/>
      <c r="AJ360" s="63"/>
      <c r="AK360" s="63"/>
      <c r="AL360" s="63"/>
      <c r="AM360" s="63"/>
      <c r="AN360" s="63"/>
      <c r="AO360" s="63"/>
      <c r="AP360" s="63"/>
      <c r="AQ360" s="63"/>
      <c r="AR360" s="63"/>
      <c r="AS360" s="63"/>
      <c r="AT360" s="63"/>
      <c r="AU360" s="63"/>
      <c r="AV360" s="63"/>
      <c r="AW360" s="50"/>
      <c r="AX360" s="69"/>
      <c r="AY360" s="69"/>
      <c r="AZ360" s="54"/>
      <c r="BA360" s="54"/>
      <c r="BB360" s="54"/>
      <c r="BC360" s="54"/>
      <c r="BD360" s="54"/>
      <c r="BE360" s="70"/>
      <c r="BF360" s="63"/>
      <c r="BG360" s="71">
        <v>0</v>
      </c>
      <c r="BH360" s="67"/>
      <c r="BI360" s="68"/>
      <c r="BJ360" s="72">
        <v>0</v>
      </c>
      <c r="BK360" s="62"/>
      <c r="BL360" s="70"/>
      <c r="BM360" s="70"/>
      <c r="BN360" s="70"/>
      <c r="BO360" s="70"/>
      <c r="BP360" s="73"/>
      <c r="BQ360" s="48"/>
      <c r="BR360" s="63"/>
      <c r="BS360" s="50"/>
      <c r="BT360" s="76" t="e">
        <v>#DIV/0!</v>
      </c>
      <c r="BU360" s="77" t="e">
        <v>#DIV/0!</v>
      </c>
      <c r="BV360" s="78">
        <v>0</v>
      </c>
      <c r="BW360" s="79">
        <v>0</v>
      </c>
      <c r="BX360" s="62"/>
      <c r="BY360" s="63"/>
      <c r="BZ360" s="63"/>
      <c r="CA360" s="63"/>
      <c r="CB360" s="63"/>
      <c r="CC360" s="63"/>
      <c r="CD360" s="63"/>
      <c r="CE360" s="50"/>
    </row>
    <row r="361" spans="2:83" x14ac:dyDescent="0.3">
      <c r="B361" s="46">
        <v>0</v>
      </c>
      <c r="C361" s="47"/>
      <c r="D361" s="48"/>
      <c r="E361" s="49"/>
      <c r="F361" s="50"/>
      <c r="G361" s="51" t="e">
        <v>#DIV/0!</v>
      </c>
      <c r="H361" s="52" t="e">
        <v>#DIV/0!</v>
      </c>
      <c r="I361" s="53"/>
      <c r="J361" s="54"/>
      <c r="K361" s="54"/>
      <c r="L361" s="55"/>
      <c r="M361" s="56"/>
      <c r="N361" s="57">
        <v>0</v>
      </c>
      <c r="O361" s="58"/>
      <c r="P361" s="59"/>
      <c r="Q361" s="81"/>
      <c r="R361" s="82"/>
      <c r="S361" s="48"/>
      <c r="T361" s="50"/>
      <c r="U361" s="62"/>
      <c r="V361" s="63"/>
      <c r="W361" s="50"/>
      <c r="X361" s="48"/>
      <c r="Y361" s="63"/>
      <c r="Z361" s="63"/>
      <c r="AA361" s="64"/>
      <c r="AB361" s="65"/>
      <c r="AC361" s="66"/>
      <c r="AD361" s="67"/>
      <c r="AE361" s="68"/>
      <c r="AF361" s="48"/>
      <c r="AG361" s="63"/>
      <c r="AH361" s="63"/>
      <c r="AI361" s="63"/>
      <c r="AJ361" s="63"/>
      <c r="AK361" s="63"/>
      <c r="AL361" s="63"/>
      <c r="AM361" s="63"/>
      <c r="AN361" s="63"/>
      <c r="AO361" s="63"/>
      <c r="AP361" s="63"/>
      <c r="AQ361" s="63"/>
      <c r="AR361" s="63"/>
      <c r="AS361" s="63"/>
      <c r="AT361" s="63"/>
      <c r="AU361" s="63"/>
      <c r="AV361" s="63"/>
      <c r="AW361" s="50"/>
      <c r="AX361" s="69"/>
      <c r="AY361" s="69"/>
      <c r="AZ361" s="54"/>
      <c r="BA361" s="54"/>
      <c r="BB361" s="54"/>
      <c r="BC361" s="54"/>
      <c r="BD361" s="54"/>
      <c r="BE361" s="70"/>
      <c r="BF361" s="63"/>
      <c r="BG361" s="71">
        <v>0</v>
      </c>
      <c r="BH361" s="67"/>
      <c r="BI361" s="68"/>
      <c r="BJ361" s="72">
        <v>0</v>
      </c>
      <c r="BK361" s="62"/>
      <c r="BL361" s="70"/>
      <c r="BM361" s="70"/>
      <c r="BN361" s="70"/>
      <c r="BO361" s="70"/>
      <c r="BP361" s="73"/>
      <c r="BQ361" s="48"/>
      <c r="BR361" s="63"/>
      <c r="BS361" s="50"/>
      <c r="BT361" s="76" t="e">
        <v>#DIV/0!</v>
      </c>
      <c r="BU361" s="77" t="e">
        <v>#DIV/0!</v>
      </c>
      <c r="BV361" s="78">
        <v>0</v>
      </c>
      <c r="BW361" s="79">
        <v>0</v>
      </c>
      <c r="BX361" s="62"/>
      <c r="BY361" s="63"/>
      <c r="BZ361" s="63"/>
      <c r="CA361" s="63"/>
      <c r="CB361" s="63"/>
      <c r="CC361" s="63"/>
      <c r="CD361" s="63"/>
      <c r="CE361" s="50"/>
    </row>
    <row r="362" spans="2:83" x14ac:dyDescent="0.3">
      <c r="B362" s="46">
        <v>0</v>
      </c>
      <c r="C362" s="47"/>
      <c r="D362" s="48"/>
      <c r="E362" s="49"/>
      <c r="F362" s="50"/>
      <c r="G362" s="51" t="e">
        <v>#DIV/0!</v>
      </c>
      <c r="H362" s="52" t="e">
        <v>#DIV/0!</v>
      </c>
      <c r="I362" s="53"/>
      <c r="J362" s="54"/>
      <c r="K362" s="54"/>
      <c r="L362" s="55"/>
      <c r="M362" s="56"/>
      <c r="N362" s="57">
        <v>0</v>
      </c>
      <c r="O362" s="58"/>
      <c r="P362" s="59"/>
      <c r="Q362" s="81"/>
      <c r="R362" s="82"/>
      <c r="S362" s="48"/>
      <c r="T362" s="50"/>
      <c r="U362" s="62"/>
      <c r="V362" s="63"/>
      <c r="W362" s="50"/>
      <c r="X362" s="48"/>
      <c r="Y362" s="63"/>
      <c r="Z362" s="63"/>
      <c r="AA362" s="64"/>
      <c r="AB362" s="65"/>
      <c r="AC362" s="66"/>
      <c r="AD362" s="67"/>
      <c r="AE362" s="68"/>
      <c r="AF362" s="48"/>
      <c r="AG362" s="63"/>
      <c r="AH362" s="63"/>
      <c r="AI362" s="63"/>
      <c r="AJ362" s="63"/>
      <c r="AK362" s="63"/>
      <c r="AL362" s="63"/>
      <c r="AM362" s="63"/>
      <c r="AN362" s="63"/>
      <c r="AO362" s="63"/>
      <c r="AP362" s="63"/>
      <c r="AQ362" s="63"/>
      <c r="AR362" s="63"/>
      <c r="AS362" s="63"/>
      <c r="AT362" s="63"/>
      <c r="AU362" s="63"/>
      <c r="AV362" s="63"/>
      <c r="AW362" s="50"/>
      <c r="AX362" s="69"/>
      <c r="AY362" s="69"/>
      <c r="AZ362" s="54"/>
      <c r="BA362" s="54"/>
      <c r="BB362" s="54"/>
      <c r="BC362" s="54"/>
      <c r="BD362" s="54"/>
      <c r="BE362" s="70"/>
      <c r="BF362" s="63"/>
      <c r="BG362" s="71">
        <v>0</v>
      </c>
      <c r="BH362" s="67"/>
      <c r="BI362" s="68"/>
      <c r="BJ362" s="72">
        <v>0</v>
      </c>
      <c r="BK362" s="62"/>
      <c r="BL362" s="70"/>
      <c r="BM362" s="70"/>
      <c r="BN362" s="70"/>
      <c r="BO362" s="70"/>
      <c r="BP362" s="73"/>
      <c r="BQ362" s="48"/>
      <c r="BR362" s="63"/>
      <c r="BS362" s="50"/>
      <c r="BT362" s="76" t="e">
        <v>#DIV/0!</v>
      </c>
      <c r="BU362" s="77" t="e">
        <v>#DIV/0!</v>
      </c>
      <c r="BV362" s="78">
        <v>0</v>
      </c>
      <c r="BW362" s="79">
        <v>0</v>
      </c>
      <c r="BX362" s="62"/>
      <c r="BY362" s="63"/>
      <c r="BZ362" s="63"/>
      <c r="CA362" s="63"/>
      <c r="CB362" s="63"/>
      <c r="CC362" s="63"/>
      <c r="CD362" s="63"/>
      <c r="CE362" s="50"/>
    </row>
    <row r="363" spans="2:83" x14ac:dyDescent="0.3">
      <c r="B363" s="46">
        <v>0</v>
      </c>
      <c r="C363" s="47"/>
      <c r="D363" s="48"/>
      <c r="E363" s="49"/>
      <c r="F363" s="50"/>
      <c r="G363" s="51" t="e">
        <v>#DIV/0!</v>
      </c>
      <c r="H363" s="52" t="e">
        <v>#DIV/0!</v>
      </c>
      <c r="I363" s="53"/>
      <c r="J363" s="54"/>
      <c r="K363" s="54"/>
      <c r="L363" s="55"/>
      <c r="M363" s="56"/>
      <c r="N363" s="57">
        <v>0</v>
      </c>
      <c r="O363" s="58"/>
      <c r="P363" s="59"/>
      <c r="Q363" s="81"/>
      <c r="R363" s="82"/>
      <c r="S363" s="48"/>
      <c r="T363" s="50"/>
      <c r="U363" s="62"/>
      <c r="V363" s="63"/>
      <c r="W363" s="50"/>
      <c r="X363" s="48"/>
      <c r="Y363" s="63"/>
      <c r="Z363" s="63"/>
      <c r="AA363" s="64"/>
      <c r="AB363" s="65"/>
      <c r="AC363" s="66"/>
      <c r="AD363" s="67"/>
      <c r="AE363" s="68"/>
      <c r="AF363" s="48"/>
      <c r="AG363" s="63"/>
      <c r="AH363" s="63"/>
      <c r="AI363" s="63"/>
      <c r="AJ363" s="63"/>
      <c r="AK363" s="63"/>
      <c r="AL363" s="63"/>
      <c r="AM363" s="63"/>
      <c r="AN363" s="63"/>
      <c r="AO363" s="63"/>
      <c r="AP363" s="63"/>
      <c r="AQ363" s="63"/>
      <c r="AR363" s="63"/>
      <c r="AS363" s="63"/>
      <c r="AT363" s="63"/>
      <c r="AU363" s="63"/>
      <c r="AV363" s="63"/>
      <c r="AW363" s="50"/>
      <c r="AX363" s="69"/>
      <c r="AY363" s="69"/>
      <c r="AZ363" s="54"/>
      <c r="BA363" s="54"/>
      <c r="BB363" s="54"/>
      <c r="BC363" s="54"/>
      <c r="BD363" s="54"/>
      <c r="BE363" s="70"/>
      <c r="BF363" s="63"/>
      <c r="BG363" s="71">
        <v>0</v>
      </c>
      <c r="BH363" s="67"/>
      <c r="BI363" s="68"/>
      <c r="BJ363" s="72">
        <v>0</v>
      </c>
      <c r="BK363" s="62"/>
      <c r="BL363" s="70"/>
      <c r="BM363" s="70"/>
      <c r="BN363" s="70"/>
      <c r="BO363" s="70"/>
      <c r="BP363" s="73"/>
      <c r="BQ363" s="48"/>
      <c r="BR363" s="63"/>
      <c r="BS363" s="50"/>
      <c r="BT363" s="76" t="e">
        <v>#DIV/0!</v>
      </c>
      <c r="BU363" s="77" t="e">
        <v>#DIV/0!</v>
      </c>
      <c r="BV363" s="78">
        <v>0</v>
      </c>
      <c r="BW363" s="79">
        <v>0</v>
      </c>
      <c r="BX363" s="62"/>
      <c r="BY363" s="63"/>
      <c r="BZ363" s="63"/>
      <c r="CA363" s="63"/>
      <c r="CB363" s="63"/>
      <c r="CC363" s="63"/>
      <c r="CD363" s="63"/>
      <c r="CE363" s="50"/>
    </row>
    <row r="364" spans="2:83" x14ac:dyDescent="0.3">
      <c r="B364" s="46">
        <v>0</v>
      </c>
      <c r="C364" s="47"/>
      <c r="D364" s="48"/>
      <c r="E364" s="49"/>
      <c r="F364" s="50"/>
      <c r="G364" s="51" t="e">
        <v>#DIV/0!</v>
      </c>
      <c r="H364" s="52" t="e">
        <v>#DIV/0!</v>
      </c>
      <c r="I364" s="53"/>
      <c r="J364" s="54"/>
      <c r="K364" s="54"/>
      <c r="L364" s="55"/>
      <c r="M364" s="56"/>
      <c r="N364" s="57">
        <v>0</v>
      </c>
      <c r="O364" s="58"/>
      <c r="P364" s="59"/>
      <c r="Q364" s="81"/>
      <c r="R364" s="82"/>
      <c r="S364" s="48"/>
      <c r="T364" s="50"/>
      <c r="U364" s="62"/>
      <c r="V364" s="63"/>
      <c r="W364" s="50"/>
      <c r="X364" s="48"/>
      <c r="Y364" s="63"/>
      <c r="Z364" s="63"/>
      <c r="AA364" s="64"/>
      <c r="AB364" s="65"/>
      <c r="AC364" s="66"/>
      <c r="AD364" s="67"/>
      <c r="AE364" s="68"/>
      <c r="AF364" s="48"/>
      <c r="AG364" s="63"/>
      <c r="AH364" s="63"/>
      <c r="AI364" s="63"/>
      <c r="AJ364" s="63"/>
      <c r="AK364" s="63"/>
      <c r="AL364" s="63"/>
      <c r="AM364" s="63"/>
      <c r="AN364" s="63"/>
      <c r="AO364" s="63"/>
      <c r="AP364" s="63"/>
      <c r="AQ364" s="63"/>
      <c r="AR364" s="63"/>
      <c r="AS364" s="63"/>
      <c r="AT364" s="63"/>
      <c r="AU364" s="63"/>
      <c r="AV364" s="63"/>
      <c r="AW364" s="50"/>
      <c r="AX364" s="69"/>
      <c r="AY364" s="69"/>
      <c r="AZ364" s="54"/>
      <c r="BA364" s="54"/>
      <c r="BB364" s="54"/>
      <c r="BC364" s="54"/>
      <c r="BD364" s="54"/>
      <c r="BE364" s="70"/>
      <c r="BF364" s="63"/>
      <c r="BG364" s="71">
        <v>0</v>
      </c>
      <c r="BH364" s="67"/>
      <c r="BI364" s="68"/>
      <c r="BJ364" s="72">
        <v>0</v>
      </c>
      <c r="BK364" s="62"/>
      <c r="BL364" s="70"/>
      <c r="BM364" s="70"/>
      <c r="BN364" s="70"/>
      <c r="BO364" s="70"/>
      <c r="BP364" s="73"/>
      <c r="BQ364" s="48"/>
      <c r="BR364" s="63"/>
      <c r="BS364" s="50"/>
      <c r="BT364" s="76" t="e">
        <v>#DIV/0!</v>
      </c>
      <c r="BU364" s="77" t="e">
        <v>#DIV/0!</v>
      </c>
      <c r="BV364" s="78">
        <v>0</v>
      </c>
      <c r="BW364" s="79">
        <v>0</v>
      </c>
      <c r="BX364" s="62"/>
      <c r="BY364" s="63"/>
      <c r="BZ364" s="63"/>
      <c r="CA364" s="63"/>
      <c r="CB364" s="63"/>
      <c r="CC364" s="63"/>
      <c r="CD364" s="63"/>
      <c r="CE364" s="50"/>
    </row>
    <row r="365" spans="2:83" x14ac:dyDescent="0.3">
      <c r="B365" s="46">
        <v>0</v>
      </c>
      <c r="C365" s="47"/>
      <c r="D365" s="48"/>
      <c r="E365" s="49"/>
      <c r="F365" s="50"/>
      <c r="G365" s="51" t="e">
        <v>#DIV/0!</v>
      </c>
      <c r="H365" s="52" t="e">
        <v>#DIV/0!</v>
      </c>
      <c r="I365" s="53"/>
      <c r="J365" s="54"/>
      <c r="K365" s="54"/>
      <c r="L365" s="55"/>
      <c r="M365" s="56"/>
      <c r="N365" s="57">
        <v>0</v>
      </c>
      <c r="O365" s="58"/>
      <c r="P365" s="59"/>
      <c r="Q365" s="81"/>
      <c r="R365" s="82"/>
      <c r="S365" s="48"/>
      <c r="T365" s="50"/>
      <c r="U365" s="62"/>
      <c r="V365" s="63"/>
      <c r="W365" s="50"/>
      <c r="X365" s="48"/>
      <c r="Y365" s="63"/>
      <c r="Z365" s="63"/>
      <c r="AA365" s="64"/>
      <c r="AB365" s="65"/>
      <c r="AC365" s="66"/>
      <c r="AD365" s="67"/>
      <c r="AE365" s="68"/>
      <c r="AF365" s="48"/>
      <c r="AG365" s="63"/>
      <c r="AH365" s="63"/>
      <c r="AI365" s="63"/>
      <c r="AJ365" s="63"/>
      <c r="AK365" s="63"/>
      <c r="AL365" s="63"/>
      <c r="AM365" s="63"/>
      <c r="AN365" s="63"/>
      <c r="AO365" s="63"/>
      <c r="AP365" s="63"/>
      <c r="AQ365" s="63"/>
      <c r="AR365" s="63"/>
      <c r="AS365" s="63"/>
      <c r="AT365" s="63"/>
      <c r="AU365" s="63"/>
      <c r="AV365" s="63"/>
      <c r="AW365" s="50"/>
      <c r="AX365" s="69"/>
      <c r="AY365" s="69"/>
      <c r="AZ365" s="54"/>
      <c r="BA365" s="54"/>
      <c r="BB365" s="54"/>
      <c r="BC365" s="54"/>
      <c r="BD365" s="54"/>
      <c r="BE365" s="70"/>
      <c r="BF365" s="63"/>
      <c r="BG365" s="71">
        <v>0</v>
      </c>
      <c r="BH365" s="67"/>
      <c r="BI365" s="68"/>
      <c r="BJ365" s="72">
        <v>0</v>
      </c>
      <c r="BK365" s="62"/>
      <c r="BL365" s="70"/>
      <c r="BM365" s="70"/>
      <c r="BN365" s="70"/>
      <c r="BO365" s="70"/>
      <c r="BP365" s="73"/>
      <c r="BQ365" s="48"/>
      <c r="BR365" s="63"/>
      <c r="BS365" s="50"/>
      <c r="BT365" s="76" t="e">
        <v>#DIV/0!</v>
      </c>
      <c r="BU365" s="77" t="e">
        <v>#DIV/0!</v>
      </c>
      <c r="BV365" s="78">
        <v>0</v>
      </c>
      <c r="BW365" s="79">
        <v>0</v>
      </c>
      <c r="BX365" s="62"/>
      <c r="BY365" s="63"/>
      <c r="BZ365" s="63"/>
      <c r="CA365" s="63"/>
      <c r="CB365" s="63"/>
      <c r="CC365" s="63"/>
      <c r="CD365" s="63"/>
      <c r="CE365" s="50"/>
    </row>
    <row r="366" spans="2:83" x14ac:dyDescent="0.3">
      <c r="B366" s="46">
        <v>0</v>
      </c>
      <c r="C366" s="47"/>
      <c r="D366" s="48"/>
      <c r="E366" s="49"/>
      <c r="F366" s="50"/>
      <c r="G366" s="51" t="e">
        <v>#DIV/0!</v>
      </c>
      <c r="H366" s="52" t="e">
        <v>#DIV/0!</v>
      </c>
      <c r="I366" s="53"/>
      <c r="J366" s="54"/>
      <c r="K366" s="54"/>
      <c r="L366" s="55"/>
      <c r="M366" s="56"/>
      <c r="N366" s="57">
        <v>0</v>
      </c>
      <c r="O366" s="58"/>
      <c r="P366" s="59"/>
      <c r="Q366" s="81"/>
      <c r="R366" s="82"/>
      <c r="S366" s="48"/>
      <c r="T366" s="50"/>
      <c r="U366" s="62"/>
      <c r="V366" s="63"/>
      <c r="W366" s="50"/>
      <c r="X366" s="48"/>
      <c r="Y366" s="63"/>
      <c r="Z366" s="63"/>
      <c r="AA366" s="64"/>
      <c r="AB366" s="65"/>
      <c r="AC366" s="66"/>
      <c r="AD366" s="67"/>
      <c r="AE366" s="68"/>
      <c r="AF366" s="48"/>
      <c r="AG366" s="63"/>
      <c r="AH366" s="63"/>
      <c r="AI366" s="63"/>
      <c r="AJ366" s="63"/>
      <c r="AK366" s="63"/>
      <c r="AL366" s="63"/>
      <c r="AM366" s="63"/>
      <c r="AN366" s="63"/>
      <c r="AO366" s="63"/>
      <c r="AP366" s="63"/>
      <c r="AQ366" s="63"/>
      <c r="AR366" s="63"/>
      <c r="AS366" s="63"/>
      <c r="AT366" s="63"/>
      <c r="AU366" s="63"/>
      <c r="AV366" s="63"/>
      <c r="AW366" s="50"/>
      <c r="AX366" s="69"/>
      <c r="AY366" s="69"/>
      <c r="AZ366" s="54"/>
      <c r="BA366" s="54"/>
      <c r="BB366" s="54"/>
      <c r="BC366" s="54"/>
      <c r="BD366" s="54"/>
      <c r="BE366" s="70"/>
      <c r="BF366" s="63"/>
      <c r="BG366" s="71">
        <v>0</v>
      </c>
      <c r="BH366" s="67"/>
      <c r="BI366" s="68"/>
      <c r="BJ366" s="72">
        <v>0</v>
      </c>
      <c r="BK366" s="62"/>
      <c r="BL366" s="70"/>
      <c r="BM366" s="70"/>
      <c r="BN366" s="70"/>
      <c r="BO366" s="70"/>
      <c r="BP366" s="73"/>
      <c r="BQ366" s="48"/>
      <c r="BR366" s="63"/>
      <c r="BS366" s="50"/>
      <c r="BT366" s="76" t="e">
        <v>#DIV/0!</v>
      </c>
      <c r="BU366" s="77" t="e">
        <v>#DIV/0!</v>
      </c>
      <c r="BV366" s="78">
        <v>0</v>
      </c>
      <c r="BW366" s="79">
        <v>0</v>
      </c>
      <c r="BX366" s="62"/>
      <c r="BY366" s="63"/>
      <c r="BZ366" s="63"/>
      <c r="CA366" s="63"/>
      <c r="CB366" s="63"/>
      <c r="CC366" s="63"/>
      <c r="CD366" s="63"/>
      <c r="CE366" s="50"/>
    </row>
    <row r="367" spans="2:83" x14ac:dyDescent="0.3">
      <c r="B367" s="46">
        <v>0</v>
      </c>
      <c r="C367" s="47"/>
      <c r="D367" s="48"/>
      <c r="E367" s="49"/>
      <c r="F367" s="50"/>
      <c r="G367" s="51" t="e">
        <v>#DIV/0!</v>
      </c>
      <c r="H367" s="52" t="e">
        <v>#DIV/0!</v>
      </c>
      <c r="I367" s="53"/>
      <c r="J367" s="54"/>
      <c r="K367" s="54"/>
      <c r="L367" s="55"/>
      <c r="M367" s="56"/>
      <c r="N367" s="57">
        <v>0</v>
      </c>
      <c r="O367" s="58"/>
      <c r="P367" s="59"/>
      <c r="Q367" s="81"/>
      <c r="R367" s="82"/>
      <c r="S367" s="48"/>
      <c r="T367" s="50"/>
      <c r="U367" s="62"/>
      <c r="V367" s="63"/>
      <c r="W367" s="50"/>
      <c r="X367" s="48"/>
      <c r="Y367" s="63"/>
      <c r="Z367" s="63"/>
      <c r="AA367" s="64"/>
      <c r="AB367" s="65"/>
      <c r="AC367" s="66"/>
      <c r="AD367" s="67"/>
      <c r="AE367" s="68"/>
      <c r="AF367" s="48"/>
      <c r="AG367" s="63"/>
      <c r="AH367" s="63"/>
      <c r="AI367" s="63"/>
      <c r="AJ367" s="63"/>
      <c r="AK367" s="63"/>
      <c r="AL367" s="63"/>
      <c r="AM367" s="63"/>
      <c r="AN367" s="63"/>
      <c r="AO367" s="63"/>
      <c r="AP367" s="63"/>
      <c r="AQ367" s="63"/>
      <c r="AR367" s="63"/>
      <c r="AS367" s="63"/>
      <c r="AT367" s="63"/>
      <c r="AU367" s="63"/>
      <c r="AV367" s="63"/>
      <c r="AW367" s="50"/>
      <c r="AX367" s="69"/>
      <c r="AY367" s="69"/>
      <c r="AZ367" s="54"/>
      <c r="BA367" s="54"/>
      <c r="BB367" s="54"/>
      <c r="BC367" s="54"/>
      <c r="BD367" s="54"/>
      <c r="BE367" s="70"/>
      <c r="BF367" s="63"/>
      <c r="BG367" s="71">
        <v>0</v>
      </c>
      <c r="BH367" s="67"/>
      <c r="BI367" s="68"/>
      <c r="BJ367" s="72">
        <v>0</v>
      </c>
      <c r="BK367" s="62"/>
      <c r="BL367" s="70"/>
      <c r="BM367" s="70"/>
      <c r="BN367" s="70"/>
      <c r="BO367" s="70"/>
      <c r="BP367" s="73"/>
      <c r="BQ367" s="48"/>
      <c r="BR367" s="63"/>
      <c r="BS367" s="50"/>
      <c r="BT367" s="76" t="e">
        <v>#DIV/0!</v>
      </c>
      <c r="BU367" s="77" t="e">
        <v>#DIV/0!</v>
      </c>
      <c r="BV367" s="78">
        <v>0</v>
      </c>
      <c r="BW367" s="79">
        <v>0</v>
      </c>
      <c r="BX367" s="62"/>
      <c r="BY367" s="63"/>
      <c r="BZ367" s="63"/>
      <c r="CA367" s="63"/>
      <c r="CB367" s="63"/>
      <c r="CC367" s="63"/>
      <c r="CD367" s="63"/>
      <c r="CE367" s="50"/>
    </row>
    <row r="368" spans="2:83" x14ac:dyDescent="0.3">
      <c r="B368" s="46">
        <v>0</v>
      </c>
      <c r="C368" s="47"/>
      <c r="D368" s="48"/>
      <c r="E368" s="49"/>
      <c r="F368" s="50"/>
      <c r="G368" s="51" t="e">
        <v>#DIV/0!</v>
      </c>
      <c r="H368" s="52" t="e">
        <v>#DIV/0!</v>
      </c>
      <c r="I368" s="53"/>
      <c r="J368" s="54"/>
      <c r="K368" s="54"/>
      <c r="L368" s="55"/>
      <c r="M368" s="56"/>
      <c r="N368" s="57">
        <v>0</v>
      </c>
      <c r="O368" s="58"/>
      <c r="P368" s="59"/>
      <c r="Q368" s="81"/>
      <c r="R368" s="82"/>
      <c r="S368" s="48"/>
      <c r="T368" s="50"/>
      <c r="U368" s="62"/>
      <c r="V368" s="63"/>
      <c r="W368" s="50"/>
      <c r="X368" s="48"/>
      <c r="Y368" s="63"/>
      <c r="Z368" s="63"/>
      <c r="AA368" s="64"/>
      <c r="AB368" s="65"/>
      <c r="AC368" s="66"/>
      <c r="AD368" s="67"/>
      <c r="AE368" s="68"/>
      <c r="AF368" s="48"/>
      <c r="AG368" s="63"/>
      <c r="AH368" s="63"/>
      <c r="AI368" s="63"/>
      <c r="AJ368" s="63"/>
      <c r="AK368" s="63"/>
      <c r="AL368" s="63"/>
      <c r="AM368" s="63"/>
      <c r="AN368" s="63"/>
      <c r="AO368" s="63"/>
      <c r="AP368" s="63"/>
      <c r="AQ368" s="63"/>
      <c r="AR368" s="63"/>
      <c r="AS368" s="63"/>
      <c r="AT368" s="63"/>
      <c r="AU368" s="63"/>
      <c r="AV368" s="63"/>
      <c r="AW368" s="50"/>
      <c r="AX368" s="69"/>
      <c r="AY368" s="69"/>
      <c r="AZ368" s="54"/>
      <c r="BA368" s="54"/>
      <c r="BB368" s="54"/>
      <c r="BC368" s="54"/>
      <c r="BD368" s="54"/>
      <c r="BE368" s="70"/>
      <c r="BF368" s="63"/>
      <c r="BG368" s="71">
        <v>0</v>
      </c>
      <c r="BH368" s="67"/>
      <c r="BI368" s="68"/>
      <c r="BJ368" s="72">
        <v>0</v>
      </c>
      <c r="BK368" s="62"/>
      <c r="BL368" s="70"/>
      <c r="BM368" s="70"/>
      <c r="BN368" s="70"/>
      <c r="BO368" s="70"/>
      <c r="BP368" s="73"/>
      <c r="BQ368" s="48"/>
      <c r="BR368" s="63"/>
      <c r="BS368" s="50"/>
      <c r="BT368" s="76" t="e">
        <v>#DIV/0!</v>
      </c>
      <c r="BU368" s="77" t="e">
        <v>#DIV/0!</v>
      </c>
      <c r="BV368" s="78">
        <v>0</v>
      </c>
      <c r="BW368" s="79">
        <v>0</v>
      </c>
      <c r="BX368" s="62"/>
      <c r="BY368" s="63"/>
      <c r="BZ368" s="63"/>
      <c r="CA368" s="63"/>
      <c r="CB368" s="63"/>
      <c r="CC368" s="63"/>
      <c r="CD368" s="63"/>
      <c r="CE368" s="50"/>
    </row>
    <row r="369" spans="2:83" x14ac:dyDescent="0.3">
      <c r="B369" s="46">
        <v>0</v>
      </c>
      <c r="C369" s="47"/>
      <c r="D369" s="48"/>
      <c r="E369" s="49"/>
      <c r="F369" s="50"/>
      <c r="G369" s="51" t="e">
        <v>#DIV/0!</v>
      </c>
      <c r="H369" s="52" t="e">
        <v>#DIV/0!</v>
      </c>
      <c r="I369" s="53"/>
      <c r="J369" s="54"/>
      <c r="K369" s="54"/>
      <c r="L369" s="55"/>
      <c r="M369" s="56"/>
      <c r="N369" s="57">
        <v>0</v>
      </c>
      <c r="O369" s="58"/>
      <c r="P369" s="59"/>
      <c r="Q369" s="81"/>
      <c r="R369" s="82"/>
      <c r="S369" s="48"/>
      <c r="T369" s="50"/>
      <c r="U369" s="62"/>
      <c r="V369" s="63"/>
      <c r="W369" s="50"/>
      <c r="X369" s="48"/>
      <c r="Y369" s="63"/>
      <c r="Z369" s="63"/>
      <c r="AA369" s="64"/>
      <c r="AB369" s="65"/>
      <c r="AC369" s="66"/>
      <c r="AD369" s="67"/>
      <c r="AE369" s="68"/>
      <c r="AF369" s="48"/>
      <c r="AG369" s="63"/>
      <c r="AH369" s="63"/>
      <c r="AI369" s="63"/>
      <c r="AJ369" s="63"/>
      <c r="AK369" s="63"/>
      <c r="AL369" s="63"/>
      <c r="AM369" s="63"/>
      <c r="AN369" s="63"/>
      <c r="AO369" s="63"/>
      <c r="AP369" s="63"/>
      <c r="AQ369" s="63"/>
      <c r="AR369" s="63"/>
      <c r="AS369" s="63"/>
      <c r="AT369" s="63"/>
      <c r="AU369" s="63"/>
      <c r="AV369" s="63"/>
      <c r="AW369" s="50"/>
      <c r="AX369" s="69"/>
      <c r="AY369" s="69"/>
      <c r="AZ369" s="54"/>
      <c r="BA369" s="54"/>
      <c r="BB369" s="54"/>
      <c r="BC369" s="54"/>
      <c r="BD369" s="54"/>
      <c r="BE369" s="70"/>
      <c r="BF369" s="63"/>
      <c r="BG369" s="71">
        <v>0</v>
      </c>
      <c r="BH369" s="67"/>
      <c r="BI369" s="68"/>
      <c r="BJ369" s="72">
        <v>0</v>
      </c>
      <c r="BK369" s="62"/>
      <c r="BL369" s="70"/>
      <c r="BM369" s="70"/>
      <c r="BN369" s="70"/>
      <c r="BO369" s="70"/>
      <c r="BP369" s="73"/>
      <c r="BQ369" s="48"/>
      <c r="BR369" s="63"/>
      <c r="BS369" s="50"/>
      <c r="BT369" s="76" t="e">
        <v>#DIV/0!</v>
      </c>
      <c r="BU369" s="77" t="e">
        <v>#DIV/0!</v>
      </c>
      <c r="BV369" s="78">
        <v>0</v>
      </c>
      <c r="BW369" s="79">
        <v>0</v>
      </c>
      <c r="BX369" s="62"/>
      <c r="BY369" s="63"/>
      <c r="BZ369" s="63"/>
      <c r="CA369" s="63"/>
      <c r="CB369" s="63"/>
      <c r="CC369" s="63"/>
      <c r="CD369" s="63"/>
      <c r="CE369" s="50"/>
    </row>
    <row r="370" spans="2:83" x14ac:dyDescent="0.3">
      <c r="B370" s="46">
        <v>0</v>
      </c>
      <c r="C370" s="47"/>
      <c r="D370" s="48"/>
      <c r="E370" s="49"/>
      <c r="F370" s="50"/>
      <c r="G370" s="51" t="e">
        <v>#DIV/0!</v>
      </c>
      <c r="H370" s="52" t="e">
        <v>#DIV/0!</v>
      </c>
      <c r="I370" s="53"/>
      <c r="J370" s="54"/>
      <c r="K370" s="54"/>
      <c r="L370" s="55"/>
      <c r="M370" s="56"/>
      <c r="N370" s="57">
        <v>0</v>
      </c>
      <c r="O370" s="58"/>
      <c r="P370" s="59"/>
      <c r="Q370" s="81"/>
      <c r="R370" s="82"/>
      <c r="S370" s="48"/>
      <c r="T370" s="50"/>
      <c r="U370" s="62"/>
      <c r="V370" s="63"/>
      <c r="W370" s="50"/>
      <c r="X370" s="48"/>
      <c r="Y370" s="63"/>
      <c r="Z370" s="63"/>
      <c r="AA370" s="64"/>
      <c r="AB370" s="65"/>
      <c r="AC370" s="66"/>
      <c r="AD370" s="67"/>
      <c r="AE370" s="68"/>
      <c r="AF370" s="48"/>
      <c r="AG370" s="63"/>
      <c r="AH370" s="63"/>
      <c r="AI370" s="63"/>
      <c r="AJ370" s="63"/>
      <c r="AK370" s="63"/>
      <c r="AL370" s="63"/>
      <c r="AM370" s="63"/>
      <c r="AN370" s="63"/>
      <c r="AO370" s="63"/>
      <c r="AP370" s="63"/>
      <c r="AQ370" s="63"/>
      <c r="AR370" s="63"/>
      <c r="AS370" s="63"/>
      <c r="AT370" s="63"/>
      <c r="AU370" s="63"/>
      <c r="AV370" s="63"/>
      <c r="AW370" s="50"/>
      <c r="AX370" s="69"/>
      <c r="AY370" s="69"/>
      <c r="AZ370" s="54"/>
      <c r="BA370" s="54"/>
      <c r="BB370" s="54"/>
      <c r="BC370" s="54"/>
      <c r="BD370" s="54"/>
      <c r="BE370" s="70"/>
      <c r="BF370" s="63"/>
      <c r="BG370" s="71">
        <v>0</v>
      </c>
      <c r="BH370" s="67"/>
      <c r="BI370" s="68"/>
      <c r="BJ370" s="72">
        <v>0</v>
      </c>
      <c r="BK370" s="62"/>
      <c r="BL370" s="70"/>
      <c r="BM370" s="70"/>
      <c r="BN370" s="70"/>
      <c r="BO370" s="70"/>
      <c r="BP370" s="73"/>
      <c r="BQ370" s="48"/>
      <c r="BR370" s="63"/>
      <c r="BS370" s="50"/>
      <c r="BT370" s="76" t="e">
        <v>#DIV/0!</v>
      </c>
      <c r="BU370" s="77" t="e">
        <v>#DIV/0!</v>
      </c>
      <c r="BV370" s="78">
        <v>0</v>
      </c>
      <c r="BW370" s="79">
        <v>0</v>
      </c>
      <c r="BX370" s="62"/>
      <c r="BY370" s="63"/>
      <c r="BZ370" s="63"/>
      <c r="CA370" s="63"/>
      <c r="CB370" s="63"/>
      <c r="CC370" s="63"/>
      <c r="CD370" s="63"/>
      <c r="CE370" s="50"/>
    </row>
    <row r="371" spans="2:83" x14ac:dyDescent="0.3">
      <c r="B371" s="46">
        <v>0</v>
      </c>
      <c r="C371" s="47"/>
      <c r="D371" s="48"/>
      <c r="E371" s="49"/>
      <c r="F371" s="50"/>
      <c r="G371" s="51" t="e">
        <v>#DIV/0!</v>
      </c>
      <c r="H371" s="52" t="e">
        <v>#DIV/0!</v>
      </c>
      <c r="I371" s="53"/>
      <c r="J371" s="54"/>
      <c r="K371" s="54"/>
      <c r="L371" s="55"/>
      <c r="M371" s="56"/>
      <c r="N371" s="57">
        <v>0</v>
      </c>
      <c r="O371" s="58"/>
      <c r="P371" s="59"/>
      <c r="Q371" s="81"/>
      <c r="R371" s="82"/>
      <c r="S371" s="48"/>
      <c r="T371" s="50"/>
      <c r="U371" s="62"/>
      <c r="V371" s="63"/>
      <c r="W371" s="50"/>
      <c r="X371" s="48"/>
      <c r="Y371" s="63"/>
      <c r="Z371" s="63"/>
      <c r="AA371" s="64"/>
      <c r="AB371" s="65"/>
      <c r="AC371" s="66"/>
      <c r="AD371" s="67"/>
      <c r="AE371" s="68"/>
      <c r="AF371" s="48"/>
      <c r="AG371" s="63"/>
      <c r="AH371" s="63"/>
      <c r="AI371" s="63"/>
      <c r="AJ371" s="63"/>
      <c r="AK371" s="63"/>
      <c r="AL371" s="63"/>
      <c r="AM371" s="63"/>
      <c r="AN371" s="63"/>
      <c r="AO371" s="63"/>
      <c r="AP371" s="63"/>
      <c r="AQ371" s="63"/>
      <c r="AR371" s="63"/>
      <c r="AS371" s="63"/>
      <c r="AT371" s="63"/>
      <c r="AU371" s="63"/>
      <c r="AV371" s="63"/>
      <c r="AW371" s="50"/>
      <c r="AX371" s="69"/>
      <c r="AY371" s="69"/>
      <c r="AZ371" s="54"/>
      <c r="BA371" s="54"/>
      <c r="BB371" s="54"/>
      <c r="BC371" s="54"/>
      <c r="BD371" s="54"/>
      <c r="BE371" s="70"/>
      <c r="BF371" s="63"/>
      <c r="BG371" s="71">
        <v>0</v>
      </c>
      <c r="BH371" s="67"/>
      <c r="BI371" s="68"/>
      <c r="BJ371" s="72">
        <v>0</v>
      </c>
      <c r="BK371" s="62"/>
      <c r="BL371" s="70"/>
      <c r="BM371" s="70"/>
      <c r="BN371" s="70"/>
      <c r="BO371" s="70"/>
      <c r="BP371" s="73"/>
      <c r="BQ371" s="48"/>
      <c r="BR371" s="63"/>
      <c r="BS371" s="50"/>
      <c r="BT371" s="76" t="e">
        <v>#DIV/0!</v>
      </c>
      <c r="BU371" s="77" t="e">
        <v>#DIV/0!</v>
      </c>
      <c r="BV371" s="78">
        <v>0</v>
      </c>
      <c r="BW371" s="79">
        <v>0</v>
      </c>
      <c r="BX371" s="62"/>
      <c r="BY371" s="63"/>
      <c r="BZ371" s="63"/>
      <c r="CA371" s="63"/>
      <c r="CB371" s="63"/>
      <c r="CC371" s="63"/>
      <c r="CD371" s="63"/>
      <c r="CE371" s="50"/>
    </row>
    <row r="372" spans="2:83" x14ac:dyDescent="0.3">
      <c r="B372" s="46">
        <v>0</v>
      </c>
      <c r="C372" s="47"/>
      <c r="D372" s="48"/>
      <c r="E372" s="49"/>
      <c r="F372" s="50"/>
      <c r="G372" s="51" t="e">
        <v>#DIV/0!</v>
      </c>
      <c r="H372" s="52" t="e">
        <v>#DIV/0!</v>
      </c>
      <c r="I372" s="53"/>
      <c r="J372" s="54"/>
      <c r="K372" s="54"/>
      <c r="L372" s="55"/>
      <c r="M372" s="56"/>
      <c r="N372" s="57">
        <v>0</v>
      </c>
      <c r="O372" s="58"/>
      <c r="P372" s="59"/>
      <c r="Q372" s="81"/>
      <c r="R372" s="82"/>
      <c r="S372" s="48"/>
      <c r="T372" s="50"/>
      <c r="U372" s="62"/>
      <c r="V372" s="63"/>
      <c r="W372" s="50"/>
      <c r="X372" s="48"/>
      <c r="Y372" s="63"/>
      <c r="Z372" s="63"/>
      <c r="AA372" s="64"/>
      <c r="AB372" s="65"/>
      <c r="AC372" s="66"/>
      <c r="AD372" s="67"/>
      <c r="AE372" s="68"/>
      <c r="AF372" s="48"/>
      <c r="AG372" s="63"/>
      <c r="AH372" s="63"/>
      <c r="AI372" s="63"/>
      <c r="AJ372" s="63"/>
      <c r="AK372" s="63"/>
      <c r="AL372" s="63"/>
      <c r="AM372" s="63"/>
      <c r="AN372" s="63"/>
      <c r="AO372" s="63"/>
      <c r="AP372" s="63"/>
      <c r="AQ372" s="63"/>
      <c r="AR372" s="63"/>
      <c r="AS372" s="63"/>
      <c r="AT372" s="63"/>
      <c r="AU372" s="63"/>
      <c r="AV372" s="63"/>
      <c r="AW372" s="50"/>
      <c r="AX372" s="69"/>
      <c r="AY372" s="69"/>
      <c r="AZ372" s="54"/>
      <c r="BA372" s="54"/>
      <c r="BB372" s="54"/>
      <c r="BC372" s="54"/>
      <c r="BD372" s="54"/>
      <c r="BE372" s="70"/>
      <c r="BF372" s="63"/>
      <c r="BG372" s="71">
        <v>0</v>
      </c>
      <c r="BH372" s="67"/>
      <c r="BI372" s="68"/>
      <c r="BJ372" s="72">
        <v>0</v>
      </c>
      <c r="BK372" s="62"/>
      <c r="BL372" s="70"/>
      <c r="BM372" s="70"/>
      <c r="BN372" s="70"/>
      <c r="BO372" s="70"/>
      <c r="BP372" s="73"/>
      <c r="BQ372" s="48"/>
      <c r="BR372" s="63"/>
      <c r="BS372" s="50"/>
      <c r="BT372" s="76" t="e">
        <v>#DIV/0!</v>
      </c>
      <c r="BU372" s="77" t="e">
        <v>#DIV/0!</v>
      </c>
      <c r="BV372" s="78">
        <v>0</v>
      </c>
      <c r="BW372" s="79">
        <v>0</v>
      </c>
      <c r="BX372" s="62"/>
      <c r="BY372" s="63"/>
      <c r="BZ372" s="63"/>
      <c r="CA372" s="63"/>
      <c r="CB372" s="63"/>
      <c r="CC372" s="63"/>
      <c r="CD372" s="63"/>
      <c r="CE372" s="50"/>
    </row>
    <row r="373" spans="2:83" x14ac:dyDescent="0.3">
      <c r="B373" s="46">
        <v>0</v>
      </c>
      <c r="C373" s="47"/>
      <c r="D373" s="48"/>
      <c r="E373" s="49"/>
      <c r="F373" s="50"/>
      <c r="G373" s="51" t="e">
        <v>#DIV/0!</v>
      </c>
      <c r="H373" s="52" t="e">
        <v>#DIV/0!</v>
      </c>
      <c r="I373" s="53"/>
      <c r="J373" s="54"/>
      <c r="K373" s="54"/>
      <c r="L373" s="55"/>
      <c r="M373" s="56"/>
      <c r="N373" s="57">
        <v>0</v>
      </c>
      <c r="O373" s="58"/>
      <c r="P373" s="59"/>
      <c r="Q373" s="81"/>
      <c r="R373" s="82"/>
      <c r="S373" s="48"/>
      <c r="T373" s="50"/>
      <c r="U373" s="62"/>
      <c r="V373" s="63"/>
      <c r="W373" s="50"/>
      <c r="X373" s="48"/>
      <c r="Y373" s="63"/>
      <c r="Z373" s="63"/>
      <c r="AA373" s="64"/>
      <c r="AB373" s="65"/>
      <c r="AC373" s="66"/>
      <c r="AD373" s="67"/>
      <c r="AE373" s="68"/>
      <c r="AF373" s="48"/>
      <c r="AG373" s="63"/>
      <c r="AH373" s="63"/>
      <c r="AI373" s="63"/>
      <c r="AJ373" s="63"/>
      <c r="AK373" s="63"/>
      <c r="AL373" s="63"/>
      <c r="AM373" s="63"/>
      <c r="AN373" s="63"/>
      <c r="AO373" s="63"/>
      <c r="AP373" s="63"/>
      <c r="AQ373" s="63"/>
      <c r="AR373" s="63"/>
      <c r="AS373" s="63"/>
      <c r="AT373" s="63"/>
      <c r="AU373" s="63"/>
      <c r="AV373" s="63"/>
      <c r="AW373" s="50"/>
      <c r="AX373" s="69"/>
      <c r="AY373" s="69"/>
      <c r="AZ373" s="54"/>
      <c r="BA373" s="54"/>
      <c r="BB373" s="54"/>
      <c r="BC373" s="54"/>
      <c r="BD373" s="54"/>
      <c r="BE373" s="70"/>
      <c r="BF373" s="63"/>
      <c r="BG373" s="71">
        <v>0</v>
      </c>
      <c r="BH373" s="67"/>
      <c r="BI373" s="68"/>
      <c r="BJ373" s="72">
        <v>0</v>
      </c>
      <c r="BK373" s="62"/>
      <c r="BL373" s="70"/>
      <c r="BM373" s="70"/>
      <c r="BN373" s="70"/>
      <c r="BO373" s="70"/>
      <c r="BP373" s="73"/>
      <c r="BQ373" s="48"/>
      <c r="BR373" s="63"/>
      <c r="BS373" s="50"/>
      <c r="BT373" s="76" t="e">
        <v>#DIV/0!</v>
      </c>
      <c r="BU373" s="77" t="e">
        <v>#DIV/0!</v>
      </c>
      <c r="BV373" s="78">
        <v>0</v>
      </c>
      <c r="BW373" s="79">
        <v>0</v>
      </c>
      <c r="BX373" s="62"/>
      <c r="BY373" s="63"/>
      <c r="BZ373" s="63"/>
      <c r="CA373" s="63"/>
      <c r="CB373" s="63"/>
      <c r="CC373" s="63"/>
      <c r="CD373" s="63"/>
      <c r="CE373" s="50"/>
    </row>
    <row r="374" spans="2:83" x14ac:dyDescent="0.3">
      <c r="B374" s="46">
        <v>0</v>
      </c>
      <c r="C374" s="47"/>
      <c r="D374" s="48"/>
      <c r="E374" s="49"/>
      <c r="F374" s="50"/>
      <c r="G374" s="51" t="e">
        <v>#DIV/0!</v>
      </c>
      <c r="H374" s="52" t="e">
        <v>#DIV/0!</v>
      </c>
      <c r="I374" s="53"/>
      <c r="J374" s="54"/>
      <c r="K374" s="54"/>
      <c r="L374" s="55"/>
      <c r="M374" s="56"/>
      <c r="N374" s="57">
        <v>0</v>
      </c>
      <c r="O374" s="58"/>
      <c r="P374" s="59"/>
      <c r="Q374" s="81"/>
      <c r="R374" s="82"/>
      <c r="S374" s="48"/>
      <c r="T374" s="50"/>
      <c r="U374" s="62"/>
      <c r="V374" s="63"/>
      <c r="W374" s="50"/>
      <c r="X374" s="48"/>
      <c r="Y374" s="63"/>
      <c r="Z374" s="63"/>
      <c r="AA374" s="64"/>
      <c r="AB374" s="65"/>
      <c r="AC374" s="66"/>
      <c r="AD374" s="67"/>
      <c r="AE374" s="68"/>
      <c r="AF374" s="48"/>
      <c r="AG374" s="63"/>
      <c r="AH374" s="63"/>
      <c r="AI374" s="63"/>
      <c r="AJ374" s="63"/>
      <c r="AK374" s="63"/>
      <c r="AL374" s="63"/>
      <c r="AM374" s="63"/>
      <c r="AN374" s="63"/>
      <c r="AO374" s="63"/>
      <c r="AP374" s="63"/>
      <c r="AQ374" s="63"/>
      <c r="AR374" s="63"/>
      <c r="AS374" s="63"/>
      <c r="AT374" s="63"/>
      <c r="AU374" s="63"/>
      <c r="AV374" s="63"/>
      <c r="AW374" s="50"/>
      <c r="AX374" s="69"/>
      <c r="AY374" s="69"/>
      <c r="AZ374" s="54"/>
      <c r="BA374" s="54"/>
      <c r="BB374" s="54"/>
      <c r="BC374" s="54"/>
      <c r="BD374" s="54"/>
      <c r="BE374" s="70"/>
      <c r="BF374" s="63"/>
      <c r="BG374" s="71">
        <v>0</v>
      </c>
      <c r="BH374" s="67"/>
      <c r="BI374" s="68"/>
      <c r="BJ374" s="72">
        <v>0</v>
      </c>
      <c r="BK374" s="62"/>
      <c r="BL374" s="70"/>
      <c r="BM374" s="70"/>
      <c r="BN374" s="70"/>
      <c r="BO374" s="70"/>
      <c r="BP374" s="73"/>
      <c r="BQ374" s="48"/>
      <c r="BR374" s="63"/>
      <c r="BS374" s="50"/>
      <c r="BT374" s="76" t="e">
        <v>#DIV/0!</v>
      </c>
      <c r="BU374" s="77" t="e">
        <v>#DIV/0!</v>
      </c>
      <c r="BV374" s="78">
        <v>0</v>
      </c>
      <c r="BW374" s="79">
        <v>0</v>
      </c>
      <c r="BX374" s="62"/>
      <c r="BY374" s="63"/>
      <c r="BZ374" s="63"/>
      <c r="CA374" s="63"/>
      <c r="CB374" s="63"/>
      <c r="CC374" s="63"/>
      <c r="CD374" s="63"/>
      <c r="CE374" s="50"/>
    </row>
    <row r="375" spans="2:83" x14ac:dyDescent="0.3">
      <c r="B375" s="46">
        <v>0</v>
      </c>
      <c r="C375" s="47"/>
      <c r="D375" s="48"/>
      <c r="E375" s="49"/>
      <c r="F375" s="50"/>
      <c r="G375" s="51" t="e">
        <v>#DIV/0!</v>
      </c>
      <c r="H375" s="52" t="e">
        <v>#DIV/0!</v>
      </c>
      <c r="I375" s="53"/>
      <c r="J375" s="54"/>
      <c r="K375" s="54"/>
      <c r="L375" s="55"/>
      <c r="M375" s="56"/>
      <c r="N375" s="57">
        <v>0</v>
      </c>
      <c r="O375" s="58"/>
      <c r="P375" s="59"/>
      <c r="Q375" s="81"/>
      <c r="R375" s="82"/>
      <c r="S375" s="48"/>
      <c r="T375" s="50"/>
      <c r="U375" s="62"/>
      <c r="V375" s="63"/>
      <c r="W375" s="50"/>
      <c r="X375" s="48"/>
      <c r="Y375" s="63"/>
      <c r="Z375" s="63"/>
      <c r="AA375" s="64"/>
      <c r="AB375" s="65"/>
      <c r="AC375" s="66"/>
      <c r="AD375" s="67"/>
      <c r="AE375" s="68"/>
      <c r="AF375" s="48"/>
      <c r="AG375" s="63"/>
      <c r="AH375" s="63"/>
      <c r="AI375" s="63"/>
      <c r="AJ375" s="63"/>
      <c r="AK375" s="63"/>
      <c r="AL375" s="63"/>
      <c r="AM375" s="63"/>
      <c r="AN375" s="63"/>
      <c r="AO375" s="63"/>
      <c r="AP375" s="63"/>
      <c r="AQ375" s="63"/>
      <c r="AR375" s="63"/>
      <c r="AS375" s="63"/>
      <c r="AT375" s="63"/>
      <c r="AU375" s="63"/>
      <c r="AV375" s="63"/>
      <c r="AW375" s="50"/>
      <c r="AX375" s="69"/>
      <c r="AY375" s="69"/>
      <c r="AZ375" s="54"/>
      <c r="BA375" s="54"/>
      <c r="BB375" s="54"/>
      <c r="BC375" s="54"/>
      <c r="BD375" s="54"/>
      <c r="BE375" s="70"/>
      <c r="BF375" s="63"/>
      <c r="BG375" s="71">
        <v>0</v>
      </c>
      <c r="BH375" s="67"/>
      <c r="BI375" s="68"/>
      <c r="BJ375" s="72">
        <v>0</v>
      </c>
      <c r="BK375" s="62"/>
      <c r="BL375" s="70"/>
      <c r="BM375" s="70"/>
      <c r="BN375" s="70"/>
      <c r="BO375" s="70"/>
      <c r="BP375" s="73"/>
      <c r="BQ375" s="48"/>
      <c r="BR375" s="63"/>
      <c r="BS375" s="50"/>
      <c r="BT375" s="76" t="e">
        <v>#DIV/0!</v>
      </c>
      <c r="BU375" s="77" t="e">
        <v>#DIV/0!</v>
      </c>
      <c r="BV375" s="78">
        <v>0</v>
      </c>
      <c r="BW375" s="79">
        <v>0</v>
      </c>
      <c r="BX375" s="62"/>
      <c r="BY375" s="63"/>
      <c r="BZ375" s="63"/>
      <c r="CA375" s="63"/>
      <c r="CB375" s="63"/>
      <c r="CC375" s="63"/>
      <c r="CD375" s="63"/>
      <c r="CE375" s="50"/>
    </row>
    <row r="376" spans="2:83" x14ac:dyDescent="0.3">
      <c r="B376" s="46">
        <v>0</v>
      </c>
      <c r="C376" s="47"/>
      <c r="D376" s="48"/>
      <c r="E376" s="49"/>
      <c r="F376" s="50"/>
      <c r="G376" s="51" t="e">
        <v>#DIV/0!</v>
      </c>
      <c r="H376" s="52" t="e">
        <v>#DIV/0!</v>
      </c>
      <c r="I376" s="53"/>
      <c r="J376" s="54"/>
      <c r="K376" s="54"/>
      <c r="L376" s="55"/>
      <c r="M376" s="56"/>
      <c r="N376" s="57">
        <v>0</v>
      </c>
      <c r="O376" s="58"/>
      <c r="P376" s="59"/>
      <c r="Q376" s="81"/>
      <c r="R376" s="82"/>
      <c r="S376" s="48"/>
      <c r="T376" s="50"/>
      <c r="U376" s="62"/>
      <c r="V376" s="63"/>
      <c r="W376" s="50"/>
      <c r="X376" s="48"/>
      <c r="Y376" s="63"/>
      <c r="Z376" s="63"/>
      <c r="AA376" s="64"/>
      <c r="AB376" s="65"/>
      <c r="AC376" s="66"/>
      <c r="AD376" s="67"/>
      <c r="AE376" s="68"/>
      <c r="AF376" s="48"/>
      <c r="AG376" s="63"/>
      <c r="AH376" s="63"/>
      <c r="AI376" s="63"/>
      <c r="AJ376" s="63"/>
      <c r="AK376" s="63"/>
      <c r="AL376" s="63"/>
      <c r="AM376" s="63"/>
      <c r="AN376" s="63"/>
      <c r="AO376" s="63"/>
      <c r="AP376" s="63"/>
      <c r="AQ376" s="63"/>
      <c r="AR376" s="63"/>
      <c r="AS376" s="63"/>
      <c r="AT376" s="63"/>
      <c r="AU376" s="63"/>
      <c r="AV376" s="63"/>
      <c r="AW376" s="50"/>
      <c r="AX376" s="69"/>
      <c r="AY376" s="69"/>
      <c r="AZ376" s="54"/>
      <c r="BA376" s="54"/>
      <c r="BB376" s="54"/>
      <c r="BC376" s="54"/>
      <c r="BD376" s="54"/>
      <c r="BE376" s="70"/>
      <c r="BF376" s="63"/>
      <c r="BG376" s="71">
        <v>0</v>
      </c>
      <c r="BH376" s="67"/>
      <c r="BI376" s="68"/>
      <c r="BJ376" s="72">
        <v>0</v>
      </c>
      <c r="BK376" s="62"/>
      <c r="BL376" s="70"/>
      <c r="BM376" s="70"/>
      <c r="BN376" s="70"/>
      <c r="BO376" s="70"/>
      <c r="BP376" s="73"/>
      <c r="BQ376" s="48"/>
      <c r="BR376" s="63"/>
      <c r="BS376" s="50"/>
      <c r="BT376" s="76" t="e">
        <v>#DIV/0!</v>
      </c>
      <c r="BU376" s="77" t="e">
        <v>#DIV/0!</v>
      </c>
      <c r="BV376" s="78">
        <v>0</v>
      </c>
      <c r="BW376" s="79">
        <v>0</v>
      </c>
      <c r="BX376" s="62"/>
      <c r="BY376" s="63"/>
      <c r="BZ376" s="63"/>
      <c r="CA376" s="63"/>
      <c r="CB376" s="63"/>
      <c r="CC376" s="63"/>
      <c r="CD376" s="63"/>
      <c r="CE376" s="50"/>
    </row>
    <row r="377" spans="2:83" x14ac:dyDescent="0.3">
      <c r="B377" s="46">
        <v>0</v>
      </c>
      <c r="C377" s="47"/>
      <c r="D377" s="48"/>
      <c r="E377" s="49"/>
      <c r="F377" s="50"/>
      <c r="G377" s="51" t="e">
        <v>#DIV/0!</v>
      </c>
      <c r="H377" s="52" t="e">
        <v>#DIV/0!</v>
      </c>
      <c r="I377" s="53"/>
      <c r="J377" s="54"/>
      <c r="K377" s="54"/>
      <c r="L377" s="55"/>
      <c r="M377" s="56"/>
      <c r="N377" s="57">
        <v>0</v>
      </c>
      <c r="O377" s="58"/>
      <c r="P377" s="59"/>
      <c r="Q377" s="81"/>
      <c r="R377" s="82"/>
      <c r="S377" s="48"/>
      <c r="T377" s="50"/>
      <c r="U377" s="62"/>
      <c r="V377" s="63"/>
      <c r="W377" s="50"/>
      <c r="X377" s="48"/>
      <c r="Y377" s="63"/>
      <c r="Z377" s="63"/>
      <c r="AA377" s="64"/>
      <c r="AB377" s="65"/>
      <c r="AC377" s="66"/>
      <c r="AD377" s="67"/>
      <c r="AE377" s="68"/>
      <c r="AF377" s="48"/>
      <c r="AG377" s="63"/>
      <c r="AH377" s="63"/>
      <c r="AI377" s="63"/>
      <c r="AJ377" s="63"/>
      <c r="AK377" s="63"/>
      <c r="AL377" s="63"/>
      <c r="AM377" s="63"/>
      <c r="AN377" s="63"/>
      <c r="AO377" s="63"/>
      <c r="AP377" s="63"/>
      <c r="AQ377" s="63"/>
      <c r="AR377" s="63"/>
      <c r="AS377" s="63"/>
      <c r="AT377" s="63"/>
      <c r="AU377" s="63"/>
      <c r="AV377" s="63"/>
      <c r="AW377" s="50"/>
      <c r="AX377" s="69"/>
      <c r="AY377" s="69"/>
      <c r="AZ377" s="54"/>
      <c r="BA377" s="54"/>
      <c r="BB377" s="54"/>
      <c r="BC377" s="54"/>
      <c r="BD377" s="54"/>
      <c r="BE377" s="70"/>
      <c r="BF377" s="63"/>
      <c r="BG377" s="71">
        <v>0</v>
      </c>
      <c r="BH377" s="67"/>
      <c r="BI377" s="68"/>
      <c r="BJ377" s="72">
        <v>0</v>
      </c>
      <c r="BK377" s="62"/>
      <c r="BL377" s="70"/>
      <c r="BM377" s="70"/>
      <c r="BN377" s="70"/>
      <c r="BO377" s="70"/>
      <c r="BP377" s="73"/>
      <c r="BQ377" s="48"/>
      <c r="BR377" s="63"/>
      <c r="BS377" s="50"/>
      <c r="BT377" s="76" t="e">
        <v>#DIV/0!</v>
      </c>
      <c r="BU377" s="77" t="e">
        <v>#DIV/0!</v>
      </c>
      <c r="BV377" s="78">
        <v>0</v>
      </c>
      <c r="BW377" s="79">
        <v>0</v>
      </c>
      <c r="BX377" s="62"/>
      <c r="BY377" s="63"/>
      <c r="BZ377" s="63"/>
      <c r="CA377" s="63"/>
      <c r="CB377" s="63"/>
      <c r="CC377" s="63"/>
      <c r="CD377" s="63"/>
      <c r="CE377" s="50"/>
    </row>
    <row r="378" spans="2:83" x14ac:dyDescent="0.3">
      <c r="B378" s="46">
        <v>0</v>
      </c>
      <c r="C378" s="47"/>
      <c r="D378" s="48"/>
      <c r="E378" s="49"/>
      <c r="F378" s="50"/>
      <c r="G378" s="51" t="e">
        <v>#DIV/0!</v>
      </c>
      <c r="H378" s="52" t="e">
        <v>#DIV/0!</v>
      </c>
      <c r="I378" s="53"/>
      <c r="J378" s="54"/>
      <c r="K378" s="54"/>
      <c r="L378" s="55"/>
      <c r="M378" s="56"/>
      <c r="N378" s="57">
        <v>0</v>
      </c>
      <c r="O378" s="58"/>
      <c r="P378" s="59"/>
      <c r="Q378" s="81"/>
      <c r="R378" s="82"/>
      <c r="S378" s="48"/>
      <c r="T378" s="50"/>
      <c r="U378" s="62"/>
      <c r="V378" s="63"/>
      <c r="W378" s="50"/>
      <c r="X378" s="48"/>
      <c r="Y378" s="63"/>
      <c r="Z378" s="63"/>
      <c r="AA378" s="64"/>
      <c r="AB378" s="65"/>
      <c r="AC378" s="66"/>
      <c r="AD378" s="67"/>
      <c r="AE378" s="68"/>
      <c r="AF378" s="48"/>
      <c r="AG378" s="63"/>
      <c r="AH378" s="63"/>
      <c r="AI378" s="63"/>
      <c r="AJ378" s="63"/>
      <c r="AK378" s="63"/>
      <c r="AL378" s="63"/>
      <c r="AM378" s="63"/>
      <c r="AN378" s="63"/>
      <c r="AO378" s="63"/>
      <c r="AP378" s="63"/>
      <c r="AQ378" s="63"/>
      <c r="AR378" s="63"/>
      <c r="AS378" s="63"/>
      <c r="AT378" s="63"/>
      <c r="AU378" s="63"/>
      <c r="AV378" s="63"/>
      <c r="AW378" s="50"/>
      <c r="AX378" s="69"/>
      <c r="AY378" s="69"/>
      <c r="AZ378" s="54"/>
      <c r="BA378" s="54"/>
      <c r="BB378" s="54"/>
      <c r="BC378" s="54"/>
      <c r="BD378" s="54"/>
      <c r="BE378" s="70"/>
      <c r="BF378" s="63"/>
      <c r="BG378" s="71">
        <v>0</v>
      </c>
      <c r="BH378" s="67"/>
      <c r="BI378" s="68"/>
      <c r="BJ378" s="72">
        <v>0</v>
      </c>
      <c r="BK378" s="62"/>
      <c r="BL378" s="70"/>
      <c r="BM378" s="70"/>
      <c r="BN378" s="70"/>
      <c r="BO378" s="70"/>
      <c r="BP378" s="73"/>
      <c r="BQ378" s="48"/>
      <c r="BR378" s="63"/>
      <c r="BS378" s="50"/>
      <c r="BT378" s="76" t="e">
        <v>#DIV/0!</v>
      </c>
      <c r="BU378" s="77" t="e">
        <v>#DIV/0!</v>
      </c>
      <c r="BV378" s="78">
        <v>0</v>
      </c>
      <c r="BW378" s="79">
        <v>0</v>
      </c>
      <c r="BX378" s="62"/>
      <c r="BY378" s="63"/>
      <c r="BZ378" s="63"/>
      <c r="CA378" s="63"/>
      <c r="CB378" s="63"/>
      <c r="CC378" s="63"/>
      <c r="CD378" s="63"/>
      <c r="CE378" s="50"/>
    </row>
    <row r="379" spans="2:83" x14ac:dyDescent="0.3">
      <c r="B379" s="46">
        <v>0</v>
      </c>
      <c r="C379" s="47"/>
      <c r="D379" s="48"/>
      <c r="E379" s="49"/>
      <c r="F379" s="50"/>
      <c r="G379" s="51" t="e">
        <v>#DIV/0!</v>
      </c>
      <c r="H379" s="52" t="e">
        <v>#DIV/0!</v>
      </c>
      <c r="I379" s="53"/>
      <c r="J379" s="54"/>
      <c r="K379" s="54"/>
      <c r="L379" s="55"/>
      <c r="M379" s="56"/>
      <c r="N379" s="57">
        <v>0</v>
      </c>
      <c r="O379" s="58"/>
      <c r="P379" s="59"/>
      <c r="Q379" s="81"/>
      <c r="R379" s="82"/>
      <c r="S379" s="48"/>
      <c r="T379" s="50"/>
      <c r="U379" s="62"/>
      <c r="V379" s="63"/>
      <c r="W379" s="50"/>
      <c r="X379" s="48"/>
      <c r="Y379" s="63"/>
      <c r="Z379" s="63"/>
      <c r="AA379" s="64"/>
      <c r="AB379" s="65"/>
      <c r="AC379" s="66"/>
      <c r="AD379" s="67"/>
      <c r="AE379" s="68"/>
      <c r="AF379" s="48"/>
      <c r="AG379" s="63"/>
      <c r="AH379" s="63"/>
      <c r="AI379" s="63"/>
      <c r="AJ379" s="63"/>
      <c r="AK379" s="63"/>
      <c r="AL379" s="63"/>
      <c r="AM379" s="63"/>
      <c r="AN379" s="63"/>
      <c r="AO379" s="63"/>
      <c r="AP379" s="63"/>
      <c r="AQ379" s="63"/>
      <c r="AR379" s="63"/>
      <c r="AS379" s="63"/>
      <c r="AT379" s="63"/>
      <c r="AU379" s="63"/>
      <c r="AV379" s="63"/>
      <c r="AW379" s="50"/>
      <c r="AX379" s="69"/>
      <c r="AY379" s="69"/>
      <c r="AZ379" s="54"/>
      <c r="BA379" s="54"/>
      <c r="BB379" s="54"/>
      <c r="BC379" s="54"/>
      <c r="BD379" s="54"/>
      <c r="BE379" s="70"/>
      <c r="BF379" s="63"/>
      <c r="BG379" s="71">
        <v>0</v>
      </c>
      <c r="BH379" s="67"/>
      <c r="BI379" s="68"/>
      <c r="BJ379" s="72">
        <v>0</v>
      </c>
      <c r="BK379" s="62"/>
      <c r="BL379" s="70"/>
      <c r="BM379" s="70"/>
      <c r="BN379" s="70"/>
      <c r="BO379" s="70"/>
      <c r="BP379" s="73"/>
      <c r="BQ379" s="48"/>
      <c r="BR379" s="63"/>
      <c r="BS379" s="50"/>
      <c r="BT379" s="76" t="e">
        <v>#DIV/0!</v>
      </c>
      <c r="BU379" s="77" t="e">
        <v>#DIV/0!</v>
      </c>
      <c r="BV379" s="78">
        <v>0</v>
      </c>
      <c r="BW379" s="79">
        <v>0</v>
      </c>
      <c r="BX379" s="62"/>
      <c r="BY379" s="63"/>
      <c r="BZ379" s="63"/>
      <c r="CA379" s="63"/>
      <c r="CB379" s="63"/>
      <c r="CC379" s="63"/>
      <c r="CD379" s="63"/>
      <c r="CE379" s="50"/>
    </row>
    <row r="380" spans="2:83" x14ac:dyDescent="0.3">
      <c r="B380" s="46">
        <v>0</v>
      </c>
      <c r="C380" s="47"/>
      <c r="D380" s="48"/>
      <c r="E380" s="49"/>
      <c r="F380" s="50"/>
      <c r="G380" s="51" t="e">
        <v>#DIV/0!</v>
      </c>
      <c r="H380" s="52" t="e">
        <v>#DIV/0!</v>
      </c>
      <c r="I380" s="53"/>
      <c r="J380" s="54"/>
      <c r="K380" s="54"/>
      <c r="L380" s="55"/>
      <c r="M380" s="56"/>
      <c r="N380" s="57">
        <v>0</v>
      </c>
      <c r="O380" s="58"/>
      <c r="P380" s="59"/>
      <c r="Q380" s="81"/>
      <c r="R380" s="82"/>
      <c r="S380" s="48"/>
      <c r="T380" s="50"/>
      <c r="U380" s="62"/>
      <c r="V380" s="63"/>
      <c r="W380" s="50"/>
      <c r="X380" s="48"/>
      <c r="Y380" s="63"/>
      <c r="Z380" s="63"/>
      <c r="AA380" s="64"/>
      <c r="AB380" s="65"/>
      <c r="AC380" s="66"/>
      <c r="AD380" s="67"/>
      <c r="AE380" s="68"/>
      <c r="AF380" s="48"/>
      <c r="AG380" s="63"/>
      <c r="AH380" s="63"/>
      <c r="AI380" s="63"/>
      <c r="AJ380" s="63"/>
      <c r="AK380" s="63"/>
      <c r="AL380" s="63"/>
      <c r="AM380" s="63"/>
      <c r="AN380" s="63"/>
      <c r="AO380" s="63"/>
      <c r="AP380" s="63"/>
      <c r="AQ380" s="63"/>
      <c r="AR380" s="63"/>
      <c r="AS380" s="63"/>
      <c r="AT380" s="63"/>
      <c r="AU380" s="63"/>
      <c r="AV380" s="63"/>
      <c r="AW380" s="50"/>
      <c r="AX380" s="69"/>
      <c r="AY380" s="69"/>
      <c r="AZ380" s="54"/>
      <c r="BA380" s="54"/>
      <c r="BB380" s="54"/>
      <c r="BC380" s="54"/>
      <c r="BD380" s="54"/>
      <c r="BE380" s="70"/>
      <c r="BF380" s="63"/>
      <c r="BG380" s="71">
        <v>0</v>
      </c>
      <c r="BH380" s="67"/>
      <c r="BI380" s="68"/>
      <c r="BJ380" s="72">
        <v>0</v>
      </c>
      <c r="BK380" s="62"/>
      <c r="BL380" s="70"/>
      <c r="BM380" s="70"/>
      <c r="BN380" s="70"/>
      <c r="BO380" s="70"/>
      <c r="BP380" s="73"/>
      <c r="BQ380" s="48"/>
      <c r="BR380" s="63"/>
      <c r="BS380" s="50"/>
      <c r="BT380" s="76" t="e">
        <v>#DIV/0!</v>
      </c>
      <c r="BU380" s="77" t="e">
        <v>#DIV/0!</v>
      </c>
      <c r="BV380" s="78">
        <v>0</v>
      </c>
      <c r="BW380" s="79">
        <v>0</v>
      </c>
      <c r="BX380" s="62"/>
      <c r="BY380" s="63"/>
      <c r="BZ380" s="63"/>
      <c r="CA380" s="63"/>
      <c r="CB380" s="63"/>
      <c r="CC380" s="63"/>
      <c r="CD380" s="63"/>
      <c r="CE380" s="50"/>
    </row>
    <row r="381" spans="2:83" x14ac:dyDescent="0.3">
      <c r="B381" s="46">
        <v>0</v>
      </c>
      <c r="C381" s="47"/>
      <c r="D381" s="48"/>
      <c r="E381" s="49"/>
      <c r="F381" s="50"/>
      <c r="G381" s="51" t="e">
        <v>#DIV/0!</v>
      </c>
      <c r="H381" s="52" t="e">
        <v>#DIV/0!</v>
      </c>
      <c r="I381" s="53"/>
      <c r="J381" s="54"/>
      <c r="K381" s="54"/>
      <c r="L381" s="55"/>
      <c r="M381" s="56"/>
      <c r="N381" s="57">
        <v>0</v>
      </c>
      <c r="O381" s="58"/>
      <c r="P381" s="59"/>
      <c r="Q381" s="81"/>
      <c r="R381" s="82"/>
      <c r="S381" s="48"/>
      <c r="T381" s="50"/>
      <c r="U381" s="62"/>
      <c r="V381" s="63"/>
      <c r="W381" s="50"/>
      <c r="X381" s="48"/>
      <c r="Y381" s="63"/>
      <c r="Z381" s="63"/>
      <c r="AA381" s="64"/>
      <c r="AB381" s="65"/>
      <c r="AC381" s="66"/>
      <c r="AD381" s="67"/>
      <c r="AE381" s="68"/>
      <c r="AF381" s="48"/>
      <c r="AG381" s="63"/>
      <c r="AH381" s="63"/>
      <c r="AI381" s="63"/>
      <c r="AJ381" s="63"/>
      <c r="AK381" s="63"/>
      <c r="AL381" s="63"/>
      <c r="AM381" s="63"/>
      <c r="AN381" s="63"/>
      <c r="AO381" s="63"/>
      <c r="AP381" s="63"/>
      <c r="AQ381" s="63"/>
      <c r="AR381" s="63"/>
      <c r="AS381" s="63"/>
      <c r="AT381" s="63"/>
      <c r="AU381" s="63"/>
      <c r="AV381" s="63"/>
      <c r="AW381" s="50"/>
      <c r="AX381" s="69"/>
      <c r="AY381" s="69"/>
      <c r="AZ381" s="54"/>
      <c r="BA381" s="54"/>
      <c r="BB381" s="54"/>
      <c r="BC381" s="54"/>
      <c r="BD381" s="54"/>
      <c r="BE381" s="70"/>
      <c r="BF381" s="63"/>
      <c r="BG381" s="71">
        <v>0</v>
      </c>
      <c r="BH381" s="67"/>
      <c r="BI381" s="68"/>
      <c r="BJ381" s="72">
        <v>0</v>
      </c>
      <c r="BK381" s="62"/>
      <c r="BL381" s="70"/>
      <c r="BM381" s="70"/>
      <c r="BN381" s="70"/>
      <c r="BO381" s="70"/>
      <c r="BP381" s="73"/>
      <c r="BQ381" s="48"/>
      <c r="BR381" s="63"/>
      <c r="BS381" s="50"/>
      <c r="BT381" s="76" t="e">
        <v>#DIV/0!</v>
      </c>
      <c r="BU381" s="77" t="e">
        <v>#DIV/0!</v>
      </c>
      <c r="BV381" s="78">
        <v>0</v>
      </c>
      <c r="BW381" s="79">
        <v>0</v>
      </c>
      <c r="BX381" s="62"/>
      <c r="BY381" s="63"/>
      <c r="BZ381" s="63"/>
      <c r="CA381" s="63"/>
      <c r="CB381" s="63"/>
      <c r="CC381" s="63"/>
      <c r="CD381" s="63"/>
      <c r="CE381" s="50"/>
    </row>
    <row r="382" spans="2:83" x14ac:dyDescent="0.3">
      <c r="B382" s="46">
        <v>0</v>
      </c>
      <c r="C382" s="47"/>
      <c r="D382" s="48"/>
      <c r="E382" s="49"/>
      <c r="F382" s="50"/>
      <c r="G382" s="51" t="e">
        <v>#DIV/0!</v>
      </c>
      <c r="H382" s="52" t="e">
        <v>#DIV/0!</v>
      </c>
      <c r="I382" s="53"/>
      <c r="J382" s="54"/>
      <c r="K382" s="54"/>
      <c r="L382" s="55"/>
      <c r="M382" s="56"/>
      <c r="N382" s="57">
        <v>0</v>
      </c>
      <c r="O382" s="58"/>
      <c r="P382" s="59"/>
      <c r="Q382" s="81"/>
      <c r="R382" s="82"/>
      <c r="S382" s="48"/>
      <c r="T382" s="50"/>
      <c r="U382" s="62"/>
      <c r="V382" s="63"/>
      <c r="W382" s="50"/>
      <c r="X382" s="48"/>
      <c r="Y382" s="63"/>
      <c r="Z382" s="63"/>
      <c r="AA382" s="64"/>
      <c r="AB382" s="65"/>
      <c r="AC382" s="66"/>
      <c r="AD382" s="67"/>
      <c r="AE382" s="68"/>
      <c r="AF382" s="48"/>
      <c r="AG382" s="63"/>
      <c r="AH382" s="63"/>
      <c r="AI382" s="63"/>
      <c r="AJ382" s="63"/>
      <c r="AK382" s="63"/>
      <c r="AL382" s="63"/>
      <c r="AM382" s="63"/>
      <c r="AN382" s="63"/>
      <c r="AO382" s="63"/>
      <c r="AP382" s="63"/>
      <c r="AQ382" s="63"/>
      <c r="AR382" s="63"/>
      <c r="AS382" s="63"/>
      <c r="AT382" s="63"/>
      <c r="AU382" s="63"/>
      <c r="AV382" s="63"/>
      <c r="AW382" s="50"/>
      <c r="AX382" s="69"/>
      <c r="AY382" s="69"/>
      <c r="AZ382" s="54"/>
      <c r="BA382" s="54"/>
      <c r="BB382" s="54"/>
      <c r="BC382" s="54"/>
      <c r="BD382" s="54"/>
      <c r="BE382" s="70"/>
      <c r="BF382" s="63"/>
      <c r="BG382" s="71">
        <v>0</v>
      </c>
      <c r="BH382" s="67"/>
      <c r="BI382" s="68"/>
      <c r="BJ382" s="72">
        <v>0</v>
      </c>
      <c r="BK382" s="62"/>
      <c r="BL382" s="70"/>
      <c r="BM382" s="70"/>
      <c r="BN382" s="70"/>
      <c r="BO382" s="70"/>
      <c r="BP382" s="73"/>
      <c r="BQ382" s="48"/>
      <c r="BR382" s="63"/>
      <c r="BS382" s="50"/>
      <c r="BT382" s="76" t="e">
        <v>#DIV/0!</v>
      </c>
      <c r="BU382" s="77" t="e">
        <v>#DIV/0!</v>
      </c>
      <c r="BV382" s="78">
        <v>0</v>
      </c>
      <c r="BW382" s="79">
        <v>0</v>
      </c>
      <c r="BX382" s="62"/>
      <c r="BY382" s="63"/>
      <c r="BZ382" s="63"/>
      <c r="CA382" s="63"/>
      <c r="CB382" s="63"/>
      <c r="CC382" s="63"/>
      <c r="CD382" s="63"/>
      <c r="CE382" s="50"/>
    </row>
    <row r="383" spans="2:83" x14ac:dyDescent="0.3">
      <c r="B383" s="46">
        <v>0</v>
      </c>
      <c r="C383" s="47"/>
      <c r="D383" s="48"/>
      <c r="E383" s="49"/>
      <c r="F383" s="50"/>
      <c r="G383" s="51" t="e">
        <v>#DIV/0!</v>
      </c>
      <c r="H383" s="52" t="e">
        <v>#DIV/0!</v>
      </c>
      <c r="I383" s="53"/>
      <c r="J383" s="54"/>
      <c r="K383" s="54"/>
      <c r="L383" s="55"/>
      <c r="M383" s="56"/>
      <c r="N383" s="57">
        <v>0</v>
      </c>
      <c r="O383" s="58"/>
      <c r="P383" s="59"/>
      <c r="Q383" s="81"/>
      <c r="R383" s="82"/>
      <c r="S383" s="48"/>
      <c r="T383" s="50"/>
      <c r="U383" s="62"/>
      <c r="V383" s="63"/>
      <c r="W383" s="50"/>
      <c r="X383" s="48"/>
      <c r="Y383" s="63"/>
      <c r="Z383" s="63"/>
      <c r="AA383" s="64"/>
      <c r="AB383" s="65"/>
      <c r="AC383" s="66"/>
      <c r="AD383" s="67"/>
      <c r="AE383" s="68"/>
      <c r="AF383" s="48"/>
      <c r="AG383" s="63"/>
      <c r="AH383" s="63"/>
      <c r="AI383" s="63"/>
      <c r="AJ383" s="63"/>
      <c r="AK383" s="63"/>
      <c r="AL383" s="63"/>
      <c r="AM383" s="63"/>
      <c r="AN383" s="63"/>
      <c r="AO383" s="63"/>
      <c r="AP383" s="63"/>
      <c r="AQ383" s="63"/>
      <c r="AR383" s="63"/>
      <c r="AS383" s="63"/>
      <c r="AT383" s="63"/>
      <c r="AU383" s="63"/>
      <c r="AV383" s="63"/>
      <c r="AW383" s="50"/>
      <c r="AX383" s="69"/>
      <c r="AY383" s="69"/>
      <c r="AZ383" s="54"/>
      <c r="BA383" s="54"/>
      <c r="BB383" s="54"/>
      <c r="BC383" s="54"/>
      <c r="BD383" s="54"/>
      <c r="BE383" s="70"/>
      <c r="BF383" s="63"/>
      <c r="BG383" s="71">
        <v>0</v>
      </c>
      <c r="BH383" s="67"/>
      <c r="BI383" s="68"/>
      <c r="BJ383" s="72">
        <v>0</v>
      </c>
      <c r="BK383" s="62"/>
      <c r="BL383" s="70"/>
      <c r="BM383" s="70"/>
      <c r="BN383" s="70"/>
      <c r="BO383" s="70"/>
      <c r="BP383" s="73"/>
      <c r="BQ383" s="48"/>
      <c r="BR383" s="63"/>
      <c r="BS383" s="50"/>
      <c r="BT383" s="76" t="e">
        <v>#DIV/0!</v>
      </c>
      <c r="BU383" s="77" t="e">
        <v>#DIV/0!</v>
      </c>
      <c r="BV383" s="78">
        <v>0</v>
      </c>
      <c r="BW383" s="79">
        <v>0</v>
      </c>
      <c r="BX383" s="62"/>
      <c r="BY383" s="63"/>
      <c r="BZ383" s="63"/>
      <c r="CA383" s="63"/>
      <c r="CB383" s="63"/>
      <c r="CC383" s="63"/>
      <c r="CD383" s="63"/>
      <c r="CE383" s="50"/>
    </row>
    <row r="384" spans="2:83" x14ac:dyDescent="0.3">
      <c r="B384" s="46">
        <v>0</v>
      </c>
      <c r="C384" s="47"/>
      <c r="D384" s="48"/>
      <c r="E384" s="49"/>
      <c r="F384" s="50"/>
      <c r="G384" s="51" t="e">
        <v>#DIV/0!</v>
      </c>
      <c r="H384" s="52" t="e">
        <v>#DIV/0!</v>
      </c>
      <c r="I384" s="53"/>
      <c r="J384" s="54"/>
      <c r="K384" s="54"/>
      <c r="L384" s="55"/>
      <c r="M384" s="56"/>
      <c r="N384" s="57">
        <v>0</v>
      </c>
      <c r="O384" s="58"/>
      <c r="P384" s="59"/>
      <c r="Q384" s="81"/>
      <c r="R384" s="82"/>
      <c r="S384" s="48"/>
      <c r="T384" s="50"/>
      <c r="U384" s="62"/>
      <c r="V384" s="63"/>
      <c r="W384" s="50"/>
      <c r="X384" s="48"/>
      <c r="Y384" s="63"/>
      <c r="Z384" s="63"/>
      <c r="AA384" s="64"/>
      <c r="AB384" s="65"/>
      <c r="AC384" s="66"/>
      <c r="AD384" s="67"/>
      <c r="AE384" s="68"/>
      <c r="AF384" s="48"/>
      <c r="AG384" s="63"/>
      <c r="AH384" s="63"/>
      <c r="AI384" s="63"/>
      <c r="AJ384" s="63"/>
      <c r="AK384" s="63"/>
      <c r="AL384" s="63"/>
      <c r="AM384" s="63"/>
      <c r="AN384" s="63"/>
      <c r="AO384" s="63"/>
      <c r="AP384" s="63"/>
      <c r="AQ384" s="63"/>
      <c r="AR384" s="63"/>
      <c r="AS384" s="63"/>
      <c r="AT384" s="63"/>
      <c r="AU384" s="63"/>
      <c r="AV384" s="63"/>
      <c r="AW384" s="50"/>
      <c r="AX384" s="69"/>
      <c r="AY384" s="69"/>
      <c r="AZ384" s="54"/>
      <c r="BA384" s="54"/>
      <c r="BB384" s="54"/>
      <c r="BC384" s="54"/>
      <c r="BD384" s="54"/>
      <c r="BE384" s="70"/>
      <c r="BF384" s="63"/>
      <c r="BG384" s="71">
        <v>0</v>
      </c>
      <c r="BH384" s="67"/>
      <c r="BI384" s="68"/>
      <c r="BJ384" s="72">
        <v>0</v>
      </c>
      <c r="BK384" s="62"/>
      <c r="BL384" s="70"/>
      <c r="BM384" s="70"/>
      <c r="BN384" s="70"/>
      <c r="BO384" s="70"/>
      <c r="BP384" s="73"/>
      <c r="BQ384" s="48"/>
      <c r="BR384" s="63"/>
      <c r="BS384" s="50"/>
      <c r="BT384" s="76" t="e">
        <v>#DIV/0!</v>
      </c>
      <c r="BU384" s="77" t="e">
        <v>#DIV/0!</v>
      </c>
      <c r="BV384" s="78">
        <v>0</v>
      </c>
      <c r="BW384" s="79">
        <v>0</v>
      </c>
      <c r="BX384" s="62"/>
      <c r="BY384" s="63"/>
      <c r="BZ384" s="63"/>
      <c r="CA384" s="63"/>
      <c r="CB384" s="63"/>
      <c r="CC384" s="63"/>
      <c r="CD384" s="63"/>
      <c r="CE384" s="50"/>
    </row>
    <row r="385" spans="2:83" x14ac:dyDescent="0.3">
      <c r="B385" s="46">
        <v>0</v>
      </c>
      <c r="C385" s="47"/>
      <c r="D385" s="48"/>
      <c r="E385" s="49"/>
      <c r="F385" s="50"/>
      <c r="G385" s="51" t="e">
        <v>#DIV/0!</v>
      </c>
      <c r="H385" s="52" t="e">
        <v>#DIV/0!</v>
      </c>
      <c r="I385" s="53"/>
      <c r="J385" s="54"/>
      <c r="K385" s="54"/>
      <c r="L385" s="55"/>
      <c r="M385" s="56"/>
      <c r="N385" s="57">
        <v>0</v>
      </c>
      <c r="O385" s="58"/>
      <c r="P385" s="59"/>
      <c r="Q385" s="81"/>
      <c r="R385" s="82"/>
      <c r="S385" s="48"/>
      <c r="T385" s="50"/>
      <c r="U385" s="62"/>
      <c r="V385" s="63"/>
      <c r="W385" s="50"/>
      <c r="X385" s="48"/>
      <c r="Y385" s="63"/>
      <c r="Z385" s="63"/>
      <c r="AA385" s="64"/>
      <c r="AB385" s="65"/>
      <c r="AC385" s="66"/>
      <c r="AD385" s="67"/>
      <c r="AE385" s="68"/>
      <c r="AF385" s="48"/>
      <c r="AG385" s="63"/>
      <c r="AH385" s="63"/>
      <c r="AI385" s="63"/>
      <c r="AJ385" s="63"/>
      <c r="AK385" s="63"/>
      <c r="AL385" s="63"/>
      <c r="AM385" s="63"/>
      <c r="AN385" s="63"/>
      <c r="AO385" s="63"/>
      <c r="AP385" s="63"/>
      <c r="AQ385" s="63"/>
      <c r="AR385" s="63"/>
      <c r="AS385" s="63"/>
      <c r="AT385" s="63"/>
      <c r="AU385" s="63"/>
      <c r="AV385" s="63"/>
      <c r="AW385" s="50"/>
      <c r="AX385" s="69"/>
      <c r="AY385" s="69"/>
      <c r="AZ385" s="54"/>
      <c r="BA385" s="54"/>
      <c r="BB385" s="54"/>
      <c r="BC385" s="54"/>
      <c r="BD385" s="54"/>
      <c r="BE385" s="70"/>
      <c r="BF385" s="63"/>
      <c r="BG385" s="71">
        <v>0</v>
      </c>
      <c r="BH385" s="67"/>
      <c r="BI385" s="68"/>
      <c r="BJ385" s="72">
        <v>0</v>
      </c>
      <c r="BK385" s="62"/>
      <c r="BL385" s="70"/>
      <c r="BM385" s="70"/>
      <c r="BN385" s="70"/>
      <c r="BO385" s="70"/>
      <c r="BP385" s="73"/>
      <c r="BQ385" s="48"/>
      <c r="BR385" s="63"/>
      <c r="BS385" s="50"/>
      <c r="BT385" s="76" t="e">
        <v>#DIV/0!</v>
      </c>
      <c r="BU385" s="77" t="e">
        <v>#DIV/0!</v>
      </c>
      <c r="BV385" s="78">
        <v>0</v>
      </c>
      <c r="BW385" s="79">
        <v>0</v>
      </c>
      <c r="BX385" s="62"/>
      <c r="BY385" s="63"/>
      <c r="BZ385" s="63"/>
      <c r="CA385" s="63"/>
      <c r="CB385" s="63"/>
      <c r="CC385" s="63"/>
      <c r="CD385" s="63"/>
      <c r="CE385" s="50"/>
    </row>
    <row r="386" spans="2:83" x14ac:dyDescent="0.3">
      <c r="B386" s="46">
        <v>0</v>
      </c>
      <c r="C386" s="47"/>
      <c r="D386" s="48"/>
      <c r="E386" s="49"/>
      <c r="F386" s="50"/>
      <c r="G386" s="51" t="e">
        <v>#DIV/0!</v>
      </c>
      <c r="H386" s="52" t="e">
        <v>#DIV/0!</v>
      </c>
      <c r="I386" s="53"/>
      <c r="J386" s="54"/>
      <c r="K386" s="54"/>
      <c r="L386" s="55"/>
      <c r="M386" s="56"/>
      <c r="N386" s="57">
        <v>0</v>
      </c>
      <c r="O386" s="58"/>
      <c r="P386" s="59"/>
      <c r="Q386" s="81"/>
      <c r="R386" s="82"/>
      <c r="S386" s="48"/>
      <c r="T386" s="50"/>
      <c r="U386" s="62"/>
      <c r="V386" s="63"/>
      <c r="W386" s="50"/>
      <c r="X386" s="48"/>
      <c r="Y386" s="63"/>
      <c r="Z386" s="63"/>
      <c r="AA386" s="64"/>
      <c r="AB386" s="65"/>
      <c r="AC386" s="66"/>
      <c r="AD386" s="67"/>
      <c r="AE386" s="68"/>
      <c r="AF386" s="48"/>
      <c r="AG386" s="63"/>
      <c r="AH386" s="63"/>
      <c r="AI386" s="63"/>
      <c r="AJ386" s="63"/>
      <c r="AK386" s="63"/>
      <c r="AL386" s="63"/>
      <c r="AM386" s="63"/>
      <c r="AN386" s="63"/>
      <c r="AO386" s="63"/>
      <c r="AP386" s="63"/>
      <c r="AQ386" s="63"/>
      <c r="AR386" s="63"/>
      <c r="AS386" s="63"/>
      <c r="AT386" s="63"/>
      <c r="AU386" s="63"/>
      <c r="AV386" s="63"/>
      <c r="AW386" s="50"/>
      <c r="AX386" s="69"/>
      <c r="AY386" s="69"/>
      <c r="AZ386" s="54"/>
      <c r="BA386" s="54"/>
      <c r="BB386" s="54"/>
      <c r="BC386" s="54"/>
      <c r="BD386" s="54"/>
      <c r="BE386" s="70"/>
      <c r="BF386" s="63"/>
      <c r="BG386" s="71">
        <v>0</v>
      </c>
      <c r="BH386" s="67"/>
      <c r="BI386" s="68"/>
      <c r="BJ386" s="72">
        <v>0</v>
      </c>
      <c r="BK386" s="62"/>
      <c r="BL386" s="70"/>
      <c r="BM386" s="70"/>
      <c r="BN386" s="70"/>
      <c r="BO386" s="70"/>
      <c r="BP386" s="73"/>
      <c r="BQ386" s="48"/>
      <c r="BR386" s="63"/>
      <c r="BS386" s="50"/>
      <c r="BT386" s="76" t="e">
        <v>#DIV/0!</v>
      </c>
      <c r="BU386" s="77" t="e">
        <v>#DIV/0!</v>
      </c>
      <c r="BV386" s="78">
        <v>0</v>
      </c>
      <c r="BW386" s="79">
        <v>0</v>
      </c>
      <c r="BX386" s="62"/>
      <c r="BY386" s="63"/>
      <c r="BZ386" s="63"/>
      <c r="CA386" s="63"/>
      <c r="CB386" s="63"/>
      <c r="CC386" s="63"/>
      <c r="CD386" s="63"/>
      <c r="CE386" s="50"/>
    </row>
    <row r="387" spans="2:83" x14ac:dyDescent="0.3">
      <c r="B387" s="46">
        <v>0</v>
      </c>
      <c r="C387" s="47"/>
      <c r="D387" s="48"/>
      <c r="E387" s="49"/>
      <c r="F387" s="50"/>
      <c r="G387" s="51" t="e">
        <v>#DIV/0!</v>
      </c>
      <c r="H387" s="52" t="e">
        <v>#DIV/0!</v>
      </c>
      <c r="I387" s="53"/>
      <c r="J387" s="54"/>
      <c r="K387" s="54"/>
      <c r="L387" s="55"/>
      <c r="M387" s="56"/>
      <c r="N387" s="57">
        <v>0</v>
      </c>
      <c r="O387" s="58"/>
      <c r="P387" s="59"/>
      <c r="Q387" s="81"/>
      <c r="R387" s="82"/>
      <c r="S387" s="48"/>
      <c r="T387" s="50"/>
      <c r="U387" s="62"/>
      <c r="V387" s="63"/>
      <c r="W387" s="50"/>
      <c r="X387" s="48"/>
      <c r="Y387" s="63"/>
      <c r="Z387" s="63"/>
      <c r="AA387" s="64"/>
      <c r="AB387" s="65"/>
      <c r="AC387" s="66"/>
      <c r="AD387" s="67"/>
      <c r="AE387" s="68"/>
      <c r="AF387" s="48"/>
      <c r="AG387" s="63"/>
      <c r="AH387" s="63"/>
      <c r="AI387" s="63"/>
      <c r="AJ387" s="63"/>
      <c r="AK387" s="63"/>
      <c r="AL387" s="63"/>
      <c r="AM387" s="63"/>
      <c r="AN387" s="63"/>
      <c r="AO387" s="63"/>
      <c r="AP387" s="63"/>
      <c r="AQ387" s="63"/>
      <c r="AR387" s="63"/>
      <c r="AS387" s="63"/>
      <c r="AT387" s="63"/>
      <c r="AU387" s="63"/>
      <c r="AV387" s="63"/>
      <c r="AW387" s="50"/>
      <c r="AX387" s="69"/>
      <c r="AY387" s="69"/>
      <c r="AZ387" s="54"/>
      <c r="BA387" s="54"/>
      <c r="BB387" s="54"/>
      <c r="BC387" s="54"/>
      <c r="BD387" s="54"/>
      <c r="BE387" s="70"/>
      <c r="BF387" s="63"/>
      <c r="BG387" s="71">
        <v>0</v>
      </c>
      <c r="BH387" s="67"/>
      <c r="BI387" s="68"/>
      <c r="BJ387" s="72">
        <v>0</v>
      </c>
      <c r="BK387" s="62"/>
      <c r="BL387" s="70"/>
      <c r="BM387" s="70"/>
      <c r="BN387" s="70"/>
      <c r="BO387" s="70"/>
      <c r="BP387" s="73"/>
      <c r="BQ387" s="48"/>
      <c r="BR387" s="63"/>
      <c r="BS387" s="50"/>
      <c r="BT387" s="76" t="e">
        <v>#DIV/0!</v>
      </c>
      <c r="BU387" s="77" t="e">
        <v>#DIV/0!</v>
      </c>
      <c r="BV387" s="78">
        <v>0</v>
      </c>
      <c r="BW387" s="79">
        <v>0</v>
      </c>
      <c r="BX387" s="62"/>
      <c r="BY387" s="63"/>
      <c r="BZ387" s="63"/>
      <c r="CA387" s="63"/>
      <c r="CB387" s="63"/>
      <c r="CC387" s="63"/>
      <c r="CD387" s="63"/>
      <c r="CE387" s="50"/>
    </row>
    <row r="388" spans="2:83" x14ac:dyDescent="0.3">
      <c r="B388" s="46">
        <v>0</v>
      </c>
      <c r="C388" s="47"/>
      <c r="D388" s="48"/>
      <c r="E388" s="49"/>
      <c r="F388" s="50"/>
      <c r="G388" s="51" t="e">
        <v>#DIV/0!</v>
      </c>
      <c r="H388" s="52" t="e">
        <v>#DIV/0!</v>
      </c>
      <c r="I388" s="53"/>
      <c r="J388" s="54"/>
      <c r="K388" s="54"/>
      <c r="L388" s="55"/>
      <c r="M388" s="56"/>
      <c r="N388" s="57">
        <v>0</v>
      </c>
      <c r="O388" s="58"/>
      <c r="P388" s="59"/>
      <c r="Q388" s="81"/>
      <c r="R388" s="82"/>
      <c r="S388" s="48"/>
      <c r="T388" s="50"/>
      <c r="U388" s="62"/>
      <c r="V388" s="63"/>
      <c r="W388" s="50"/>
      <c r="X388" s="48"/>
      <c r="Y388" s="63"/>
      <c r="Z388" s="63"/>
      <c r="AA388" s="64"/>
      <c r="AB388" s="65"/>
      <c r="AC388" s="66"/>
      <c r="AD388" s="67"/>
      <c r="AE388" s="68"/>
      <c r="AF388" s="48"/>
      <c r="AG388" s="63"/>
      <c r="AH388" s="63"/>
      <c r="AI388" s="63"/>
      <c r="AJ388" s="63"/>
      <c r="AK388" s="63"/>
      <c r="AL388" s="63"/>
      <c r="AM388" s="63"/>
      <c r="AN388" s="63"/>
      <c r="AO388" s="63"/>
      <c r="AP388" s="63"/>
      <c r="AQ388" s="63"/>
      <c r="AR388" s="63"/>
      <c r="AS388" s="63"/>
      <c r="AT388" s="63"/>
      <c r="AU388" s="63"/>
      <c r="AV388" s="63"/>
      <c r="AW388" s="50"/>
      <c r="AX388" s="69"/>
      <c r="AY388" s="69"/>
      <c r="AZ388" s="54"/>
      <c r="BA388" s="54"/>
      <c r="BB388" s="54"/>
      <c r="BC388" s="54"/>
      <c r="BD388" s="54"/>
      <c r="BE388" s="70"/>
      <c r="BF388" s="63"/>
      <c r="BG388" s="71">
        <v>0</v>
      </c>
      <c r="BH388" s="67"/>
      <c r="BI388" s="68"/>
      <c r="BJ388" s="72">
        <v>0</v>
      </c>
      <c r="BK388" s="62"/>
      <c r="BL388" s="70"/>
      <c r="BM388" s="70"/>
      <c r="BN388" s="70"/>
      <c r="BO388" s="70"/>
      <c r="BP388" s="73"/>
      <c r="BQ388" s="48"/>
      <c r="BR388" s="63"/>
      <c r="BS388" s="50"/>
      <c r="BT388" s="76" t="e">
        <v>#DIV/0!</v>
      </c>
      <c r="BU388" s="77" t="e">
        <v>#DIV/0!</v>
      </c>
      <c r="BV388" s="78">
        <v>0</v>
      </c>
      <c r="BW388" s="79">
        <v>0</v>
      </c>
      <c r="BX388" s="62"/>
      <c r="BY388" s="63"/>
      <c r="BZ388" s="63"/>
      <c r="CA388" s="63"/>
      <c r="CB388" s="63"/>
      <c r="CC388" s="63"/>
      <c r="CD388" s="63"/>
      <c r="CE388" s="50"/>
    </row>
    <row r="389" spans="2:83" x14ac:dyDescent="0.3">
      <c r="B389" s="46">
        <v>0</v>
      </c>
      <c r="C389" s="47"/>
      <c r="D389" s="48"/>
      <c r="E389" s="49"/>
      <c r="F389" s="50"/>
      <c r="G389" s="51" t="e">
        <v>#DIV/0!</v>
      </c>
      <c r="H389" s="52" t="e">
        <v>#DIV/0!</v>
      </c>
      <c r="I389" s="53"/>
      <c r="J389" s="54"/>
      <c r="K389" s="54"/>
      <c r="L389" s="55"/>
      <c r="M389" s="56"/>
      <c r="N389" s="57">
        <v>0</v>
      </c>
      <c r="O389" s="58"/>
      <c r="P389" s="59"/>
      <c r="Q389" s="81"/>
      <c r="R389" s="82"/>
      <c r="S389" s="48"/>
      <c r="T389" s="50"/>
      <c r="U389" s="62"/>
      <c r="V389" s="63"/>
      <c r="W389" s="50"/>
      <c r="X389" s="48"/>
      <c r="Y389" s="63"/>
      <c r="Z389" s="63"/>
      <c r="AA389" s="64"/>
      <c r="AB389" s="65"/>
      <c r="AC389" s="66"/>
      <c r="AD389" s="67"/>
      <c r="AE389" s="68"/>
      <c r="AF389" s="48"/>
      <c r="AG389" s="63"/>
      <c r="AH389" s="63"/>
      <c r="AI389" s="63"/>
      <c r="AJ389" s="63"/>
      <c r="AK389" s="63"/>
      <c r="AL389" s="63"/>
      <c r="AM389" s="63"/>
      <c r="AN389" s="63"/>
      <c r="AO389" s="63"/>
      <c r="AP389" s="63"/>
      <c r="AQ389" s="63"/>
      <c r="AR389" s="63"/>
      <c r="AS389" s="63"/>
      <c r="AT389" s="63"/>
      <c r="AU389" s="63"/>
      <c r="AV389" s="63"/>
      <c r="AW389" s="50"/>
      <c r="AX389" s="69"/>
      <c r="AY389" s="69"/>
      <c r="AZ389" s="54"/>
      <c r="BA389" s="54"/>
      <c r="BB389" s="54"/>
      <c r="BC389" s="54"/>
      <c r="BD389" s="54"/>
      <c r="BE389" s="70"/>
      <c r="BF389" s="63"/>
      <c r="BG389" s="71">
        <v>0</v>
      </c>
      <c r="BH389" s="67"/>
      <c r="BI389" s="68"/>
      <c r="BJ389" s="72">
        <v>0</v>
      </c>
      <c r="BK389" s="62"/>
      <c r="BL389" s="70"/>
      <c r="BM389" s="70"/>
      <c r="BN389" s="70"/>
      <c r="BO389" s="70"/>
      <c r="BP389" s="73"/>
      <c r="BQ389" s="48"/>
      <c r="BR389" s="63"/>
      <c r="BS389" s="50"/>
      <c r="BT389" s="76" t="e">
        <v>#DIV/0!</v>
      </c>
      <c r="BU389" s="77" t="e">
        <v>#DIV/0!</v>
      </c>
      <c r="BV389" s="78">
        <v>0</v>
      </c>
      <c r="BW389" s="79">
        <v>0</v>
      </c>
      <c r="BX389" s="62"/>
      <c r="BY389" s="63"/>
      <c r="BZ389" s="63"/>
      <c r="CA389" s="63"/>
      <c r="CB389" s="63"/>
      <c r="CC389" s="63"/>
      <c r="CD389" s="63"/>
      <c r="CE389" s="50"/>
    </row>
    <row r="390" spans="2:83" x14ac:dyDescent="0.3">
      <c r="B390" s="46">
        <v>0</v>
      </c>
      <c r="C390" s="47"/>
      <c r="D390" s="48"/>
      <c r="E390" s="49"/>
      <c r="F390" s="50"/>
      <c r="G390" s="51" t="e">
        <v>#DIV/0!</v>
      </c>
      <c r="H390" s="52" t="e">
        <v>#DIV/0!</v>
      </c>
      <c r="I390" s="53"/>
      <c r="J390" s="54"/>
      <c r="K390" s="54"/>
      <c r="L390" s="55"/>
      <c r="M390" s="56"/>
      <c r="N390" s="57">
        <v>0</v>
      </c>
      <c r="O390" s="58"/>
      <c r="P390" s="59"/>
      <c r="Q390" s="81"/>
      <c r="R390" s="82"/>
      <c r="S390" s="48"/>
      <c r="T390" s="50"/>
      <c r="U390" s="62"/>
      <c r="V390" s="63"/>
      <c r="W390" s="50"/>
      <c r="X390" s="48"/>
      <c r="Y390" s="63"/>
      <c r="Z390" s="63"/>
      <c r="AA390" s="64"/>
      <c r="AB390" s="65"/>
      <c r="AC390" s="66"/>
      <c r="AD390" s="67"/>
      <c r="AE390" s="68"/>
      <c r="AF390" s="48"/>
      <c r="AG390" s="63"/>
      <c r="AH390" s="63"/>
      <c r="AI390" s="63"/>
      <c r="AJ390" s="63"/>
      <c r="AK390" s="63"/>
      <c r="AL390" s="63"/>
      <c r="AM390" s="63"/>
      <c r="AN390" s="63"/>
      <c r="AO390" s="63"/>
      <c r="AP390" s="63"/>
      <c r="AQ390" s="63"/>
      <c r="AR390" s="63"/>
      <c r="AS390" s="63"/>
      <c r="AT390" s="63"/>
      <c r="AU390" s="63"/>
      <c r="AV390" s="63"/>
      <c r="AW390" s="50"/>
      <c r="AX390" s="69"/>
      <c r="AY390" s="69"/>
      <c r="AZ390" s="54"/>
      <c r="BA390" s="54"/>
      <c r="BB390" s="54"/>
      <c r="BC390" s="54"/>
      <c r="BD390" s="54"/>
      <c r="BE390" s="70"/>
      <c r="BF390" s="63"/>
      <c r="BG390" s="71">
        <v>0</v>
      </c>
      <c r="BH390" s="67"/>
      <c r="BI390" s="68"/>
      <c r="BJ390" s="72">
        <v>0</v>
      </c>
      <c r="BK390" s="62"/>
      <c r="BL390" s="70"/>
      <c r="BM390" s="70"/>
      <c r="BN390" s="70"/>
      <c r="BO390" s="70"/>
      <c r="BP390" s="73"/>
      <c r="BQ390" s="48"/>
      <c r="BR390" s="63"/>
      <c r="BS390" s="50"/>
      <c r="BT390" s="76" t="e">
        <v>#DIV/0!</v>
      </c>
      <c r="BU390" s="77" t="e">
        <v>#DIV/0!</v>
      </c>
      <c r="BV390" s="78">
        <v>0</v>
      </c>
      <c r="BW390" s="79">
        <v>0</v>
      </c>
      <c r="BX390" s="62"/>
      <c r="BY390" s="63"/>
      <c r="BZ390" s="63"/>
      <c r="CA390" s="63"/>
      <c r="CB390" s="63"/>
      <c r="CC390" s="63"/>
      <c r="CD390" s="63"/>
      <c r="CE390" s="50"/>
    </row>
    <row r="391" spans="2:83" x14ac:dyDescent="0.3">
      <c r="B391" s="46">
        <v>0</v>
      </c>
      <c r="C391" s="47"/>
      <c r="D391" s="48"/>
      <c r="E391" s="49"/>
      <c r="F391" s="50"/>
      <c r="G391" s="51" t="e">
        <v>#DIV/0!</v>
      </c>
      <c r="H391" s="52" t="e">
        <v>#DIV/0!</v>
      </c>
      <c r="I391" s="53"/>
      <c r="J391" s="54"/>
      <c r="K391" s="54"/>
      <c r="L391" s="55"/>
      <c r="M391" s="56"/>
      <c r="N391" s="57">
        <v>0</v>
      </c>
      <c r="O391" s="58"/>
      <c r="P391" s="59"/>
      <c r="Q391" s="81"/>
      <c r="R391" s="82"/>
      <c r="S391" s="48"/>
      <c r="T391" s="50"/>
      <c r="U391" s="62"/>
      <c r="V391" s="63"/>
      <c r="W391" s="50"/>
      <c r="X391" s="48"/>
      <c r="Y391" s="63"/>
      <c r="Z391" s="63"/>
      <c r="AA391" s="64"/>
      <c r="AB391" s="65"/>
      <c r="AC391" s="66"/>
      <c r="AD391" s="67"/>
      <c r="AE391" s="68"/>
      <c r="AF391" s="48"/>
      <c r="AG391" s="63"/>
      <c r="AH391" s="63"/>
      <c r="AI391" s="63"/>
      <c r="AJ391" s="63"/>
      <c r="AK391" s="63"/>
      <c r="AL391" s="63"/>
      <c r="AM391" s="63"/>
      <c r="AN391" s="63"/>
      <c r="AO391" s="63"/>
      <c r="AP391" s="63"/>
      <c r="AQ391" s="63"/>
      <c r="AR391" s="63"/>
      <c r="AS391" s="63"/>
      <c r="AT391" s="63"/>
      <c r="AU391" s="63"/>
      <c r="AV391" s="63"/>
      <c r="AW391" s="50"/>
      <c r="AX391" s="69"/>
      <c r="AY391" s="69"/>
      <c r="AZ391" s="54"/>
      <c r="BA391" s="54"/>
      <c r="BB391" s="54"/>
      <c r="BC391" s="54"/>
      <c r="BD391" s="54"/>
      <c r="BE391" s="70"/>
      <c r="BF391" s="63"/>
      <c r="BG391" s="71">
        <v>0</v>
      </c>
      <c r="BH391" s="67"/>
      <c r="BI391" s="68"/>
      <c r="BJ391" s="72">
        <v>0</v>
      </c>
      <c r="BK391" s="62"/>
      <c r="BL391" s="70"/>
      <c r="BM391" s="70"/>
      <c r="BN391" s="70"/>
      <c r="BO391" s="70"/>
      <c r="BP391" s="73"/>
      <c r="BQ391" s="48"/>
      <c r="BR391" s="63"/>
      <c r="BS391" s="50"/>
      <c r="BT391" s="76" t="e">
        <v>#DIV/0!</v>
      </c>
      <c r="BU391" s="77" t="e">
        <v>#DIV/0!</v>
      </c>
      <c r="BV391" s="78">
        <v>0</v>
      </c>
      <c r="BW391" s="79">
        <v>0</v>
      </c>
      <c r="BX391" s="62"/>
      <c r="BY391" s="63"/>
      <c r="BZ391" s="63"/>
      <c r="CA391" s="63"/>
      <c r="CB391" s="63"/>
      <c r="CC391" s="63"/>
      <c r="CD391" s="63"/>
      <c r="CE391" s="50"/>
    </row>
    <row r="392" spans="2:83" x14ac:dyDescent="0.3">
      <c r="B392" s="46">
        <v>0</v>
      </c>
      <c r="C392" s="47"/>
      <c r="D392" s="48"/>
      <c r="E392" s="49"/>
      <c r="F392" s="50"/>
      <c r="G392" s="51" t="e">
        <v>#DIV/0!</v>
      </c>
      <c r="H392" s="52" t="e">
        <v>#DIV/0!</v>
      </c>
      <c r="I392" s="53"/>
      <c r="J392" s="54"/>
      <c r="K392" s="54"/>
      <c r="L392" s="55"/>
      <c r="M392" s="56"/>
      <c r="N392" s="57">
        <v>0</v>
      </c>
      <c r="O392" s="58"/>
      <c r="P392" s="59"/>
      <c r="Q392" s="81"/>
      <c r="R392" s="82"/>
      <c r="S392" s="48"/>
      <c r="T392" s="50"/>
      <c r="U392" s="62"/>
      <c r="V392" s="63"/>
      <c r="W392" s="50"/>
      <c r="X392" s="48"/>
      <c r="Y392" s="63"/>
      <c r="Z392" s="63"/>
      <c r="AA392" s="64"/>
      <c r="AB392" s="65"/>
      <c r="AC392" s="66"/>
      <c r="AD392" s="67"/>
      <c r="AE392" s="68"/>
      <c r="AF392" s="48"/>
      <c r="AG392" s="63"/>
      <c r="AH392" s="63"/>
      <c r="AI392" s="63"/>
      <c r="AJ392" s="63"/>
      <c r="AK392" s="63"/>
      <c r="AL392" s="63"/>
      <c r="AM392" s="63"/>
      <c r="AN392" s="63"/>
      <c r="AO392" s="63"/>
      <c r="AP392" s="63"/>
      <c r="AQ392" s="63"/>
      <c r="AR392" s="63"/>
      <c r="AS392" s="63"/>
      <c r="AT392" s="63"/>
      <c r="AU392" s="63"/>
      <c r="AV392" s="63"/>
      <c r="AW392" s="50"/>
      <c r="AX392" s="69"/>
      <c r="AY392" s="69"/>
      <c r="AZ392" s="54"/>
      <c r="BA392" s="54"/>
      <c r="BB392" s="54"/>
      <c r="BC392" s="54"/>
      <c r="BD392" s="54"/>
      <c r="BE392" s="70"/>
      <c r="BF392" s="63"/>
      <c r="BG392" s="71">
        <v>0</v>
      </c>
      <c r="BH392" s="67"/>
      <c r="BI392" s="68"/>
      <c r="BJ392" s="72">
        <v>0</v>
      </c>
      <c r="BK392" s="62"/>
      <c r="BL392" s="70"/>
      <c r="BM392" s="70"/>
      <c r="BN392" s="70"/>
      <c r="BO392" s="70"/>
      <c r="BP392" s="73"/>
      <c r="BQ392" s="48"/>
      <c r="BR392" s="63"/>
      <c r="BS392" s="50"/>
      <c r="BT392" s="76" t="e">
        <v>#DIV/0!</v>
      </c>
      <c r="BU392" s="77" t="e">
        <v>#DIV/0!</v>
      </c>
      <c r="BV392" s="78">
        <v>0</v>
      </c>
      <c r="BW392" s="79">
        <v>0</v>
      </c>
      <c r="BX392" s="62"/>
      <c r="BY392" s="63"/>
      <c r="BZ392" s="63"/>
      <c r="CA392" s="63"/>
      <c r="CB392" s="63"/>
      <c r="CC392" s="63"/>
      <c r="CD392" s="63"/>
      <c r="CE392" s="50"/>
    </row>
    <row r="393" spans="2:83" x14ac:dyDescent="0.3">
      <c r="B393" s="46">
        <v>0</v>
      </c>
      <c r="C393" s="47"/>
      <c r="D393" s="48"/>
      <c r="E393" s="49"/>
      <c r="F393" s="50"/>
      <c r="G393" s="51" t="e">
        <v>#DIV/0!</v>
      </c>
      <c r="H393" s="52" t="e">
        <v>#DIV/0!</v>
      </c>
      <c r="I393" s="53"/>
      <c r="J393" s="54"/>
      <c r="K393" s="54"/>
      <c r="L393" s="55"/>
      <c r="M393" s="56"/>
      <c r="N393" s="57">
        <v>0</v>
      </c>
      <c r="O393" s="58"/>
      <c r="P393" s="59"/>
      <c r="Q393" s="81"/>
      <c r="R393" s="82"/>
      <c r="S393" s="48"/>
      <c r="T393" s="50"/>
      <c r="U393" s="62"/>
      <c r="V393" s="63"/>
      <c r="W393" s="50"/>
      <c r="X393" s="48"/>
      <c r="Y393" s="63"/>
      <c r="Z393" s="63"/>
      <c r="AA393" s="64"/>
      <c r="AB393" s="65"/>
      <c r="AC393" s="66"/>
      <c r="AD393" s="67"/>
      <c r="AE393" s="68"/>
      <c r="AF393" s="48"/>
      <c r="AG393" s="63"/>
      <c r="AH393" s="63"/>
      <c r="AI393" s="63"/>
      <c r="AJ393" s="63"/>
      <c r="AK393" s="63"/>
      <c r="AL393" s="63"/>
      <c r="AM393" s="63"/>
      <c r="AN393" s="63"/>
      <c r="AO393" s="63"/>
      <c r="AP393" s="63"/>
      <c r="AQ393" s="63"/>
      <c r="AR393" s="63"/>
      <c r="AS393" s="63"/>
      <c r="AT393" s="63"/>
      <c r="AU393" s="63"/>
      <c r="AV393" s="63"/>
      <c r="AW393" s="50"/>
      <c r="AX393" s="69"/>
      <c r="AY393" s="69"/>
      <c r="AZ393" s="54"/>
      <c r="BA393" s="54"/>
      <c r="BB393" s="54"/>
      <c r="BC393" s="54"/>
      <c r="BD393" s="54"/>
      <c r="BE393" s="70"/>
      <c r="BF393" s="63"/>
      <c r="BG393" s="71">
        <v>0</v>
      </c>
      <c r="BH393" s="67"/>
      <c r="BI393" s="68"/>
      <c r="BJ393" s="72">
        <v>0</v>
      </c>
      <c r="BK393" s="62"/>
      <c r="BL393" s="70"/>
      <c r="BM393" s="70"/>
      <c r="BN393" s="70"/>
      <c r="BO393" s="70"/>
      <c r="BP393" s="73"/>
      <c r="BQ393" s="48"/>
      <c r="BR393" s="63"/>
      <c r="BS393" s="50"/>
      <c r="BT393" s="76" t="e">
        <v>#DIV/0!</v>
      </c>
      <c r="BU393" s="77" t="e">
        <v>#DIV/0!</v>
      </c>
      <c r="BV393" s="78">
        <v>0</v>
      </c>
      <c r="BW393" s="79">
        <v>0</v>
      </c>
      <c r="BX393" s="62"/>
      <c r="BY393" s="63"/>
      <c r="BZ393" s="63"/>
      <c r="CA393" s="63"/>
      <c r="CB393" s="63"/>
      <c r="CC393" s="63"/>
      <c r="CD393" s="63"/>
      <c r="CE393" s="50"/>
    </row>
    <row r="394" spans="2:83" x14ac:dyDescent="0.3">
      <c r="B394" s="46">
        <v>0</v>
      </c>
      <c r="C394" s="47"/>
      <c r="D394" s="48"/>
      <c r="E394" s="49"/>
      <c r="F394" s="50"/>
      <c r="G394" s="51" t="e">
        <v>#DIV/0!</v>
      </c>
      <c r="H394" s="52" t="e">
        <v>#DIV/0!</v>
      </c>
      <c r="I394" s="53"/>
      <c r="J394" s="54"/>
      <c r="K394" s="54"/>
      <c r="L394" s="55"/>
      <c r="M394" s="56"/>
      <c r="N394" s="57">
        <v>0</v>
      </c>
      <c r="O394" s="58"/>
      <c r="P394" s="59"/>
      <c r="Q394" s="81"/>
      <c r="R394" s="82"/>
      <c r="S394" s="48"/>
      <c r="T394" s="50"/>
      <c r="U394" s="62"/>
      <c r="V394" s="63"/>
      <c r="W394" s="50"/>
      <c r="X394" s="48"/>
      <c r="Y394" s="63"/>
      <c r="Z394" s="63"/>
      <c r="AA394" s="64"/>
      <c r="AB394" s="65"/>
      <c r="AC394" s="66"/>
      <c r="AD394" s="67"/>
      <c r="AE394" s="68"/>
      <c r="AF394" s="48"/>
      <c r="AG394" s="63"/>
      <c r="AH394" s="63"/>
      <c r="AI394" s="63"/>
      <c r="AJ394" s="63"/>
      <c r="AK394" s="63"/>
      <c r="AL394" s="63"/>
      <c r="AM394" s="63"/>
      <c r="AN394" s="63"/>
      <c r="AO394" s="63"/>
      <c r="AP394" s="63"/>
      <c r="AQ394" s="63"/>
      <c r="AR394" s="63"/>
      <c r="AS394" s="63"/>
      <c r="AT394" s="63"/>
      <c r="AU394" s="63"/>
      <c r="AV394" s="63"/>
      <c r="AW394" s="50"/>
      <c r="AX394" s="69"/>
      <c r="AY394" s="69"/>
      <c r="AZ394" s="54"/>
      <c r="BA394" s="54"/>
      <c r="BB394" s="54"/>
      <c r="BC394" s="54"/>
      <c r="BD394" s="54"/>
      <c r="BE394" s="70"/>
      <c r="BF394" s="63"/>
      <c r="BG394" s="71">
        <v>0</v>
      </c>
      <c r="BH394" s="67"/>
      <c r="BI394" s="68"/>
      <c r="BJ394" s="72">
        <v>0</v>
      </c>
      <c r="BK394" s="62"/>
      <c r="BL394" s="70"/>
      <c r="BM394" s="70"/>
      <c r="BN394" s="70"/>
      <c r="BO394" s="70"/>
      <c r="BP394" s="73"/>
      <c r="BQ394" s="48"/>
      <c r="BR394" s="63"/>
      <c r="BS394" s="50"/>
      <c r="BT394" s="76" t="e">
        <v>#DIV/0!</v>
      </c>
      <c r="BU394" s="77" t="e">
        <v>#DIV/0!</v>
      </c>
      <c r="BV394" s="78">
        <v>0</v>
      </c>
      <c r="BW394" s="79">
        <v>0</v>
      </c>
      <c r="BX394" s="62"/>
      <c r="BY394" s="63"/>
      <c r="BZ394" s="63"/>
      <c r="CA394" s="63"/>
      <c r="CB394" s="63"/>
      <c r="CC394" s="63"/>
      <c r="CD394" s="63"/>
      <c r="CE394" s="50"/>
    </row>
    <row r="395" spans="2:83" x14ac:dyDescent="0.3">
      <c r="B395" s="46">
        <v>0</v>
      </c>
      <c r="C395" s="47"/>
      <c r="D395" s="48"/>
      <c r="E395" s="49"/>
      <c r="F395" s="50"/>
      <c r="G395" s="51" t="e">
        <v>#DIV/0!</v>
      </c>
      <c r="H395" s="52" t="e">
        <v>#DIV/0!</v>
      </c>
      <c r="I395" s="53"/>
      <c r="J395" s="54"/>
      <c r="K395" s="54"/>
      <c r="L395" s="55"/>
      <c r="M395" s="56"/>
      <c r="N395" s="57">
        <v>0</v>
      </c>
      <c r="O395" s="58"/>
      <c r="P395" s="59"/>
      <c r="Q395" s="81"/>
      <c r="R395" s="82"/>
      <c r="S395" s="48"/>
      <c r="T395" s="50"/>
      <c r="U395" s="62"/>
      <c r="V395" s="63"/>
      <c r="W395" s="50"/>
      <c r="X395" s="48"/>
      <c r="Y395" s="63"/>
      <c r="Z395" s="63"/>
      <c r="AA395" s="64"/>
      <c r="AB395" s="65"/>
      <c r="AC395" s="66"/>
      <c r="AD395" s="67"/>
      <c r="AE395" s="68"/>
      <c r="AF395" s="48"/>
      <c r="AG395" s="63"/>
      <c r="AH395" s="63"/>
      <c r="AI395" s="63"/>
      <c r="AJ395" s="63"/>
      <c r="AK395" s="63"/>
      <c r="AL395" s="63"/>
      <c r="AM395" s="63"/>
      <c r="AN395" s="63"/>
      <c r="AO395" s="63"/>
      <c r="AP395" s="63"/>
      <c r="AQ395" s="63"/>
      <c r="AR395" s="63"/>
      <c r="AS395" s="63"/>
      <c r="AT395" s="63"/>
      <c r="AU395" s="63"/>
      <c r="AV395" s="63"/>
      <c r="AW395" s="50"/>
      <c r="AX395" s="69"/>
      <c r="AY395" s="69"/>
      <c r="AZ395" s="54"/>
      <c r="BA395" s="54"/>
      <c r="BB395" s="54"/>
      <c r="BC395" s="54"/>
      <c r="BD395" s="54"/>
      <c r="BE395" s="70"/>
      <c r="BF395" s="63"/>
      <c r="BG395" s="71">
        <v>0</v>
      </c>
      <c r="BH395" s="67"/>
      <c r="BI395" s="68"/>
      <c r="BJ395" s="72">
        <v>0</v>
      </c>
      <c r="BK395" s="62"/>
      <c r="BL395" s="70"/>
      <c r="BM395" s="70"/>
      <c r="BN395" s="70"/>
      <c r="BO395" s="70"/>
      <c r="BP395" s="73"/>
      <c r="BQ395" s="48"/>
      <c r="BR395" s="63"/>
      <c r="BS395" s="50"/>
      <c r="BT395" s="76" t="e">
        <v>#DIV/0!</v>
      </c>
      <c r="BU395" s="77" t="e">
        <v>#DIV/0!</v>
      </c>
      <c r="BV395" s="78">
        <v>0</v>
      </c>
      <c r="BW395" s="79">
        <v>0</v>
      </c>
      <c r="BX395" s="62"/>
      <c r="BY395" s="63"/>
      <c r="BZ395" s="63"/>
      <c r="CA395" s="63"/>
      <c r="CB395" s="63"/>
      <c r="CC395" s="63"/>
      <c r="CD395" s="63"/>
      <c r="CE395" s="50"/>
    </row>
    <row r="396" spans="2:83" x14ac:dyDescent="0.3">
      <c r="B396" s="46">
        <v>0</v>
      </c>
      <c r="C396" s="47"/>
      <c r="D396" s="48"/>
      <c r="E396" s="49"/>
      <c r="F396" s="50"/>
      <c r="G396" s="51" t="e">
        <v>#DIV/0!</v>
      </c>
      <c r="H396" s="52" t="e">
        <v>#DIV/0!</v>
      </c>
      <c r="I396" s="53"/>
      <c r="J396" s="54"/>
      <c r="K396" s="54"/>
      <c r="L396" s="55"/>
      <c r="M396" s="56"/>
      <c r="N396" s="57">
        <v>0</v>
      </c>
      <c r="O396" s="58"/>
      <c r="P396" s="59"/>
      <c r="Q396" s="81"/>
      <c r="R396" s="82"/>
      <c r="S396" s="48"/>
      <c r="T396" s="50"/>
      <c r="U396" s="62"/>
      <c r="V396" s="63"/>
      <c r="W396" s="50"/>
      <c r="X396" s="48"/>
      <c r="Y396" s="63"/>
      <c r="Z396" s="63"/>
      <c r="AA396" s="64"/>
      <c r="AB396" s="65"/>
      <c r="AC396" s="66"/>
      <c r="AD396" s="67"/>
      <c r="AE396" s="68"/>
      <c r="AF396" s="48"/>
      <c r="AG396" s="63"/>
      <c r="AH396" s="63"/>
      <c r="AI396" s="63"/>
      <c r="AJ396" s="63"/>
      <c r="AK396" s="63"/>
      <c r="AL396" s="63"/>
      <c r="AM396" s="63"/>
      <c r="AN396" s="63"/>
      <c r="AO396" s="63"/>
      <c r="AP396" s="63"/>
      <c r="AQ396" s="63"/>
      <c r="AR396" s="63"/>
      <c r="AS396" s="63"/>
      <c r="AT396" s="63"/>
      <c r="AU396" s="63"/>
      <c r="AV396" s="63"/>
      <c r="AW396" s="50"/>
      <c r="AX396" s="69"/>
      <c r="AY396" s="69"/>
      <c r="AZ396" s="54"/>
      <c r="BA396" s="54"/>
      <c r="BB396" s="54"/>
      <c r="BC396" s="54"/>
      <c r="BD396" s="54"/>
      <c r="BE396" s="70"/>
      <c r="BF396" s="63"/>
      <c r="BG396" s="71">
        <v>0</v>
      </c>
      <c r="BH396" s="67"/>
      <c r="BI396" s="68"/>
      <c r="BJ396" s="72">
        <v>0</v>
      </c>
      <c r="BK396" s="62"/>
      <c r="BL396" s="70"/>
      <c r="BM396" s="70"/>
      <c r="BN396" s="70"/>
      <c r="BO396" s="70"/>
      <c r="BP396" s="73"/>
      <c r="BQ396" s="48"/>
      <c r="BR396" s="63"/>
      <c r="BS396" s="50"/>
      <c r="BT396" s="76" t="e">
        <v>#DIV/0!</v>
      </c>
      <c r="BU396" s="77" t="e">
        <v>#DIV/0!</v>
      </c>
      <c r="BV396" s="78">
        <v>0</v>
      </c>
      <c r="BW396" s="79">
        <v>0</v>
      </c>
      <c r="BX396" s="62"/>
      <c r="BY396" s="63"/>
      <c r="BZ396" s="63"/>
      <c r="CA396" s="63"/>
      <c r="CB396" s="63"/>
      <c r="CC396" s="63"/>
      <c r="CD396" s="63"/>
      <c r="CE396" s="50"/>
    </row>
    <row r="397" spans="2:83" x14ac:dyDescent="0.3">
      <c r="B397" s="46">
        <v>0</v>
      </c>
      <c r="C397" s="47"/>
      <c r="D397" s="48"/>
      <c r="E397" s="49"/>
      <c r="F397" s="50"/>
      <c r="G397" s="51" t="e">
        <v>#DIV/0!</v>
      </c>
      <c r="H397" s="52" t="e">
        <v>#DIV/0!</v>
      </c>
      <c r="I397" s="53"/>
      <c r="J397" s="54"/>
      <c r="K397" s="54"/>
      <c r="L397" s="55"/>
      <c r="M397" s="56"/>
      <c r="N397" s="57">
        <v>0</v>
      </c>
      <c r="O397" s="58"/>
      <c r="P397" s="59"/>
      <c r="Q397" s="81"/>
      <c r="R397" s="82"/>
      <c r="S397" s="48"/>
      <c r="T397" s="50"/>
      <c r="U397" s="62"/>
      <c r="V397" s="63"/>
      <c r="W397" s="50"/>
      <c r="X397" s="48"/>
      <c r="Y397" s="63"/>
      <c r="Z397" s="63"/>
      <c r="AA397" s="64"/>
      <c r="AB397" s="65"/>
      <c r="AC397" s="66"/>
      <c r="AD397" s="67"/>
      <c r="AE397" s="68"/>
      <c r="AF397" s="48"/>
      <c r="AG397" s="63"/>
      <c r="AH397" s="63"/>
      <c r="AI397" s="63"/>
      <c r="AJ397" s="63"/>
      <c r="AK397" s="63"/>
      <c r="AL397" s="63"/>
      <c r="AM397" s="63"/>
      <c r="AN397" s="63"/>
      <c r="AO397" s="63"/>
      <c r="AP397" s="63"/>
      <c r="AQ397" s="63"/>
      <c r="AR397" s="63"/>
      <c r="AS397" s="63"/>
      <c r="AT397" s="63"/>
      <c r="AU397" s="63"/>
      <c r="AV397" s="63"/>
      <c r="AW397" s="50"/>
      <c r="AX397" s="69"/>
      <c r="AY397" s="69"/>
      <c r="AZ397" s="54"/>
      <c r="BA397" s="54"/>
      <c r="BB397" s="54"/>
      <c r="BC397" s="54"/>
      <c r="BD397" s="54"/>
      <c r="BE397" s="70"/>
      <c r="BF397" s="63"/>
      <c r="BG397" s="71">
        <v>0</v>
      </c>
      <c r="BH397" s="67"/>
      <c r="BI397" s="68"/>
      <c r="BJ397" s="72">
        <v>0</v>
      </c>
      <c r="BK397" s="62"/>
      <c r="BL397" s="70"/>
      <c r="BM397" s="70"/>
      <c r="BN397" s="70"/>
      <c r="BO397" s="70"/>
      <c r="BP397" s="73"/>
      <c r="BQ397" s="48"/>
      <c r="BR397" s="63"/>
      <c r="BS397" s="50"/>
      <c r="BT397" s="76" t="e">
        <v>#DIV/0!</v>
      </c>
      <c r="BU397" s="77" t="e">
        <v>#DIV/0!</v>
      </c>
      <c r="BV397" s="78">
        <v>0</v>
      </c>
      <c r="BW397" s="79">
        <v>0</v>
      </c>
      <c r="BX397" s="62"/>
      <c r="BY397" s="63"/>
      <c r="BZ397" s="63"/>
      <c r="CA397" s="63"/>
      <c r="CB397" s="63"/>
      <c r="CC397" s="63"/>
      <c r="CD397" s="63"/>
      <c r="CE397" s="50"/>
    </row>
    <row r="398" spans="2:83" x14ac:dyDescent="0.3">
      <c r="B398" s="46">
        <v>0</v>
      </c>
      <c r="C398" s="47"/>
      <c r="D398" s="48"/>
      <c r="E398" s="49"/>
      <c r="F398" s="50"/>
      <c r="G398" s="51" t="e">
        <v>#DIV/0!</v>
      </c>
      <c r="H398" s="52" t="e">
        <v>#DIV/0!</v>
      </c>
      <c r="I398" s="53"/>
      <c r="J398" s="54"/>
      <c r="K398" s="54"/>
      <c r="L398" s="55"/>
      <c r="M398" s="56"/>
      <c r="N398" s="57">
        <v>0</v>
      </c>
      <c r="O398" s="58"/>
      <c r="P398" s="59"/>
      <c r="Q398" s="81"/>
      <c r="R398" s="82"/>
      <c r="S398" s="48"/>
      <c r="T398" s="50"/>
      <c r="U398" s="62"/>
      <c r="V398" s="63"/>
      <c r="W398" s="50"/>
      <c r="X398" s="48"/>
      <c r="Y398" s="63"/>
      <c r="Z398" s="63"/>
      <c r="AA398" s="64"/>
      <c r="AB398" s="65"/>
      <c r="AC398" s="66"/>
      <c r="AD398" s="67"/>
      <c r="AE398" s="68"/>
      <c r="AF398" s="48"/>
      <c r="AG398" s="63"/>
      <c r="AH398" s="63"/>
      <c r="AI398" s="63"/>
      <c r="AJ398" s="63"/>
      <c r="AK398" s="63"/>
      <c r="AL398" s="63"/>
      <c r="AM398" s="63"/>
      <c r="AN398" s="63"/>
      <c r="AO398" s="63"/>
      <c r="AP398" s="63"/>
      <c r="AQ398" s="63"/>
      <c r="AR398" s="63"/>
      <c r="AS398" s="63"/>
      <c r="AT398" s="63"/>
      <c r="AU398" s="63"/>
      <c r="AV398" s="63"/>
      <c r="AW398" s="50"/>
      <c r="AX398" s="69"/>
      <c r="AY398" s="69"/>
      <c r="AZ398" s="54"/>
      <c r="BA398" s="54"/>
      <c r="BB398" s="54"/>
      <c r="BC398" s="54"/>
      <c r="BD398" s="54"/>
      <c r="BE398" s="70"/>
      <c r="BF398" s="63"/>
      <c r="BG398" s="71">
        <v>0</v>
      </c>
      <c r="BH398" s="67"/>
      <c r="BI398" s="68"/>
      <c r="BJ398" s="72">
        <v>0</v>
      </c>
      <c r="BK398" s="62"/>
      <c r="BL398" s="70"/>
      <c r="BM398" s="70"/>
      <c r="BN398" s="70"/>
      <c r="BO398" s="70"/>
      <c r="BP398" s="73"/>
      <c r="BQ398" s="48"/>
      <c r="BR398" s="63"/>
      <c r="BS398" s="50"/>
      <c r="BT398" s="76" t="e">
        <v>#DIV/0!</v>
      </c>
      <c r="BU398" s="77" t="e">
        <v>#DIV/0!</v>
      </c>
      <c r="BV398" s="78">
        <v>0</v>
      </c>
      <c r="BW398" s="79">
        <v>0</v>
      </c>
      <c r="BX398" s="62"/>
      <c r="BY398" s="63"/>
      <c r="BZ398" s="63"/>
      <c r="CA398" s="63"/>
      <c r="CB398" s="63"/>
      <c r="CC398" s="63"/>
      <c r="CD398" s="63"/>
      <c r="CE398" s="50"/>
    </row>
    <row r="399" spans="2:83" x14ac:dyDescent="0.3">
      <c r="B399" s="46">
        <v>0</v>
      </c>
      <c r="C399" s="47"/>
      <c r="D399" s="48"/>
      <c r="E399" s="49"/>
      <c r="F399" s="50"/>
      <c r="G399" s="51" t="e">
        <v>#DIV/0!</v>
      </c>
      <c r="H399" s="52" t="e">
        <v>#DIV/0!</v>
      </c>
      <c r="I399" s="53"/>
      <c r="J399" s="54"/>
      <c r="K399" s="54"/>
      <c r="L399" s="55"/>
      <c r="M399" s="56"/>
      <c r="N399" s="57">
        <v>0</v>
      </c>
      <c r="O399" s="58"/>
      <c r="P399" s="59"/>
      <c r="Q399" s="81"/>
      <c r="R399" s="82"/>
      <c r="S399" s="48"/>
      <c r="T399" s="50"/>
      <c r="U399" s="62"/>
      <c r="V399" s="63"/>
      <c r="W399" s="50"/>
      <c r="X399" s="48"/>
      <c r="Y399" s="63"/>
      <c r="Z399" s="63"/>
      <c r="AA399" s="64"/>
      <c r="AB399" s="65"/>
      <c r="AC399" s="66"/>
      <c r="AD399" s="67"/>
      <c r="AE399" s="68"/>
      <c r="AF399" s="48"/>
      <c r="AG399" s="63"/>
      <c r="AH399" s="63"/>
      <c r="AI399" s="63"/>
      <c r="AJ399" s="63"/>
      <c r="AK399" s="63"/>
      <c r="AL399" s="63"/>
      <c r="AM399" s="63"/>
      <c r="AN399" s="63"/>
      <c r="AO399" s="63"/>
      <c r="AP399" s="63"/>
      <c r="AQ399" s="63"/>
      <c r="AR399" s="63"/>
      <c r="AS399" s="63"/>
      <c r="AT399" s="63"/>
      <c r="AU399" s="63"/>
      <c r="AV399" s="63"/>
      <c r="AW399" s="50"/>
      <c r="AX399" s="69"/>
      <c r="AY399" s="69"/>
      <c r="AZ399" s="54"/>
      <c r="BA399" s="54"/>
      <c r="BB399" s="54"/>
      <c r="BC399" s="54"/>
      <c r="BD399" s="54"/>
      <c r="BE399" s="70"/>
      <c r="BF399" s="63"/>
      <c r="BG399" s="71">
        <v>0</v>
      </c>
      <c r="BH399" s="67"/>
      <c r="BI399" s="68"/>
      <c r="BJ399" s="72">
        <v>0</v>
      </c>
      <c r="BK399" s="62"/>
      <c r="BL399" s="70"/>
      <c r="BM399" s="70"/>
      <c r="BN399" s="70"/>
      <c r="BO399" s="70"/>
      <c r="BP399" s="73"/>
      <c r="BQ399" s="48"/>
      <c r="BR399" s="63"/>
      <c r="BS399" s="50"/>
      <c r="BT399" s="76" t="e">
        <v>#DIV/0!</v>
      </c>
      <c r="BU399" s="77" t="e">
        <v>#DIV/0!</v>
      </c>
      <c r="BV399" s="78">
        <v>0</v>
      </c>
      <c r="BW399" s="79">
        <v>0</v>
      </c>
      <c r="BX399" s="62"/>
      <c r="BY399" s="63"/>
      <c r="BZ399" s="63"/>
      <c r="CA399" s="63"/>
      <c r="CB399" s="63"/>
      <c r="CC399" s="63"/>
      <c r="CD399" s="63"/>
      <c r="CE399" s="50"/>
    </row>
    <row r="400" spans="2:83" x14ac:dyDescent="0.3">
      <c r="B400" s="46">
        <v>0</v>
      </c>
      <c r="C400" s="47"/>
      <c r="D400" s="48"/>
      <c r="E400" s="49"/>
      <c r="F400" s="50"/>
      <c r="G400" s="51" t="e">
        <v>#DIV/0!</v>
      </c>
      <c r="H400" s="52" t="e">
        <v>#DIV/0!</v>
      </c>
      <c r="I400" s="53"/>
      <c r="J400" s="54"/>
      <c r="K400" s="54"/>
      <c r="L400" s="55"/>
      <c r="M400" s="56"/>
      <c r="N400" s="57">
        <v>0</v>
      </c>
      <c r="O400" s="58"/>
      <c r="P400" s="59"/>
      <c r="Q400" s="81"/>
      <c r="R400" s="82"/>
      <c r="S400" s="48"/>
      <c r="T400" s="50"/>
      <c r="U400" s="62"/>
      <c r="V400" s="63"/>
      <c r="W400" s="50"/>
      <c r="X400" s="48"/>
      <c r="Y400" s="63"/>
      <c r="Z400" s="63"/>
      <c r="AA400" s="64"/>
      <c r="AB400" s="65"/>
      <c r="AC400" s="66"/>
      <c r="AD400" s="67"/>
      <c r="AE400" s="68"/>
      <c r="AF400" s="48"/>
      <c r="AG400" s="63"/>
      <c r="AH400" s="63"/>
      <c r="AI400" s="63"/>
      <c r="AJ400" s="63"/>
      <c r="AK400" s="63"/>
      <c r="AL400" s="63"/>
      <c r="AM400" s="63"/>
      <c r="AN400" s="63"/>
      <c r="AO400" s="63"/>
      <c r="AP400" s="63"/>
      <c r="AQ400" s="63"/>
      <c r="AR400" s="63"/>
      <c r="AS400" s="63"/>
      <c r="AT400" s="63"/>
      <c r="AU400" s="63"/>
      <c r="AV400" s="63"/>
      <c r="AW400" s="50"/>
      <c r="AX400" s="69"/>
      <c r="AY400" s="69"/>
      <c r="AZ400" s="54"/>
      <c r="BA400" s="54"/>
      <c r="BB400" s="54"/>
      <c r="BC400" s="54"/>
      <c r="BD400" s="54"/>
      <c r="BE400" s="70"/>
      <c r="BF400" s="63"/>
      <c r="BG400" s="71">
        <v>0</v>
      </c>
      <c r="BH400" s="67"/>
      <c r="BI400" s="68"/>
      <c r="BJ400" s="72">
        <v>0</v>
      </c>
      <c r="BK400" s="62"/>
      <c r="BL400" s="70"/>
      <c r="BM400" s="70"/>
      <c r="BN400" s="70"/>
      <c r="BO400" s="70"/>
      <c r="BP400" s="73"/>
      <c r="BQ400" s="48"/>
      <c r="BR400" s="63"/>
      <c r="BS400" s="50"/>
      <c r="BT400" s="76" t="e">
        <v>#DIV/0!</v>
      </c>
      <c r="BU400" s="77" t="e">
        <v>#DIV/0!</v>
      </c>
      <c r="BV400" s="78">
        <v>0</v>
      </c>
      <c r="BW400" s="79">
        <v>0</v>
      </c>
      <c r="BX400" s="62"/>
      <c r="BY400" s="63"/>
      <c r="BZ400" s="63"/>
      <c r="CA400" s="63"/>
      <c r="CB400" s="63"/>
      <c r="CC400" s="63"/>
      <c r="CD400" s="63"/>
      <c r="CE400" s="50"/>
    </row>
    <row r="401" spans="2:83" x14ac:dyDescent="0.3">
      <c r="B401" s="46">
        <v>0</v>
      </c>
      <c r="C401" s="47"/>
      <c r="D401" s="48"/>
      <c r="E401" s="49"/>
      <c r="F401" s="50"/>
      <c r="G401" s="51" t="e">
        <v>#DIV/0!</v>
      </c>
      <c r="H401" s="52" t="e">
        <v>#DIV/0!</v>
      </c>
      <c r="I401" s="53"/>
      <c r="J401" s="54"/>
      <c r="K401" s="54"/>
      <c r="L401" s="55"/>
      <c r="M401" s="56"/>
      <c r="N401" s="57">
        <v>0</v>
      </c>
      <c r="O401" s="58"/>
      <c r="P401" s="59"/>
      <c r="Q401" s="81"/>
      <c r="R401" s="82"/>
      <c r="S401" s="48"/>
      <c r="T401" s="50"/>
      <c r="U401" s="62"/>
      <c r="V401" s="63"/>
      <c r="W401" s="50"/>
      <c r="X401" s="48"/>
      <c r="Y401" s="63"/>
      <c r="Z401" s="63"/>
      <c r="AA401" s="64"/>
      <c r="AB401" s="65"/>
      <c r="AC401" s="66"/>
      <c r="AD401" s="67"/>
      <c r="AE401" s="68"/>
      <c r="AF401" s="48"/>
      <c r="AG401" s="63"/>
      <c r="AH401" s="63"/>
      <c r="AI401" s="63"/>
      <c r="AJ401" s="63"/>
      <c r="AK401" s="63"/>
      <c r="AL401" s="63"/>
      <c r="AM401" s="63"/>
      <c r="AN401" s="63"/>
      <c r="AO401" s="63"/>
      <c r="AP401" s="63"/>
      <c r="AQ401" s="63"/>
      <c r="AR401" s="63"/>
      <c r="AS401" s="63"/>
      <c r="AT401" s="63"/>
      <c r="AU401" s="63"/>
      <c r="AV401" s="63"/>
      <c r="AW401" s="50"/>
      <c r="AX401" s="69"/>
      <c r="AY401" s="69"/>
      <c r="AZ401" s="54"/>
      <c r="BA401" s="54"/>
      <c r="BB401" s="54"/>
      <c r="BC401" s="54"/>
      <c r="BD401" s="54"/>
      <c r="BE401" s="70"/>
      <c r="BF401" s="63"/>
      <c r="BG401" s="71">
        <v>0</v>
      </c>
      <c r="BH401" s="67"/>
      <c r="BI401" s="68"/>
      <c r="BJ401" s="72">
        <v>0</v>
      </c>
      <c r="BK401" s="62"/>
      <c r="BL401" s="70"/>
      <c r="BM401" s="70"/>
      <c r="BN401" s="70"/>
      <c r="BO401" s="70"/>
      <c r="BP401" s="73"/>
      <c r="BQ401" s="48"/>
      <c r="BR401" s="63"/>
      <c r="BS401" s="50"/>
      <c r="BT401" s="76" t="e">
        <v>#DIV/0!</v>
      </c>
      <c r="BU401" s="77" t="e">
        <v>#DIV/0!</v>
      </c>
      <c r="BV401" s="78">
        <v>0</v>
      </c>
      <c r="BW401" s="79">
        <v>0</v>
      </c>
      <c r="BX401" s="62"/>
      <c r="BY401" s="63"/>
      <c r="BZ401" s="63"/>
      <c r="CA401" s="63"/>
      <c r="CB401" s="63"/>
      <c r="CC401" s="63"/>
      <c r="CD401" s="63"/>
      <c r="CE401" s="50"/>
    </row>
    <row r="402" spans="2:83" x14ac:dyDescent="0.3">
      <c r="B402" s="46">
        <v>0</v>
      </c>
      <c r="C402" s="47"/>
      <c r="D402" s="48"/>
      <c r="E402" s="49"/>
      <c r="F402" s="50"/>
      <c r="G402" s="51" t="e">
        <v>#DIV/0!</v>
      </c>
      <c r="H402" s="52" t="e">
        <v>#DIV/0!</v>
      </c>
      <c r="I402" s="53"/>
      <c r="J402" s="54"/>
      <c r="K402" s="54"/>
      <c r="L402" s="55"/>
      <c r="M402" s="56"/>
      <c r="N402" s="57">
        <v>0</v>
      </c>
      <c r="O402" s="58"/>
      <c r="P402" s="59"/>
      <c r="Q402" s="81"/>
      <c r="R402" s="82"/>
      <c r="S402" s="48"/>
      <c r="T402" s="50"/>
      <c r="U402" s="62"/>
      <c r="V402" s="63"/>
      <c r="W402" s="50"/>
      <c r="X402" s="48"/>
      <c r="Y402" s="63"/>
      <c r="Z402" s="63"/>
      <c r="AA402" s="64"/>
      <c r="AB402" s="65"/>
      <c r="AC402" s="66"/>
      <c r="AD402" s="67"/>
      <c r="AE402" s="68"/>
      <c r="AF402" s="48"/>
      <c r="AG402" s="63"/>
      <c r="AH402" s="63"/>
      <c r="AI402" s="63"/>
      <c r="AJ402" s="63"/>
      <c r="AK402" s="63"/>
      <c r="AL402" s="63"/>
      <c r="AM402" s="63"/>
      <c r="AN402" s="63"/>
      <c r="AO402" s="63"/>
      <c r="AP402" s="63"/>
      <c r="AQ402" s="63"/>
      <c r="AR402" s="63"/>
      <c r="AS402" s="63"/>
      <c r="AT402" s="63"/>
      <c r="AU402" s="63"/>
      <c r="AV402" s="63"/>
      <c r="AW402" s="50"/>
      <c r="AX402" s="69"/>
      <c r="AY402" s="69"/>
      <c r="AZ402" s="54"/>
      <c r="BA402" s="54"/>
      <c r="BB402" s="54"/>
      <c r="BC402" s="54"/>
      <c r="BD402" s="54"/>
      <c r="BE402" s="70"/>
      <c r="BF402" s="63"/>
      <c r="BG402" s="71">
        <v>0</v>
      </c>
      <c r="BH402" s="67"/>
      <c r="BI402" s="68"/>
      <c r="BJ402" s="72">
        <v>0</v>
      </c>
      <c r="BK402" s="62"/>
      <c r="BL402" s="70"/>
      <c r="BM402" s="70"/>
      <c r="BN402" s="70"/>
      <c r="BO402" s="70"/>
      <c r="BP402" s="73"/>
      <c r="BQ402" s="48"/>
      <c r="BR402" s="63"/>
      <c r="BS402" s="50"/>
      <c r="BT402" s="76" t="e">
        <v>#DIV/0!</v>
      </c>
      <c r="BU402" s="77" t="e">
        <v>#DIV/0!</v>
      </c>
      <c r="BV402" s="78">
        <v>0</v>
      </c>
      <c r="BW402" s="79">
        <v>0</v>
      </c>
      <c r="BX402" s="62"/>
      <c r="BY402" s="63"/>
      <c r="BZ402" s="63"/>
      <c r="CA402" s="63"/>
      <c r="CB402" s="63"/>
      <c r="CC402" s="63"/>
      <c r="CD402" s="63"/>
      <c r="CE402" s="50"/>
    </row>
    <row r="403" spans="2:83" x14ac:dyDescent="0.3">
      <c r="B403" s="46">
        <v>0</v>
      </c>
      <c r="C403" s="47"/>
      <c r="D403" s="48"/>
      <c r="E403" s="49"/>
      <c r="F403" s="50"/>
      <c r="G403" s="51" t="e">
        <v>#DIV/0!</v>
      </c>
      <c r="H403" s="52" t="e">
        <v>#DIV/0!</v>
      </c>
      <c r="I403" s="53"/>
      <c r="J403" s="54"/>
      <c r="K403" s="54"/>
      <c r="L403" s="55"/>
      <c r="M403" s="56"/>
      <c r="N403" s="57">
        <v>0</v>
      </c>
      <c r="O403" s="58"/>
      <c r="P403" s="59"/>
      <c r="Q403" s="81"/>
      <c r="R403" s="82"/>
      <c r="S403" s="48"/>
      <c r="T403" s="50"/>
      <c r="U403" s="62"/>
      <c r="V403" s="63"/>
      <c r="W403" s="50"/>
      <c r="X403" s="48"/>
      <c r="Y403" s="63"/>
      <c r="Z403" s="63"/>
      <c r="AA403" s="64"/>
      <c r="AB403" s="65"/>
      <c r="AC403" s="66"/>
      <c r="AD403" s="67"/>
      <c r="AE403" s="68"/>
      <c r="AF403" s="48"/>
      <c r="AG403" s="63"/>
      <c r="AH403" s="63"/>
      <c r="AI403" s="63"/>
      <c r="AJ403" s="63"/>
      <c r="AK403" s="63"/>
      <c r="AL403" s="63"/>
      <c r="AM403" s="63"/>
      <c r="AN403" s="63"/>
      <c r="AO403" s="63"/>
      <c r="AP403" s="63"/>
      <c r="AQ403" s="63"/>
      <c r="AR403" s="63"/>
      <c r="AS403" s="63"/>
      <c r="AT403" s="63"/>
      <c r="AU403" s="63"/>
      <c r="AV403" s="63"/>
      <c r="AW403" s="50"/>
      <c r="AX403" s="69"/>
      <c r="AY403" s="69"/>
      <c r="AZ403" s="54"/>
      <c r="BA403" s="54"/>
      <c r="BB403" s="54"/>
      <c r="BC403" s="54"/>
      <c r="BD403" s="54"/>
      <c r="BE403" s="70"/>
      <c r="BF403" s="63"/>
      <c r="BG403" s="71">
        <v>0</v>
      </c>
      <c r="BH403" s="67"/>
      <c r="BI403" s="68"/>
      <c r="BJ403" s="72">
        <v>0</v>
      </c>
      <c r="BK403" s="62"/>
      <c r="BL403" s="70"/>
      <c r="BM403" s="70"/>
      <c r="BN403" s="70"/>
      <c r="BO403" s="70"/>
      <c r="BP403" s="73"/>
      <c r="BQ403" s="48"/>
      <c r="BR403" s="63"/>
      <c r="BS403" s="50"/>
      <c r="BT403" s="76" t="e">
        <v>#DIV/0!</v>
      </c>
      <c r="BU403" s="77" t="e">
        <v>#DIV/0!</v>
      </c>
      <c r="BV403" s="78">
        <v>0</v>
      </c>
      <c r="BW403" s="79">
        <v>0</v>
      </c>
      <c r="BX403" s="62"/>
      <c r="BY403" s="63"/>
      <c r="BZ403" s="63"/>
      <c r="CA403" s="63"/>
      <c r="CB403" s="63"/>
      <c r="CC403" s="63"/>
      <c r="CD403" s="63"/>
      <c r="CE403" s="50"/>
    </row>
    <row r="404" spans="2:83" x14ac:dyDescent="0.3">
      <c r="B404" s="46">
        <v>0</v>
      </c>
      <c r="C404" s="47"/>
      <c r="D404" s="48"/>
      <c r="E404" s="49"/>
      <c r="F404" s="50"/>
      <c r="G404" s="51" t="e">
        <v>#DIV/0!</v>
      </c>
      <c r="H404" s="52" t="e">
        <v>#DIV/0!</v>
      </c>
      <c r="I404" s="53"/>
      <c r="J404" s="54"/>
      <c r="K404" s="54"/>
      <c r="L404" s="55"/>
      <c r="M404" s="56"/>
      <c r="N404" s="57">
        <v>0</v>
      </c>
      <c r="O404" s="58"/>
      <c r="P404" s="59"/>
      <c r="Q404" s="81"/>
      <c r="R404" s="82"/>
      <c r="S404" s="48"/>
      <c r="T404" s="50"/>
      <c r="U404" s="62"/>
      <c r="V404" s="63"/>
      <c r="W404" s="50"/>
      <c r="X404" s="48"/>
      <c r="Y404" s="63"/>
      <c r="Z404" s="63"/>
      <c r="AA404" s="64"/>
      <c r="AB404" s="65"/>
      <c r="AC404" s="66"/>
      <c r="AD404" s="67"/>
      <c r="AE404" s="68"/>
      <c r="AF404" s="48"/>
      <c r="AG404" s="63"/>
      <c r="AH404" s="63"/>
      <c r="AI404" s="63"/>
      <c r="AJ404" s="63"/>
      <c r="AK404" s="63"/>
      <c r="AL404" s="63"/>
      <c r="AM404" s="63"/>
      <c r="AN404" s="63"/>
      <c r="AO404" s="63"/>
      <c r="AP404" s="63"/>
      <c r="AQ404" s="63"/>
      <c r="AR404" s="63"/>
      <c r="AS404" s="63"/>
      <c r="AT404" s="63"/>
      <c r="AU404" s="63"/>
      <c r="AV404" s="63"/>
      <c r="AW404" s="50"/>
      <c r="AX404" s="69"/>
      <c r="AY404" s="69"/>
      <c r="AZ404" s="54"/>
      <c r="BA404" s="54"/>
      <c r="BB404" s="54"/>
      <c r="BC404" s="54"/>
      <c r="BD404" s="54"/>
      <c r="BE404" s="70"/>
      <c r="BF404" s="63"/>
      <c r="BG404" s="71">
        <v>0</v>
      </c>
      <c r="BH404" s="67"/>
      <c r="BI404" s="68"/>
      <c r="BJ404" s="72">
        <v>0</v>
      </c>
      <c r="BK404" s="62"/>
      <c r="BL404" s="70"/>
      <c r="BM404" s="70"/>
      <c r="BN404" s="70"/>
      <c r="BO404" s="70"/>
      <c r="BP404" s="73"/>
      <c r="BQ404" s="48"/>
      <c r="BR404" s="63"/>
      <c r="BS404" s="50"/>
      <c r="BT404" s="76" t="e">
        <v>#DIV/0!</v>
      </c>
      <c r="BU404" s="77" t="e">
        <v>#DIV/0!</v>
      </c>
      <c r="BV404" s="78">
        <v>0</v>
      </c>
      <c r="BW404" s="79">
        <v>0</v>
      </c>
      <c r="BX404" s="62"/>
      <c r="BY404" s="63"/>
      <c r="BZ404" s="63"/>
      <c r="CA404" s="63"/>
      <c r="CB404" s="63"/>
      <c r="CC404" s="63"/>
      <c r="CD404" s="63"/>
      <c r="CE404" s="50"/>
    </row>
    <row r="405" spans="2:83" x14ac:dyDescent="0.3">
      <c r="B405" s="46">
        <v>0</v>
      </c>
      <c r="C405" s="47"/>
      <c r="D405" s="48"/>
      <c r="E405" s="49"/>
      <c r="F405" s="50"/>
      <c r="G405" s="51" t="e">
        <v>#DIV/0!</v>
      </c>
      <c r="H405" s="52" t="e">
        <v>#DIV/0!</v>
      </c>
      <c r="I405" s="53"/>
      <c r="J405" s="54"/>
      <c r="K405" s="54"/>
      <c r="L405" s="55"/>
      <c r="M405" s="56"/>
      <c r="N405" s="57">
        <v>0</v>
      </c>
      <c r="O405" s="58"/>
      <c r="P405" s="59"/>
      <c r="Q405" s="81"/>
      <c r="R405" s="82"/>
      <c r="S405" s="48"/>
      <c r="T405" s="50"/>
      <c r="U405" s="62"/>
      <c r="V405" s="63"/>
      <c r="W405" s="50"/>
      <c r="X405" s="48"/>
      <c r="Y405" s="63"/>
      <c r="Z405" s="63"/>
      <c r="AA405" s="64"/>
      <c r="AB405" s="65"/>
      <c r="AC405" s="66"/>
      <c r="AD405" s="67"/>
      <c r="AE405" s="68"/>
      <c r="AF405" s="48"/>
      <c r="AG405" s="63"/>
      <c r="AH405" s="63"/>
      <c r="AI405" s="63"/>
      <c r="AJ405" s="63"/>
      <c r="AK405" s="63"/>
      <c r="AL405" s="63"/>
      <c r="AM405" s="63"/>
      <c r="AN405" s="63"/>
      <c r="AO405" s="63"/>
      <c r="AP405" s="63"/>
      <c r="AQ405" s="63"/>
      <c r="AR405" s="63"/>
      <c r="AS405" s="63"/>
      <c r="AT405" s="63"/>
      <c r="AU405" s="63"/>
      <c r="AV405" s="63"/>
      <c r="AW405" s="50"/>
      <c r="AX405" s="69"/>
      <c r="AY405" s="69"/>
      <c r="AZ405" s="54"/>
      <c r="BA405" s="54"/>
      <c r="BB405" s="54"/>
      <c r="BC405" s="54"/>
      <c r="BD405" s="54"/>
      <c r="BE405" s="70"/>
      <c r="BF405" s="63"/>
      <c r="BG405" s="71">
        <v>0</v>
      </c>
      <c r="BH405" s="67"/>
      <c r="BI405" s="68"/>
      <c r="BJ405" s="72">
        <v>0</v>
      </c>
      <c r="BK405" s="62"/>
      <c r="BL405" s="70"/>
      <c r="BM405" s="70"/>
      <c r="BN405" s="70"/>
      <c r="BO405" s="70"/>
      <c r="BP405" s="73"/>
      <c r="BQ405" s="48"/>
      <c r="BR405" s="63"/>
      <c r="BS405" s="50"/>
      <c r="BT405" s="76" t="e">
        <v>#DIV/0!</v>
      </c>
      <c r="BU405" s="77" t="e">
        <v>#DIV/0!</v>
      </c>
      <c r="BV405" s="78">
        <v>0</v>
      </c>
      <c r="BW405" s="79">
        <v>0</v>
      </c>
      <c r="BX405" s="62"/>
      <c r="BY405" s="63"/>
      <c r="BZ405" s="63"/>
      <c r="CA405" s="63"/>
      <c r="CB405" s="63"/>
      <c r="CC405" s="63"/>
      <c r="CD405" s="63"/>
      <c r="CE405" s="50"/>
    </row>
    <row r="406" spans="2:83" x14ac:dyDescent="0.3">
      <c r="B406" s="46">
        <v>0</v>
      </c>
      <c r="C406" s="47"/>
      <c r="D406" s="48"/>
      <c r="E406" s="49"/>
      <c r="F406" s="50"/>
      <c r="G406" s="51" t="e">
        <v>#DIV/0!</v>
      </c>
      <c r="H406" s="52" t="e">
        <v>#DIV/0!</v>
      </c>
      <c r="I406" s="53"/>
      <c r="J406" s="54"/>
      <c r="K406" s="54"/>
      <c r="L406" s="55"/>
      <c r="M406" s="56"/>
      <c r="N406" s="57">
        <v>0</v>
      </c>
      <c r="O406" s="58"/>
      <c r="P406" s="59"/>
      <c r="Q406" s="81"/>
      <c r="R406" s="82"/>
      <c r="S406" s="48"/>
      <c r="T406" s="50"/>
      <c r="U406" s="62"/>
      <c r="V406" s="63"/>
      <c r="W406" s="50"/>
      <c r="X406" s="48"/>
      <c r="Y406" s="63"/>
      <c r="Z406" s="63"/>
      <c r="AA406" s="64"/>
      <c r="AB406" s="65"/>
      <c r="AC406" s="66"/>
      <c r="AD406" s="67"/>
      <c r="AE406" s="68"/>
      <c r="AF406" s="48"/>
      <c r="AG406" s="63"/>
      <c r="AH406" s="63"/>
      <c r="AI406" s="63"/>
      <c r="AJ406" s="63"/>
      <c r="AK406" s="63"/>
      <c r="AL406" s="63"/>
      <c r="AM406" s="63"/>
      <c r="AN406" s="63"/>
      <c r="AO406" s="63"/>
      <c r="AP406" s="63"/>
      <c r="AQ406" s="63"/>
      <c r="AR406" s="63"/>
      <c r="AS406" s="63"/>
      <c r="AT406" s="63"/>
      <c r="AU406" s="63"/>
      <c r="AV406" s="63"/>
      <c r="AW406" s="50"/>
      <c r="AX406" s="69"/>
      <c r="AY406" s="69"/>
      <c r="AZ406" s="54"/>
      <c r="BA406" s="54"/>
      <c r="BB406" s="54"/>
      <c r="BC406" s="54"/>
      <c r="BD406" s="54"/>
      <c r="BE406" s="70"/>
      <c r="BF406" s="63"/>
      <c r="BG406" s="71">
        <v>0</v>
      </c>
      <c r="BH406" s="67"/>
      <c r="BI406" s="68"/>
      <c r="BJ406" s="72">
        <v>0</v>
      </c>
      <c r="BK406" s="62"/>
      <c r="BL406" s="70"/>
      <c r="BM406" s="70"/>
      <c r="BN406" s="70"/>
      <c r="BO406" s="70"/>
      <c r="BP406" s="73"/>
      <c r="BQ406" s="48"/>
      <c r="BR406" s="63"/>
      <c r="BS406" s="50"/>
      <c r="BT406" s="76" t="e">
        <v>#DIV/0!</v>
      </c>
      <c r="BU406" s="77" t="e">
        <v>#DIV/0!</v>
      </c>
      <c r="BV406" s="78">
        <v>0</v>
      </c>
      <c r="BW406" s="79">
        <v>0</v>
      </c>
      <c r="BX406" s="62"/>
      <c r="BY406" s="63"/>
      <c r="BZ406" s="63"/>
      <c r="CA406" s="63"/>
      <c r="CB406" s="63"/>
      <c r="CC406" s="63"/>
      <c r="CD406" s="63"/>
      <c r="CE406" s="50"/>
    </row>
    <row r="407" spans="2:83" x14ac:dyDescent="0.3">
      <c r="B407" s="46">
        <v>0</v>
      </c>
      <c r="C407" s="47"/>
      <c r="D407" s="48"/>
      <c r="E407" s="49"/>
      <c r="F407" s="50"/>
      <c r="G407" s="51" t="e">
        <v>#DIV/0!</v>
      </c>
      <c r="H407" s="52" t="e">
        <v>#DIV/0!</v>
      </c>
      <c r="I407" s="53"/>
      <c r="J407" s="54"/>
      <c r="K407" s="54"/>
      <c r="L407" s="55"/>
      <c r="M407" s="56"/>
      <c r="N407" s="57">
        <v>0</v>
      </c>
      <c r="O407" s="58"/>
      <c r="P407" s="59"/>
      <c r="Q407" s="81"/>
      <c r="R407" s="82"/>
      <c r="S407" s="48"/>
      <c r="T407" s="50"/>
      <c r="U407" s="62"/>
      <c r="V407" s="63"/>
      <c r="W407" s="50"/>
      <c r="X407" s="48"/>
      <c r="Y407" s="63"/>
      <c r="Z407" s="63"/>
      <c r="AA407" s="64"/>
      <c r="AB407" s="65"/>
      <c r="AC407" s="66"/>
      <c r="AD407" s="67"/>
      <c r="AE407" s="68"/>
      <c r="AF407" s="48"/>
      <c r="AG407" s="63"/>
      <c r="AH407" s="63"/>
      <c r="AI407" s="63"/>
      <c r="AJ407" s="63"/>
      <c r="AK407" s="63"/>
      <c r="AL407" s="63"/>
      <c r="AM407" s="63"/>
      <c r="AN407" s="63"/>
      <c r="AO407" s="63"/>
      <c r="AP407" s="63"/>
      <c r="AQ407" s="63"/>
      <c r="AR407" s="63"/>
      <c r="AS407" s="63"/>
      <c r="AT407" s="63"/>
      <c r="AU407" s="63"/>
      <c r="AV407" s="63"/>
      <c r="AW407" s="50"/>
      <c r="AX407" s="69"/>
      <c r="AY407" s="69"/>
      <c r="AZ407" s="54"/>
      <c r="BA407" s="54"/>
      <c r="BB407" s="54"/>
      <c r="BC407" s="54"/>
      <c r="BD407" s="54"/>
      <c r="BE407" s="70"/>
      <c r="BF407" s="63"/>
      <c r="BG407" s="71">
        <v>0</v>
      </c>
      <c r="BH407" s="67"/>
      <c r="BI407" s="68"/>
      <c r="BJ407" s="72">
        <v>0</v>
      </c>
      <c r="BK407" s="62"/>
      <c r="BL407" s="70"/>
      <c r="BM407" s="70"/>
      <c r="BN407" s="70"/>
      <c r="BO407" s="70"/>
      <c r="BP407" s="73"/>
      <c r="BQ407" s="48"/>
      <c r="BR407" s="63"/>
      <c r="BS407" s="50"/>
      <c r="BT407" s="76" t="e">
        <v>#DIV/0!</v>
      </c>
      <c r="BU407" s="77" t="e">
        <v>#DIV/0!</v>
      </c>
      <c r="BV407" s="78">
        <v>0</v>
      </c>
      <c r="BW407" s="79">
        <v>0</v>
      </c>
      <c r="BX407" s="62"/>
      <c r="BY407" s="63"/>
      <c r="BZ407" s="63"/>
      <c r="CA407" s="63"/>
      <c r="CB407" s="63"/>
      <c r="CC407" s="63"/>
      <c r="CD407" s="63"/>
      <c r="CE407" s="50"/>
    </row>
    <row r="408" spans="2:83" x14ac:dyDescent="0.3">
      <c r="B408" s="46">
        <v>0</v>
      </c>
      <c r="C408" s="47"/>
      <c r="D408" s="48"/>
      <c r="E408" s="49"/>
      <c r="F408" s="50"/>
      <c r="G408" s="51" t="e">
        <v>#DIV/0!</v>
      </c>
      <c r="H408" s="52" t="e">
        <v>#DIV/0!</v>
      </c>
      <c r="I408" s="53"/>
      <c r="J408" s="54"/>
      <c r="K408" s="54"/>
      <c r="L408" s="55"/>
      <c r="M408" s="56"/>
      <c r="N408" s="57">
        <v>0</v>
      </c>
      <c r="O408" s="58"/>
      <c r="P408" s="59"/>
      <c r="Q408" s="81"/>
      <c r="R408" s="82"/>
      <c r="S408" s="48"/>
      <c r="T408" s="50"/>
      <c r="U408" s="62"/>
      <c r="V408" s="63"/>
      <c r="W408" s="50"/>
      <c r="X408" s="48"/>
      <c r="Y408" s="63"/>
      <c r="Z408" s="63"/>
      <c r="AA408" s="64"/>
      <c r="AB408" s="65"/>
      <c r="AC408" s="66"/>
      <c r="AD408" s="67"/>
      <c r="AE408" s="68"/>
      <c r="AF408" s="48"/>
      <c r="AG408" s="63"/>
      <c r="AH408" s="63"/>
      <c r="AI408" s="63"/>
      <c r="AJ408" s="63"/>
      <c r="AK408" s="63"/>
      <c r="AL408" s="63"/>
      <c r="AM408" s="63"/>
      <c r="AN408" s="63"/>
      <c r="AO408" s="63"/>
      <c r="AP408" s="63"/>
      <c r="AQ408" s="63"/>
      <c r="AR408" s="63"/>
      <c r="AS408" s="63"/>
      <c r="AT408" s="63"/>
      <c r="AU408" s="63"/>
      <c r="AV408" s="63"/>
      <c r="AW408" s="50"/>
      <c r="AX408" s="69"/>
      <c r="AY408" s="69"/>
      <c r="AZ408" s="54"/>
      <c r="BA408" s="54"/>
      <c r="BB408" s="54"/>
      <c r="BC408" s="54"/>
      <c r="BD408" s="54"/>
      <c r="BE408" s="70"/>
      <c r="BF408" s="63"/>
      <c r="BG408" s="71">
        <v>0</v>
      </c>
      <c r="BH408" s="67"/>
      <c r="BI408" s="68"/>
      <c r="BJ408" s="72">
        <v>0</v>
      </c>
      <c r="BK408" s="62"/>
      <c r="BL408" s="70"/>
      <c r="BM408" s="70"/>
      <c r="BN408" s="70"/>
      <c r="BO408" s="70"/>
      <c r="BP408" s="73"/>
      <c r="BQ408" s="48"/>
      <c r="BR408" s="63"/>
      <c r="BS408" s="50"/>
      <c r="BT408" s="76" t="e">
        <v>#DIV/0!</v>
      </c>
      <c r="BU408" s="77" t="e">
        <v>#DIV/0!</v>
      </c>
      <c r="BV408" s="78">
        <v>0</v>
      </c>
      <c r="BW408" s="79">
        <v>0</v>
      </c>
      <c r="BX408" s="62"/>
      <c r="BY408" s="63"/>
      <c r="BZ408" s="63"/>
      <c r="CA408" s="63"/>
      <c r="CB408" s="63"/>
      <c r="CC408" s="63"/>
      <c r="CD408" s="63"/>
      <c r="CE408" s="50"/>
    </row>
    <row r="409" spans="2:83" x14ac:dyDescent="0.3">
      <c r="B409" s="46">
        <v>0</v>
      </c>
      <c r="C409" s="47"/>
      <c r="D409" s="48"/>
      <c r="E409" s="49"/>
      <c r="F409" s="50"/>
      <c r="G409" s="51" t="e">
        <v>#DIV/0!</v>
      </c>
      <c r="H409" s="52" t="e">
        <v>#DIV/0!</v>
      </c>
      <c r="I409" s="53"/>
      <c r="J409" s="54"/>
      <c r="K409" s="54"/>
      <c r="L409" s="55"/>
      <c r="M409" s="56"/>
      <c r="N409" s="57">
        <v>0</v>
      </c>
      <c r="O409" s="58"/>
      <c r="P409" s="59"/>
      <c r="Q409" s="81"/>
      <c r="R409" s="82"/>
      <c r="S409" s="48"/>
      <c r="T409" s="50"/>
      <c r="U409" s="62"/>
      <c r="V409" s="63"/>
      <c r="W409" s="50"/>
      <c r="X409" s="48"/>
      <c r="Y409" s="63"/>
      <c r="Z409" s="63"/>
      <c r="AA409" s="64"/>
      <c r="AB409" s="65"/>
      <c r="AC409" s="66"/>
      <c r="AD409" s="67"/>
      <c r="AE409" s="68"/>
      <c r="AF409" s="48"/>
      <c r="AG409" s="63"/>
      <c r="AH409" s="63"/>
      <c r="AI409" s="63"/>
      <c r="AJ409" s="63"/>
      <c r="AK409" s="63"/>
      <c r="AL409" s="63"/>
      <c r="AM409" s="63"/>
      <c r="AN409" s="63"/>
      <c r="AO409" s="63"/>
      <c r="AP409" s="63"/>
      <c r="AQ409" s="63"/>
      <c r="AR409" s="63"/>
      <c r="AS409" s="63"/>
      <c r="AT409" s="63"/>
      <c r="AU409" s="63"/>
      <c r="AV409" s="63"/>
      <c r="AW409" s="50"/>
      <c r="AX409" s="69"/>
      <c r="AY409" s="69"/>
      <c r="AZ409" s="54"/>
      <c r="BA409" s="54"/>
      <c r="BB409" s="54"/>
      <c r="BC409" s="54"/>
      <c r="BD409" s="54"/>
      <c r="BE409" s="70"/>
      <c r="BF409" s="63"/>
      <c r="BG409" s="71">
        <v>0</v>
      </c>
      <c r="BH409" s="67"/>
      <c r="BI409" s="68"/>
      <c r="BJ409" s="72">
        <v>0</v>
      </c>
      <c r="BK409" s="62"/>
      <c r="BL409" s="70"/>
      <c r="BM409" s="70"/>
      <c r="BN409" s="70"/>
      <c r="BO409" s="70"/>
      <c r="BP409" s="73"/>
      <c r="BQ409" s="48"/>
      <c r="BR409" s="63"/>
      <c r="BS409" s="50"/>
      <c r="BT409" s="76" t="e">
        <v>#DIV/0!</v>
      </c>
      <c r="BU409" s="77" t="e">
        <v>#DIV/0!</v>
      </c>
      <c r="BV409" s="78">
        <v>0</v>
      </c>
      <c r="BW409" s="79">
        <v>0</v>
      </c>
      <c r="BX409" s="62"/>
      <c r="BY409" s="63"/>
      <c r="BZ409" s="63"/>
      <c r="CA409" s="63"/>
      <c r="CB409" s="63"/>
      <c r="CC409" s="63"/>
      <c r="CD409" s="63"/>
      <c r="CE409" s="50"/>
    </row>
    <row r="410" spans="2:83" x14ac:dyDescent="0.3">
      <c r="B410" s="46">
        <v>0</v>
      </c>
      <c r="C410" s="47"/>
      <c r="D410" s="48"/>
      <c r="E410" s="49"/>
      <c r="F410" s="50"/>
      <c r="G410" s="51" t="e">
        <v>#DIV/0!</v>
      </c>
      <c r="H410" s="52" t="e">
        <v>#DIV/0!</v>
      </c>
      <c r="I410" s="53"/>
      <c r="J410" s="54"/>
      <c r="K410" s="54"/>
      <c r="L410" s="55"/>
      <c r="M410" s="56"/>
      <c r="N410" s="57">
        <v>0</v>
      </c>
      <c r="O410" s="58"/>
      <c r="P410" s="59"/>
      <c r="Q410" s="81"/>
      <c r="R410" s="82"/>
      <c r="S410" s="48"/>
      <c r="T410" s="50"/>
      <c r="U410" s="62"/>
      <c r="V410" s="63"/>
      <c r="W410" s="50"/>
      <c r="X410" s="48"/>
      <c r="Y410" s="63"/>
      <c r="Z410" s="63"/>
      <c r="AA410" s="64"/>
      <c r="AB410" s="65"/>
      <c r="AC410" s="66"/>
      <c r="AD410" s="67"/>
      <c r="AE410" s="68"/>
      <c r="AF410" s="48"/>
      <c r="AG410" s="63"/>
      <c r="AH410" s="63"/>
      <c r="AI410" s="63"/>
      <c r="AJ410" s="63"/>
      <c r="AK410" s="63"/>
      <c r="AL410" s="63"/>
      <c r="AM410" s="63"/>
      <c r="AN410" s="63"/>
      <c r="AO410" s="63"/>
      <c r="AP410" s="63"/>
      <c r="AQ410" s="63"/>
      <c r="AR410" s="63"/>
      <c r="AS410" s="63"/>
      <c r="AT410" s="63"/>
      <c r="AU410" s="63"/>
      <c r="AV410" s="63"/>
      <c r="AW410" s="50"/>
      <c r="AX410" s="69"/>
      <c r="AY410" s="69"/>
      <c r="AZ410" s="54"/>
      <c r="BA410" s="54"/>
      <c r="BB410" s="54"/>
      <c r="BC410" s="54"/>
      <c r="BD410" s="54"/>
      <c r="BE410" s="70"/>
      <c r="BF410" s="63"/>
      <c r="BG410" s="71">
        <v>0</v>
      </c>
      <c r="BH410" s="67"/>
      <c r="BI410" s="68"/>
      <c r="BJ410" s="72">
        <v>0</v>
      </c>
      <c r="BK410" s="62"/>
      <c r="BL410" s="70"/>
      <c r="BM410" s="70"/>
      <c r="BN410" s="70"/>
      <c r="BO410" s="70"/>
      <c r="BP410" s="73"/>
      <c r="BQ410" s="48"/>
      <c r="BR410" s="63"/>
      <c r="BS410" s="50"/>
      <c r="BT410" s="76" t="e">
        <v>#DIV/0!</v>
      </c>
      <c r="BU410" s="77" t="e">
        <v>#DIV/0!</v>
      </c>
      <c r="BV410" s="78">
        <v>0</v>
      </c>
      <c r="BW410" s="79">
        <v>0</v>
      </c>
      <c r="BX410" s="62"/>
      <c r="BY410" s="63"/>
      <c r="BZ410" s="63"/>
      <c r="CA410" s="63"/>
      <c r="CB410" s="63"/>
      <c r="CC410" s="63"/>
      <c r="CD410" s="63"/>
      <c r="CE410" s="50"/>
    </row>
    <row r="411" spans="2:83" x14ac:dyDescent="0.3">
      <c r="B411" s="46">
        <v>0</v>
      </c>
      <c r="C411" s="47"/>
      <c r="D411" s="48"/>
      <c r="E411" s="49"/>
      <c r="F411" s="50"/>
      <c r="G411" s="51" t="e">
        <v>#DIV/0!</v>
      </c>
      <c r="H411" s="52" t="e">
        <v>#DIV/0!</v>
      </c>
      <c r="I411" s="53"/>
      <c r="J411" s="54"/>
      <c r="K411" s="54"/>
      <c r="L411" s="55"/>
      <c r="M411" s="56"/>
      <c r="N411" s="57">
        <v>0</v>
      </c>
      <c r="O411" s="58"/>
      <c r="P411" s="59"/>
      <c r="Q411" s="81"/>
      <c r="R411" s="82"/>
      <c r="S411" s="48"/>
      <c r="T411" s="50"/>
      <c r="U411" s="62"/>
      <c r="V411" s="63"/>
      <c r="W411" s="50"/>
      <c r="X411" s="48"/>
      <c r="Y411" s="63"/>
      <c r="Z411" s="63"/>
      <c r="AA411" s="64"/>
      <c r="AB411" s="65"/>
      <c r="AC411" s="66"/>
      <c r="AD411" s="67"/>
      <c r="AE411" s="68"/>
      <c r="AF411" s="48"/>
      <c r="AG411" s="63"/>
      <c r="AH411" s="63"/>
      <c r="AI411" s="63"/>
      <c r="AJ411" s="63"/>
      <c r="AK411" s="63"/>
      <c r="AL411" s="63"/>
      <c r="AM411" s="63"/>
      <c r="AN411" s="63"/>
      <c r="AO411" s="63"/>
      <c r="AP411" s="63"/>
      <c r="AQ411" s="63"/>
      <c r="AR411" s="63"/>
      <c r="AS411" s="63"/>
      <c r="AT411" s="63"/>
      <c r="AU411" s="63"/>
      <c r="AV411" s="63"/>
      <c r="AW411" s="50"/>
      <c r="AX411" s="69"/>
      <c r="AY411" s="69"/>
      <c r="AZ411" s="54"/>
      <c r="BA411" s="54"/>
      <c r="BB411" s="54"/>
      <c r="BC411" s="54"/>
      <c r="BD411" s="54"/>
      <c r="BE411" s="70"/>
      <c r="BF411" s="63"/>
      <c r="BG411" s="71">
        <v>0</v>
      </c>
      <c r="BH411" s="67"/>
      <c r="BI411" s="68"/>
      <c r="BJ411" s="72">
        <v>0</v>
      </c>
      <c r="BK411" s="62"/>
      <c r="BL411" s="70"/>
      <c r="BM411" s="70"/>
      <c r="BN411" s="70"/>
      <c r="BO411" s="70"/>
      <c r="BP411" s="73"/>
      <c r="BQ411" s="48"/>
      <c r="BR411" s="63"/>
      <c r="BS411" s="50"/>
      <c r="BT411" s="76" t="e">
        <v>#DIV/0!</v>
      </c>
      <c r="BU411" s="77" t="e">
        <v>#DIV/0!</v>
      </c>
      <c r="BV411" s="78">
        <v>0</v>
      </c>
      <c r="BW411" s="79">
        <v>0</v>
      </c>
      <c r="BX411" s="62"/>
      <c r="BY411" s="63"/>
      <c r="BZ411" s="63"/>
      <c r="CA411" s="63"/>
      <c r="CB411" s="63"/>
      <c r="CC411" s="63"/>
      <c r="CD411" s="63"/>
      <c r="CE411" s="50"/>
    </row>
    <row r="412" spans="2:83" x14ac:dyDescent="0.3">
      <c r="B412" s="46">
        <v>0</v>
      </c>
      <c r="C412" s="47"/>
      <c r="D412" s="48"/>
      <c r="E412" s="49"/>
      <c r="F412" s="50"/>
      <c r="G412" s="51" t="e">
        <v>#DIV/0!</v>
      </c>
      <c r="H412" s="52" t="e">
        <v>#DIV/0!</v>
      </c>
      <c r="I412" s="53"/>
      <c r="J412" s="54"/>
      <c r="K412" s="54"/>
      <c r="L412" s="55"/>
      <c r="M412" s="56"/>
      <c r="N412" s="57">
        <v>0</v>
      </c>
      <c r="O412" s="58"/>
      <c r="P412" s="59"/>
      <c r="Q412" s="81"/>
      <c r="R412" s="82"/>
      <c r="S412" s="48"/>
      <c r="T412" s="50"/>
      <c r="U412" s="62"/>
      <c r="V412" s="63"/>
      <c r="W412" s="50"/>
      <c r="X412" s="48"/>
      <c r="Y412" s="63"/>
      <c r="Z412" s="63"/>
      <c r="AA412" s="64"/>
      <c r="AB412" s="65"/>
      <c r="AC412" s="66"/>
      <c r="AD412" s="67"/>
      <c r="AE412" s="68"/>
      <c r="AF412" s="48"/>
      <c r="AG412" s="63"/>
      <c r="AH412" s="63"/>
      <c r="AI412" s="63"/>
      <c r="AJ412" s="63"/>
      <c r="AK412" s="63"/>
      <c r="AL412" s="63"/>
      <c r="AM412" s="63"/>
      <c r="AN412" s="63"/>
      <c r="AO412" s="63"/>
      <c r="AP412" s="63"/>
      <c r="AQ412" s="63"/>
      <c r="AR412" s="63"/>
      <c r="AS412" s="63"/>
      <c r="AT412" s="63"/>
      <c r="AU412" s="63"/>
      <c r="AV412" s="63"/>
      <c r="AW412" s="50"/>
      <c r="AX412" s="69"/>
      <c r="AY412" s="69"/>
      <c r="AZ412" s="54"/>
      <c r="BA412" s="54"/>
      <c r="BB412" s="54"/>
      <c r="BC412" s="54"/>
      <c r="BD412" s="54"/>
      <c r="BE412" s="70"/>
      <c r="BF412" s="63"/>
      <c r="BG412" s="71">
        <v>0</v>
      </c>
      <c r="BH412" s="67"/>
      <c r="BI412" s="68"/>
      <c r="BJ412" s="72">
        <v>0</v>
      </c>
      <c r="BK412" s="62"/>
      <c r="BL412" s="70"/>
      <c r="BM412" s="70"/>
      <c r="BN412" s="70"/>
      <c r="BO412" s="70"/>
      <c r="BP412" s="73"/>
      <c r="BQ412" s="48"/>
      <c r="BR412" s="63"/>
      <c r="BS412" s="50"/>
      <c r="BT412" s="76" t="e">
        <v>#DIV/0!</v>
      </c>
      <c r="BU412" s="77" t="e">
        <v>#DIV/0!</v>
      </c>
      <c r="BV412" s="78">
        <v>0</v>
      </c>
      <c r="BW412" s="79">
        <v>0</v>
      </c>
      <c r="BX412" s="62"/>
      <c r="BY412" s="63"/>
      <c r="BZ412" s="63"/>
      <c r="CA412" s="63"/>
      <c r="CB412" s="63"/>
      <c r="CC412" s="63"/>
      <c r="CD412" s="63"/>
      <c r="CE412" s="50"/>
    </row>
    <row r="413" spans="2:83" x14ac:dyDescent="0.3">
      <c r="B413" s="46">
        <v>0</v>
      </c>
      <c r="C413" s="47"/>
      <c r="D413" s="48"/>
      <c r="E413" s="49"/>
      <c r="F413" s="50"/>
      <c r="G413" s="51" t="e">
        <v>#DIV/0!</v>
      </c>
      <c r="H413" s="52" t="e">
        <v>#DIV/0!</v>
      </c>
      <c r="I413" s="53"/>
      <c r="J413" s="54"/>
      <c r="K413" s="54"/>
      <c r="L413" s="55"/>
      <c r="M413" s="56"/>
      <c r="N413" s="57">
        <v>0</v>
      </c>
      <c r="O413" s="58"/>
      <c r="P413" s="59"/>
      <c r="Q413" s="81"/>
      <c r="R413" s="82"/>
      <c r="S413" s="48"/>
      <c r="T413" s="50"/>
      <c r="U413" s="62"/>
      <c r="V413" s="63"/>
      <c r="W413" s="50"/>
      <c r="X413" s="48"/>
      <c r="Y413" s="63"/>
      <c r="Z413" s="63"/>
      <c r="AA413" s="64"/>
      <c r="AB413" s="65"/>
      <c r="AC413" s="66"/>
      <c r="AD413" s="67"/>
      <c r="AE413" s="68"/>
      <c r="AF413" s="48"/>
      <c r="AG413" s="63"/>
      <c r="AH413" s="63"/>
      <c r="AI413" s="63"/>
      <c r="AJ413" s="63"/>
      <c r="AK413" s="63"/>
      <c r="AL413" s="63"/>
      <c r="AM413" s="63"/>
      <c r="AN413" s="63"/>
      <c r="AO413" s="63"/>
      <c r="AP413" s="63"/>
      <c r="AQ413" s="63"/>
      <c r="AR413" s="63"/>
      <c r="AS413" s="63"/>
      <c r="AT413" s="63"/>
      <c r="AU413" s="63"/>
      <c r="AV413" s="63"/>
      <c r="AW413" s="50"/>
      <c r="AX413" s="69"/>
      <c r="AY413" s="69"/>
      <c r="AZ413" s="54"/>
      <c r="BA413" s="54"/>
      <c r="BB413" s="54"/>
      <c r="BC413" s="54"/>
      <c r="BD413" s="54"/>
      <c r="BE413" s="70"/>
      <c r="BF413" s="63"/>
      <c r="BG413" s="71">
        <v>0</v>
      </c>
      <c r="BH413" s="67"/>
      <c r="BI413" s="68"/>
      <c r="BJ413" s="72">
        <v>0</v>
      </c>
      <c r="BK413" s="62"/>
      <c r="BL413" s="70"/>
      <c r="BM413" s="70"/>
      <c r="BN413" s="70"/>
      <c r="BO413" s="70"/>
      <c r="BP413" s="73"/>
      <c r="BQ413" s="48"/>
      <c r="BR413" s="63"/>
      <c r="BS413" s="50"/>
      <c r="BT413" s="76" t="e">
        <v>#DIV/0!</v>
      </c>
      <c r="BU413" s="77" t="e">
        <v>#DIV/0!</v>
      </c>
      <c r="BV413" s="78">
        <v>0</v>
      </c>
      <c r="BW413" s="79">
        <v>0</v>
      </c>
      <c r="BX413" s="62"/>
      <c r="BY413" s="63"/>
      <c r="BZ413" s="63"/>
      <c r="CA413" s="63"/>
      <c r="CB413" s="63"/>
      <c r="CC413" s="63"/>
      <c r="CD413" s="63"/>
      <c r="CE413" s="50"/>
    </row>
    <row r="414" spans="2:83" x14ac:dyDescent="0.3">
      <c r="B414" s="46">
        <v>0</v>
      </c>
      <c r="C414" s="47"/>
      <c r="D414" s="48"/>
      <c r="E414" s="49"/>
      <c r="F414" s="50"/>
      <c r="G414" s="51" t="e">
        <v>#DIV/0!</v>
      </c>
      <c r="H414" s="52" t="e">
        <v>#DIV/0!</v>
      </c>
      <c r="I414" s="53"/>
      <c r="J414" s="54"/>
      <c r="K414" s="54"/>
      <c r="L414" s="55"/>
      <c r="M414" s="56"/>
      <c r="N414" s="57">
        <v>0</v>
      </c>
      <c r="O414" s="58"/>
      <c r="P414" s="59"/>
      <c r="Q414" s="81"/>
      <c r="R414" s="82"/>
      <c r="S414" s="48"/>
      <c r="T414" s="50"/>
      <c r="U414" s="62"/>
      <c r="V414" s="63"/>
      <c r="W414" s="50"/>
      <c r="X414" s="48"/>
      <c r="Y414" s="63"/>
      <c r="Z414" s="63"/>
      <c r="AA414" s="64"/>
      <c r="AB414" s="65"/>
      <c r="AC414" s="66"/>
      <c r="AD414" s="67"/>
      <c r="AE414" s="68"/>
      <c r="AF414" s="48"/>
      <c r="AG414" s="63"/>
      <c r="AH414" s="63"/>
      <c r="AI414" s="63"/>
      <c r="AJ414" s="63"/>
      <c r="AK414" s="63"/>
      <c r="AL414" s="63"/>
      <c r="AM414" s="63"/>
      <c r="AN414" s="63"/>
      <c r="AO414" s="63"/>
      <c r="AP414" s="63"/>
      <c r="AQ414" s="63"/>
      <c r="AR414" s="63"/>
      <c r="AS414" s="63"/>
      <c r="AT414" s="63"/>
      <c r="AU414" s="63"/>
      <c r="AV414" s="63"/>
      <c r="AW414" s="50"/>
      <c r="AX414" s="69"/>
      <c r="AY414" s="69"/>
      <c r="AZ414" s="54"/>
      <c r="BA414" s="54"/>
      <c r="BB414" s="54"/>
      <c r="BC414" s="54"/>
      <c r="BD414" s="54"/>
      <c r="BE414" s="70"/>
      <c r="BF414" s="63"/>
      <c r="BG414" s="71">
        <v>0</v>
      </c>
      <c r="BH414" s="67"/>
      <c r="BI414" s="68"/>
      <c r="BJ414" s="72">
        <v>0</v>
      </c>
      <c r="BK414" s="62"/>
      <c r="BL414" s="70"/>
      <c r="BM414" s="70"/>
      <c r="BN414" s="70"/>
      <c r="BO414" s="70"/>
      <c r="BP414" s="73"/>
      <c r="BQ414" s="48"/>
      <c r="BR414" s="63"/>
      <c r="BS414" s="50"/>
      <c r="BT414" s="76" t="e">
        <v>#DIV/0!</v>
      </c>
      <c r="BU414" s="77" t="e">
        <v>#DIV/0!</v>
      </c>
      <c r="BV414" s="78">
        <v>0</v>
      </c>
      <c r="BW414" s="79">
        <v>0</v>
      </c>
      <c r="BX414" s="62"/>
      <c r="BY414" s="63"/>
      <c r="BZ414" s="63"/>
      <c r="CA414" s="63"/>
      <c r="CB414" s="63"/>
      <c r="CC414" s="63"/>
      <c r="CD414" s="63"/>
      <c r="CE414" s="50"/>
    </row>
    <row r="415" spans="2:83" x14ac:dyDescent="0.3">
      <c r="B415" s="46">
        <v>0</v>
      </c>
      <c r="C415" s="47"/>
      <c r="D415" s="48"/>
      <c r="E415" s="49"/>
      <c r="F415" s="50"/>
      <c r="G415" s="51" t="e">
        <v>#DIV/0!</v>
      </c>
      <c r="H415" s="52" t="e">
        <v>#DIV/0!</v>
      </c>
      <c r="I415" s="53"/>
      <c r="J415" s="54"/>
      <c r="K415" s="54"/>
      <c r="L415" s="55"/>
      <c r="M415" s="56"/>
      <c r="N415" s="57">
        <v>0</v>
      </c>
      <c r="O415" s="58"/>
      <c r="P415" s="59"/>
      <c r="Q415" s="81"/>
      <c r="R415" s="82"/>
      <c r="S415" s="48"/>
      <c r="T415" s="50"/>
      <c r="U415" s="62"/>
      <c r="V415" s="63"/>
      <c r="W415" s="50"/>
      <c r="X415" s="48"/>
      <c r="Y415" s="63"/>
      <c r="Z415" s="63"/>
      <c r="AA415" s="64"/>
      <c r="AB415" s="65"/>
      <c r="AC415" s="66"/>
      <c r="AD415" s="67"/>
      <c r="AE415" s="68"/>
      <c r="AF415" s="48"/>
      <c r="AG415" s="63"/>
      <c r="AH415" s="63"/>
      <c r="AI415" s="63"/>
      <c r="AJ415" s="63"/>
      <c r="AK415" s="63"/>
      <c r="AL415" s="63"/>
      <c r="AM415" s="63"/>
      <c r="AN415" s="63"/>
      <c r="AO415" s="63"/>
      <c r="AP415" s="63"/>
      <c r="AQ415" s="63"/>
      <c r="AR415" s="63"/>
      <c r="AS415" s="63"/>
      <c r="AT415" s="63"/>
      <c r="AU415" s="63"/>
      <c r="AV415" s="63"/>
      <c r="AW415" s="50"/>
      <c r="AX415" s="69"/>
      <c r="AY415" s="69"/>
      <c r="AZ415" s="54"/>
      <c r="BA415" s="54"/>
      <c r="BB415" s="54"/>
      <c r="BC415" s="54"/>
      <c r="BD415" s="54"/>
      <c r="BE415" s="70"/>
      <c r="BF415" s="63"/>
      <c r="BG415" s="71">
        <v>0</v>
      </c>
      <c r="BH415" s="67"/>
      <c r="BI415" s="68"/>
      <c r="BJ415" s="72">
        <v>0</v>
      </c>
      <c r="BK415" s="62"/>
      <c r="BL415" s="70"/>
      <c r="BM415" s="70"/>
      <c r="BN415" s="70"/>
      <c r="BO415" s="70"/>
      <c r="BP415" s="73"/>
      <c r="BQ415" s="48"/>
      <c r="BR415" s="63"/>
      <c r="BS415" s="50"/>
      <c r="BT415" s="76" t="e">
        <v>#DIV/0!</v>
      </c>
      <c r="BU415" s="77" t="e">
        <v>#DIV/0!</v>
      </c>
      <c r="BV415" s="78">
        <v>0</v>
      </c>
      <c r="BW415" s="79">
        <v>0</v>
      </c>
      <c r="BX415" s="62"/>
      <c r="BY415" s="63"/>
      <c r="BZ415" s="63"/>
      <c r="CA415" s="63"/>
      <c r="CB415" s="63"/>
      <c r="CC415" s="63"/>
      <c r="CD415" s="63"/>
      <c r="CE415" s="50"/>
    </row>
    <row r="416" spans="2:83" x14ac:dyDescent="0.3">
      <c r="B416" s="46">
        <v>0</v>
      </c>
      <c r="C416" s="47"/>
      <c r="D416" s="48"/>
      <c r="E416" s="49"/>
      <c r="F416" s="50"/>
      <c r="G416" s="51" t="e">
        <v>#DIV/0!</v>
      </c>
      <c r="H416" s="52" t="e">
        <v>#DIV/0!</v>
      </c>
      <c r="I416" s="53"/>
      <c r="J416" s="54"/>
      <c r="K416" s="54"/>
      <c r="L416" s="55"/>
      <c r="M416" s="56"/>
      <c r="N416" s="57">
        <v>0</v>
      </c>
      <c r="O416" s="58"/>
      <c r="P416" s="59"/>
      <c r="Q416" s="81"/>
      <c r="R416" s="82"/>
      <c r="S416" s="48"/>
      <c r="T416" s="50"/>
      <c r="U416" s="62"/>
      <c r="V416" s="63"/>
      <c r="W416" s="50"/>
      <c r="X416" s="48"/>
      <c r="Y416" s="63"/>
      <c r="Z416" s="63"/>
      <c r="AA416" s="64"/>
      <c r="AB416" s="65"/>
      <c r="AC416" s="66"/>
      <c r="AD416" s="67"/>
      <c r="AE416" s="68"/>
      <c r="AF416" s="48"/>
      <c r="AG416" s="63"/>
      <c r="AH416" s="63"/>
      <c r="AI416" s="63"/>
      <c r="AJ416" s="63"/>
      <c r="AK416" s="63"/>
      <c r="AL416" s="63"/>
      <c r="AM416" s="63"/>
      <c r="AN416" s="63"/>
      <c r="AO416" s="63"/>
      <c r="AP416" s="63"/>
      <c r="AQ416" s="63"/>
      <c r="AR416" s="63"/>
      <c r="AS416" s="63"/>
      <c r="AT416" s="63"/>
      <c r="AU416" s="63"/>
      <c r="AV416" s="63"/>
      <c r="AW416" s="50"/>
      <c r="AX416" s="69"/>
      <c r="AY416" s="69"/>
      <c r="AZ416" s="54"/>
      <c r="BA416" s="54"/>
      <c r="BB416" s="54"/>
      <c r="BC416" s="54"/>
      <c r="BD416" s="54"/>
      <c r="BE416" s="70"/>
      <c r="BF416" s="63"/>
      <c r="BG416" s="71">
        <v>0</v>
      </c>
      <c r="BH416" s="67"/>
      <c r="BI416" s="68"/>
      <c r="BJ416" s="72">
        <v>0</v>
      </c>
      <c r="BK416" s="62"/>
      <c r="BL416" s="70"/>
      <c r="BM416" s="70"/>
      <c r="BN416" s="70"/>
      <c r="BO416" s="70"/>
      <c r="BP416" s="73"/>
      <c r="BQ416" s="48"/>
      <c r="BR416" s="63"/>
      <c r="BS416" s="50"/>
      <c r="BT416" s="76" t="e">
        <v>#DIV/0!</v>
      </c>
      <c r="BU416" s="77" t="e">
        <v>#DIV/0!</v>
      </c>
      <c r="BV416" s="78">
        <v>0</v>
      </c>
      <c r="BW416" s="79">
        <v>0</v>
      </c>
      <c r="BX416" s="62"/>
      <c r="BY416" s="63"/>
      <c r="BZ416" s="63"/>
      <c r="CA416" s="63"/>
      <c r="CB416" s="63"/>
      <c r="CC416" s="63"/>
      <c r="CD416" s="63"/>
      <c r="CE416" s="50"/>
    </row>
    <row r="417" spans="2:83" x14ac:dyDescent="0.3">
      <c r="B417" s="46">
        <v>0</v>
      </c>
      <c r="C417" s="47"/>
      <c r="D417" s="48"/>
      <c r="E417" s="49"/>
      <c r="F417" s="50"/>
      <c r="G417" s="51" t="e">
        <v>#DIV/0!</v>
      </c>
      <c r="H417" s="52" t="e">
        <v>#DIV/0!</v>
      </c>
      <c r="I417" s="53"/>
      <c r="J417" s="54"/>
      <c r="K417" s="54"/>
      <c r="L417" s="55"/>
      <c r="M417" s="56"/>
      <c r="N417" s="57">
        <v>0</v>
      </c>
      <c r="O417" s="58"/>
      <c r="P417" s="59"/>
      <c r="Q417" s="81"/>
      <c r="R417" s="82"/>
      <c r="S417" s="48"/>
      <c r="T417" s="50"/>
      <c r="U417" s="62"/>
      <c r="V417" s="63"/>
      <c r="W417" s="50"/>
      <c r="X417" s="48"/>
      <c r="Y417" s="63"/>
      <c r="Z417" s="63"/>
      <c r="AA417" s="64"/>
      <c r="AB417" s="65"/>
      <c r="AC417" s="66"/>
      <c r="AD417" s="67"/>
      <c r="AE417" s="68"/>
      <c r="AF417" s="48"/>
      <c r="AG417" s="63"/>
      <c r="AH417" s="63"/>
      <c r="AI417" s="63"/>
      <c r="AJ417" s="63"/>
      <c r="AK417" s="63"/>
      <c r="AL417" s="63"/>
      <c r="AM417" s="63"/>
      <c r="AN417" s="63"/>
      <c r="AO417" s="63"/>
      <c r="AP417" s="63"/>
      <c r="AQ417" s="63"/>
      <c r="AR417" s="63"/>
      <c r="AS417" s="63"/>
      <c r="AT417" s="63"/>
      <c r="AU417" s="63"/>
      <c r="AV417" s="63"/>
      <c r="AW417" s="50"/>
      <c r="AX417" s="69"/>
      <c r="AY417" s="69"/>
      <c r="AZ417" s="54"/>
      <c r="BA417" s="54"/>
      <c r="BB417" s="54"/>
      <c r="BC417" s="54"/>
      <c r="BD417" s="54"/>
      <c r="BE417" s="70"/>
      <c r="BF417" s="63"/>
      <c r="BG417" s="71">
        <v>0</v>
      </c>
      <c r="BH417" s="67"/>
      <c r="BI417" s="68"/>
      <c r="BJ417" s="72">
        <v>0</v>
      </c>
      <c r="BK417" s="62"/>
      <c r="BL417" s="70"/>
      <c r="BM417" s="70"/>
      <c r="BN417" s="70"/>
      <c r="BO417" s="70"/>
      <c r="BP417" s="73"/>
      <c r="BQ417" s="48"/>
      <c r="BR417" s="63"/>
      <c r="BS417" s="50"/>
      <c r="BT417" s="76" t="e">
        <v>#DIV/0!</v>
      </c>
      <c r="BU417" s="77" t="e">
        <v>#DIV/0!</v>
      </c>
      <c r="BV417" s="78">
        <v>0</v>
      </c>
      <c r="BW417" s="79">
        <v>0</v>
      </c>
      <c r="BX417" s="62"/>
      <c r="BY417" s="63"/>
      <c r="BZ417" s="63"/>
      <c r="CA417" s="63"/>
      <c r="CB417" s="63"/>
      <c r="CC417" s="63"/>
      <c r="CD417" s="63"/>
      <c r="CE417" s="50"/>
    </row>
    <row r="418" spans="2:83" x14ac:dyDescent="0.3">
      <c r="B418" s="46">
        <v>0</v>
      </c>
      <c r="C418" s="47"/>
      <c r="D418" s="48"/>
      <c r="E418" s="49"/>
      <c r="F418" s="50"/>
      <c r="G418" s="51" t="e">
        <v>#DIV/0!</v>
      </c>
      <c r="H418" s="52" t="e">
        <v>#DIV/0!</v>
      </c>
      <c r="I418" s="53"/>
      <c r="J418" s="54"/>
      <c r="K418" s="54"/>
      <c r="L418" s="55"/>
      <c r="M418" s="56"/>
      <c r="N418" s="57">
        <v>0</v>
      </c>
      <c r="O418" s="58"/>
      <c r="P418" s="59"/>
      <c r="Q418" s="81"/>
      <c r="R418" s="82"/>
      <c r="S418" s="48"/>
      <c r="T418" s="50"/>
      <c r="U418" s="62"/>
      <c r="V418" s="63"/>
      <c r="W418" s="50"/>
      <c r="X418" s="48"/>
      <c r="Y418" s="63"/>
      <c r="Z418" s="63"/>
      <c r="AA418" s="64"/>
      <c r="AB418" s="65"/>
      <c r="AC418" s="66"/>
      <c r="AD418" s="67"/>
      <c r="AE418" s="68"/>
      <c r="AF418" s="48"/>
      <c r="AG418" s="63"/>
      <c r="AH418" s="63"/>
      <c r="AI418" s="63"/>
      <c r="AJ418" s="63"/>
      <c r="AK418" s="63"/>
      <c r="AL418" s="63"/>
      <c r="AM418" s="63"/>
      <c r="AN418" s="63"/>
      <c r="AO418" s="63"/>
      <c r="AP418" s="63"/>
      <c r="AQ418" s="63"/>
      <c r="AR418" s="63"/>
      <c r="AS418" s="63"/>
      <c r="AT418" s="63"/>
      <c r="AU418" s="63"/>
      <c r="AV418" s="63"/>
      <c r="AW418" s="50"/>
      <c r="AX418" s="69"/>
      <c r="AY418" s="69"/>
      <c r="AZ418" s="54"/>
      <c r="BA418" s="54"/>
      <c r="BB418" s="54"/>
      <c r="BC418" s="54"/>
      <c r="BD418" s="54"/>
      <c r="BE418" s="70"/>
      <c r="BF418" s="63"/>
      <c r="BG418" s="71">
        <v>0</v>
      </c>
      <c r="BH418" s="67"/>
      <c r="BI418" s="68"/>
      <c r="BJ418" s="72">
        <v>0</v>
      </c>
      <c r="BK418" s="62"/>
      <c r="BL418" s="70"/>
      <c r="BM418" s="70"/>
      <c r="BN418" s="70"/>
      <c r="BO418" s="70"/>
      <c r="BP418" s="73"/>
      <c r="BQ418" s="48"/>
      <c r="BR418" s="63"/>
      <c r="BS418" s="50"/>
      <c r="BT418" s="76" t="e">
        <v>#DIV/0!</v>
      </c>
      <c r="BU418" s="77" t="e">
        <v>#DIV/0!</v>
      </c>
      <c r="BV418" s="78">
        <v>0</v>
      </c>
      <c r="BW418" s="79">
        <v>0</v>
      </c>
      <c r="BX418" s="62"/>
      <c r="BY418" s="63"/>
      <c r="BZ418" s="63"/>
      <c r="CA418" s="63"/>
      <c r="CB418" s="63"/>
      <c r="CC418" s="63"/>
      <c r="CD418" s="63"/>
      <c r="CE418" s="50"/>
    </row>
    <row r="419" spans="2:83" x14ac:dyDescent="0.3">
      <c r="B419" s="46">
        <v>0</v>
      </c>
      <c r="C419" s="47"/>
      <c r="D419" s="48"/>
      <c r="E419" s="49"/>
      <c r="F419" s="50"/>
      <c r="G419" s="51" t="e">
        <v>#DIV/0!</v>
      </c>
      <c r="H419" s="52" t="e">
        <v>#DIV/0!</v>
      </c>
      <c r="I419" s="53"/>
      <c r="J419" s="54"/>
      <c r="K419" s="54"/>
      <c r="L419" s="55"/>
      <c r="M419" s="56"/>
      <c r="N419" s="57">
        <v>0</v>
      </c>
      <c r="O419" s="58"/>
      <c r="P419" s="59"/>
      <c r="Q419" s="81"/>
      <c r="R419" s="82"/>
      <c r="S419" s="48"/>
      <c r="T419" s="50"/>
      <c r="U419" s="62"/>
      <c r="V419" s="63"/>
      <c r="W419" s="50"/>
      <c r="X419" s="48"/>
      <c r="Y419" s="63"/>
      <c r="Z419" s="63"/>
      <c r="AA419" s="64"/>
      <c r="AB419" s="65"/>
      <c r="AC419" s="66"/>
      <c r="AD419" s="67"/>
      <c r="AE419" s="68"/>
      <c r="AF419" s="48"/>
      <c r="AG419" s="63"/>
      <c r="AH419" s="63"/>
      <c r="AI419" s="63"/>
      <c r="AJ419" s="63"/>
      <c r="AK419" s="63"/>
      <c r="AL419" s="63"/>
      <c r="AM419" s="63"/>
      <c r="AN419" s="63"/>
      <c r="AO419" s="63"/>
      <c r="AP419" s="63"/>
      <c r="AQ419" s="63"/>
      <c r="AR419" s="63"/>
      <c r="AS419" s="63"/>
      <c r="AT419" s="63"/>
      <c r="AU419" s="63"/>
      <c r="AV419" s="63"/>
      <c r="AW419" s="50"/>
      <c r="AX419" s="69"/>
      <c r="AY419" s="69"/>
      <c r="AZ419" s="54"/>
      <c r="BA419" s="54"/>
      <c r="BB419" s="54"/>
      <c r="BC419" s="54"/>
      <c r="BD419" s="54"/>
      <c r="BE419" s="70"/>
      <c r="BF419" s="63"/>
      <c r="BG419" s="71">
        <v>0</v>
      </c>
      <c r="BH419" s="67"/>
      <c r="BI419" s="68"/>
      <c r="BJ419" s="72">
        <v>0</v>
      </c>
      <c r="BK419" s="62"/>
      <c r="BL419" s="70"/>
      <c r="BM419" s="70"/>
      <c r="BN419" s="70"/>
      <c r="BO419" s="70"/>
      <c r="BP419" s="73"/>
      <c r="BQ419" s="48"/>
      <c r="BR419" s="63"/>
      <c r="BS419" s="50"/>
      <c r="BT419" s="76" t="e">
        <v>#DIV/0!</v>
      </c>
      <c r="BU419" s="77" t="e">
        <v>#DIV/0!</v>
      </c>
      <c r="BV419" s="78">
        <v>0</v>
      </c>
      <c r="BW419" s="79">
        <v>0</v>
      </c>
      <c r="BX419" s="62"/>
      <c r="BY419" s="63"/>
      <c r="BZ419" s="63"/>
      <c r="CA419" s="63"/>
      <c r="CB419" s="63"/>
      <c r="CC419" s="63"/>
      <c r="CD419" s="63"/>
      <c r="CE419" s="50"/>
    </row>
    <row r="420" spans="2:83" x14ac:dyDescent="0.3">
      <c r="B420" s="46">
        <v>0</v>
      </c>
      <c r="C420" s="47"/>
      <c r="D420" s="48"/>
      <c r="E420" s="49"/>
      <c r="F420" s="50"/>
      <c r="G420" s="51" t="e">
        <v>#DIV/0!</v>
      </c>
      <c r="H420" s="52" t="e">
        <v>#DIV/0!</v>
      </c>
      <c r="I420" s="53"/>
      <c r="J420" s="54"/>
      <c r="K420" s="54"/>
      <c r="L420" s="55"/>
      <c r="M420" s="56"/>
      <c r="N420" s="57">
        <v>0</v>
      </c>
      <c r="O420" s="58"/>
      <c r="P420" s="59"/>
      <c r="Q420" s="81"/>
      <c r="R420" s="82"/>
      <c r="S420" s="48"/>
      <c r="T420" s="50"/>
      <c r="U420" s="62"/>
      <c r="V420" s="63"/>
      <c r="W420" s="50"/>
      <c r="X420" s="48"/>
      <c r="Y420" s="63"/>
      <c r="Z420" s="63"/>
      <c r="AA420" s="64"/>
      <c r="AB420" s="65"/>
      <c r="AC420" s="66"/>
      <c r="AD420" s="67"/>
      <c r="AE420" s="68"/>
      <c r="AF420" s="48"/>
      <c r="AG420" s="63"/>
      <c r="AH420" s="63"/>
      <c r="AI420" s="63"/>
      <c r="AJ420" s="63"/>
      <c r="AK420" s="63"/>
      <c r="AL420" s="63"/>
      <c r="AM420" s="63"/>
      <c r="AN420" s="63"/>
      <c r="AO420" s="63"/>
      <c r="AP420" s="63"/>
      <c r="AQ420" s="63"/>
      <c r="AR420" s="63"/>
      <c r="AS420" s="63"/>
      <c r="AT420" s="63"/>
      <c r="AU420" s="63"/>
      <c r="AV420" s="63"/>
      <c r="AW420" s="50"/>
      <c r="AX420" s="69"/>
      <c r="AY420" s="69"/>
      <c r="AZ420" s="54"/>
      <c r="BA420" s="54"/>
      <c r="BB420" s="54"/>
      <c r="BC420" s="54"/>
      <c r="BD420" s="54"/>
      <c r="BE420" s="70"/>
      <c r="BF420" s="63"/>
      <c r="BG420" s="71">
        <v>0</v>
      </c>
      <c r="BH420" s="67"/>
      <c r="BI420" s="68"/>
      <c r="BJ420" s="72">
        <v>0</v>
      </c>
      <c r="BK420" s="62"/>
      <c r="BL420" s="70"/>
      <c r="BM420" s="70"/>
      <c r="BN420" s="70"/>
      <c r="BO420" s="70"/>
      <c r="BP420" s="73"/>
      <c r="BQ420" s="48"/>
      <c r="BR420" s="63"/>
      <c r="BS420" s="50"/>
      <c r="BT420" s="76" t="e">
        <v>#DIV/0!</v>
      </c>
      <c r="BU420" s="77" t="e">
        <v>#DIV/0!</v>
      </c>
      <c r="BV420" s="78">
        <v>0</v>
      </c>
      <c r="BW420" s="79">
        <v>0</v>
      </c>
      <c r="BX420" s="62"/>
      <c r="BY420" s="63"/>
      <c r="BZ420" s="63"/>
      <c r="CA420" s="63"/>
      <c r="CB420" s="63"/>
      <c r="CC420" s="63"/>
      <c r="CD420" s="63"/>
      <c r="CE420" s="50"/>
    </row>
    <row r="421" spans="2:83" x14ac:dyDescent="0.3">
      <c r="B421" s="46">
        <v>0</v>
      </c>
      <c r="C421" s="47"/>
      <c r="D421" s="48"/>
      <c r="E421" s="49"/>
      <c r="F421" s="50"/>
      <c r="G421" s="51" t="e">
        <v>#DIV/0!</v>
      </c>
      <c r="H421" s="52" t="e">
        <v>#DIV/0!</v>
      </c>
      <c r="I421" s="53"/>
      <c r="J421" s="54"/>
      <c r="K421" s="54"/>
      <c r="L421" s="55"/>
      <c r="M421" s="56"/>
      <c r="N421" s="57">
        <v>0</v>
      </c>
      <c r="O421" s="58"/>
      <c r="P421" s="59"/>
      <c r="Q421" s="81"/>
      <c r="R421" s="82"/>
      <c r="S421" s="48"/>
      <c r="T421" s="50"/>
      <c r="U421" s="62"/>
      <c r="V421" s="63"/>
      <c r="W421" s="50"/>
      <c r="X421" s="48"/>
      <c r="Y421" s="63"/>
      <c r="Z421" s="63"/>
      <c r="AA421" s="64"/>
      <c r="AB421" s="65"/>
      <c r="AC421" s="66"/>
      <c r="AD421" s="67"/>
      <c r="AE421" s="68"/>
      <c r="AF421" s="48"/>
      <c r="AG421" s="63"/>
      <c r="AH421" s="63"/>
      <c r="AI421" s="63"/>
      <c r="AJ421" s="63"/>
      <c r="AK421" s="63"/>
      <c r="AL421" s="63"/>
      <c r="AM421" s="63"/>
      <c r="AN421" s="63"/>
      <c r="AO421" s="63"/>
      <c r="AP421" s="63"/>
      <c r="AQ421" s="63"/>
      <c r="AR421" s="63"/>
      <c r="AS421" s="63"/>
      <c r="AT421" s="63"/>
      <c r="AU421" s="63"/>
      <c r="AV421" s="63"/>
      <c r="AW421" s="50"/>
      <c r="AX421" s="69"/>
      <c r="AY421" s="69"/>
      <c r="AZ421" s="54"/>
      <c r="BA421" s="54"/>
      <c r="BB421" s="54"/>
      <c r="BC421" s="54"/>
      <c r="BD421" s="54"/>
      <c r="BE421" s="70"/>
      <c r="BF421" s="63"/>
      <c r="BG421" s="71">
        <v>0</v>
      </c>
      <c r="BH421" s="67"/>
      <c r="BI421" s="68"/>
      <c r="BJ421" s="72">
        <v>0</v>
      </c>
      <c r="BK421" s="62"/>
      <c r="BL421" s="70"/>
      <c r="BM421" s="70"/>
      <c r="BN421" s="70"/>
      <c r="BO421" s="70"/>
      <c r="BP421" s="73"/>
      <c r="BQ421" s="48"/>
      <c r="BR421" s="63"/>
      <c r="BS421" s="50"/>
      <c r="BT421" s="76" t="e">
        <v>#DIV/0!</v>
      </c>
      <c r="BU421" s="77" t="e">
        <v>#DIV/0!</v>
      </c>
      <c r="BV421" s="78">
        <v>0</v>
      </c>
      <c r="BW421" s="79">
        <v>0</v>
      </c>
      <c r="BX421" s="62"/>
      <c r="BY421" s="63"/>
      <c r="BZ421" s="63"/>
      <c r="CA421" s="63"/>
      <c r="CB421" s="63"/>
      <c r="CC421" s="63"/>
      <c r="CD421" s="63"/>
      <c r="CE421" s="50"/>
    </row>
    <row r="422" spans="2:83" x14ac:dyDescent="0.3">
      <c r="B422" s="46">
        <v>0</v>
      </c>
      <c r="C422" s="47"/>
      <c r="D422" s="48"/>
      <c r="E422" s="49"/>
      <c r="F422" s="50"/>
      <c r="G422" s="51" t="e">
        <v>#DIV/0!</v>
      </c>
      <c r="H422" s="52" t="e">
        <v>#DIV/0!</v>
      </c>
      <c r="I422" s="53"/>
      <c r="J422" s="54"/>
      <c r="K422" s="54"/>
      <c r="L422" s="55"/>
      <c r="M422" s="56"/>
      <c r="N422" s="57">
        <v>0</v>
      </c>
      <c r="O422" s="58"/>
      <c r="P422" s="59"/>
      <c r="Q422" s="81"/>
      <c r="R422" s="82"/>
      <c r="S422" s="48"/>
      <c r="T422" s="50"/>
      <c r="U422" s="62"/>
      <c r="V422" s="63"/>
      <c r="W422" s="50"/>
      <c r="X422" s="48"/>
      <c r="Y422" s="63"/>
      <c r="Z422" s="63"/>
      <c r="AA422" s="64"/>
      <c r="AB422" s="65"/>
      <c r="AC422" s="66"/>
      <c r="AD422" s="67"/>
      <c r="AE422" s="68"/>
      <c r="AF422" s="48"/>
      <c r="AG422" s="63"/>
      <c r="AH422" s="63"/>
      <c r="AI422" s="63"/>
      <c r="AJ422" s="63"/>
      <c r="AK422" s="63"/>
      <c r="AL422" s="63"/>
      <c r="AM422" s="63"/>
      <c r="AN422" s="63"/>
      <c r="AO422" s="63"/>
      <c r="AP422" s="63"/>
      <c r="AQ422" s="63"/>
      <c r="AR422" s="63"/>
      <c r="AS422" s="63"/>
      <c r="AT422" s="63"/>
      <c r="AU422" s="63"/>
      <c r="AV422" s="63"/>
      <c r="AW422" s="50"/>
      <c r="AX422" s="69"/>
      <c r="AY422" s="69"/>
      <c r="AZ422" s="54"/>
      <c r="BA422" s="54"/>
      <c r="BB422" s="54"/>
      <c r="BC422" s="54"/>
      <c r="BD422" s="54"/>
      <c r="BE422" s="70"/>
      <c r="BF422" s="63"/>
      <c r="BG422" s="71">
        <v>0</v>
      </c>
      <c r="BH422" s="67"/>
      <c r="BI422" s="68"/>
      <c r="BJ422" s="72">
        <v>0</v>
      </c>
      <c r="BK422" s="62"/>
      <c r="BL422" s="70"/>
      <c r="BM422" s="70"/>
      <c r="BN422" s="70"/>
      <c r="BO422" s="70"/>
      <c r="BP422" s="73"/>
      <c r="BQ422" s="48"/>
      <c r="BR422" s="63"/>
      <c r="BS422" s="50"/>
      <c r="BT422" s="76" t="e">
        <v>#DIV/0!</v>
      </c>
      <c r="BU422" s="77" t="e">
        <v>#DIV/0!</v>
      </c>
      <c r="BV422" s="78">
        <v>0</v>
      </c>
      <c r="BW422" s="79">
        <v>0</v>
      </c>
      <c r="BX422" s="62"/>
      <c r="BY422" s="63"/>
      <c r="BZ422" s="63"/>
      <c r="CA422" s="63"/>
      <c r="CB422" s="63"/>
      <c r="CC422" s="63"/>
      <c r="CD422" s="63"/>
      <c r="CE422" s="50"/>
    </row>
    <row r="423" spans="2:83" x14ac:dyDescent="0.3">
      <c r="B423" s="46">
        <v>0</v>
      </c>
      <c r="C423" s="47"/>
      <c r="D423" s="48"/>
      <c r="E423" s="49"/>
      <c r="F423" s="50"/>
      <c r="G423" s="51" t="e">
        <v>#DIV/0!</v>
      </c>
      <c r="H423" s="52" t="e">
        <v>#DIV/0!</v>
      </c>
      <c r="I423" s="53"/>
      <c r="J423" s="54"/>
      <c r="K423" s="54"/>
      <c r="L423" s="55"/>
      <c r="M423" s="56"/>
      <c r="N423" s="57">
        <v>0</v>
      </c>
      <c r="O423" s="58"/>
      <c r="P423" s="59"/>
      <c r="Q423" s="81"/>
      <c r="R423" s="82"/>
      <c r="S423" s="48"/>
      <c r="T423" s="50"/>
      <c r="U423" s="62"/>
      <c r="V423" s="63"/>
      <c r="W423" s="50"/>
      <c r="X423" s="48"/>
      <c r="Y423" s="63"/>
      <c r="Z423" s="63"/>
      <c r="AA423" s="64"/>
      <c r="AB423" s="65"/>
      <c r="AC423" s="66"/>
      <c r="AD423" s="67"/>
      <c r="AE423" s="68"/>
      <c r="AF423" s="48"/>
      <c r="AG423" s="63"/>
      <c r="AH423" s="63"/>
      <c r="AI423" s="63"/>
      <c r="AJ423" s="63"/>
      <c r="AK423" s="63"/>
      <c r="AL423" s="63"/>
      <c r="AM423" s="63"/>
      <c r="AN423" s="63"/>
      <c r="AO423" s="63"/>
      <c r="AP423" s="63"/>
      <c r="AQ423" s="63"/>
      <c r="AR423" s="63"/>
      <c r="AS423" s="63"/>
      <c r="AT423" s="63"/>
      <c r="AU423" s="63"/>
      <c r="AV423" s="63"/>
      <c r="AW423" s="50"/>
      <c r="AX423" s="69"/>
      <c r="AY423" s="69"/>
      <c r="AZ423" s="54"/>
      <c r="BA423" s="54"/>
      <c r="BB423" s="54"/>
      <c r="BC423" s="54"/>
      <c r="BD423" s="54"/>
      <c r="BE423" s="70"/>
      <c r="BF423" s="63"/>
      <c r="BG423" s="71">
        <v>0</v>
      </c>
      <c r="BH423" s="67"/>
      <c r="BI423" s="68"/>
      <c r="BJ423" s="72">
        <v>0</v>
      </c>
      <c r="BK423" s="62"/>
      <c r="BL423" s="70"/>
      <c r="BM423" s="70"/>
      <c r="BN423" s="70"/>
      <c r="BO423" s="70"/>
      <c r="BP423" s="73"/>
      <c r="BQ423" s="48"/>
      <c r="BR423" s="63"/>
      <c r="BS423" s="50"/>
      <c r="BT423" s="76" t="e">
        <v>#DIV/0!</v>
      </c>
      <c r="BU423" s="77" t="e">
        <v>#DIV/0!</v>
      </c>
      <c r="BV423" s="78">
        <v>0</v>
      </c>
      <c r="BW423" s="79">
        <v>0</v>
      </c>
      <c r="BX423" s="62"/>
      <c r="BY423" s="63"/>
      <c r="BZ423" s="63"/>
      <c r="CA423" s="63"/>
      <c r="CB423" s="63"/>
      <c r="CC423" s="63"/>
      <c r="CD423" s="63"/>
      <c r="CE423" s="50"/>
    </row>
    <row r="424" spans="2:83" x14ac:dyDescent="0.3">
      <c r="B424" s="46">
        <v>0</v>
      </c>
      <c r="C424" s="47"/>
      <c r="D424" s="48"/>
      <c r="E424" s="49"/>
      <c r="F424" s="50"/>
      <c r="G424" s="51" t="e">
        <v>#DIV/0!</v>
      </c>
      <c r="H424" s="52" t="e">
        <v>#DIV/0!</v>
      </c>
      <c r="I424" s="53"/>
      <c r="J424" s="54"/>
      <c r="K424" s="54"/>
      <c r="L424" s="55"/>
      <c r="M424" s="56"/>
      <c r="N424" s="57">
        <v>0</v>
      </c>
      <c r="O424" s="58"/>
      <c r="P424" s="59"/>
      <c r="Q424" s="81"/>
      <c r="R424" s="82"/>
      <c r="S424" s="48"/>
      <c r="T424" s="50"/>
      <c r="U424" s="62"/>
      <c r="V424" s="63"/>
      <c r="W424" s="50"/>
      <c r="X424" s="48"/>
      <c r="Y424" s="63"/>
      <c r="Z424" s="63"/>
      <c r="AA424" s="64"/>
      <c r="AB424" s="65"/>
      <c r="AC424" s="66"/>
      <c r="AD424" s="67"/>
      <c r="AE424" s="68"/>
      <c r="AF424" s="48"/>
      <c r="AG424" s="63"/>
      <c r="AH424" s="63"/>
      <c r="AI424" s="63"/>
      <c r="AJ424" s="63"/>
      <c r="AK424" s="63"/>
      <c r="AL424" s="63"/>
      <c r="AM424" s="63"/>
      <c r="AN424" s="63"/>
      <c r="AO424" s="63"/>
      <c r="AP424" s="63"/>
      <c r="AQ424" s="63"/>
      <c r="AR424" s="63"/>
      <c r="AS424" s="63"/>
      <c r="AT424" s="63"/>
      <c r="AU424" s="63"/>
      <c r="AV424" s="63"/>
      <c r="AW424" s="50"/>
      <c r="AX424" s="69"/>
      <c r="AY424" s="69"/>
      <c r="AZ424" s="54"/>
      <c r="BA424" s="54"/>
      <c r="BB424" s="54"/>
      <c r="BC424" s="54"/>
      <c r="BD424" s="54"/>
      <c r="BE424" s="70"/>
      <c r="BF424" s="63"/>
      <c r="BG424" s="71">
        <v>0</v>
      </c>
      <c r="BH424" s="67"/>
      <c r="BI424" s="68"/>
      <c r="BJ424" s="72">
        <v>0</v>
      </c>
      <c r="BK424" s="62"/>
      <c r="BL424" s="70"/>
      <c r="BM424" s="70"/>
      <c r="BN424" s="70"/>
      <c r="BO424" s="70"/>
      <c r="BP424" s="73"/>
      <c r="BQ424" s="48"/>
      <c r="BR424" s="63"/>
      <c r="BS424" s="50"/>
      <c r="BT424" s="76" t="e">
        <v>#DIV/0!</v>
      </c>
      <c r="BU424" s="77" t="e">
        <v>#DIV/0!</v>
      </c>
      <c r="BV424" s="78">
        <v>0</v>
      </c>
      <c r="BW424" s="79">
        <v>0</v>
      </c>
      <c r="BX424" s="62"/>
      <c r="BY424" s="63"/>
      <c r="BZ424" s="63"/>
      <c r="CA424" s="63"/>
      <c r="CB424" s="63"/>
      <c r="CC424" s="63"/>
      <c r="CD424" s="63"/>
      <c r="CE424" s="50"/>
    </row>
    <row r="425" spans="2:83" ht="15" thickBot="1" x14ac:dyDescent="0.35">
      <c r="B425" s="46">
        <v>0</v>
      </c>
      <c r="C425" s="47"/>
      <c r="D425" s="48"/>
      <c r="E425" s="49"/>
      <c r="F425" s="50"/>
      <c r="G425" s="83" t="e">
        <v>#DIV/0!</v>
      </c>
      <c r="H425" s="52" t="e">
        <v>#DIV/0!</v>
      </c>
      <c r="I425" s="53"/>
      <c r="J425" s="54"/>
      <c r="K425" s="54"/>
      <c r="L425" s="55"/>
      <c r="M425" s="56"/>
      <c r="N425" s="84">
        <v>0</v>
      </c>
      <c r="O425" s="85"/>
      <c r="P425" s="86"/>
      <c r="Q425" s="87"/>
      <c r="R425" s="88"/>
      <c r="S425" s="89"/>
      <c r="T425" s="90"/>
      <c r="U425" s="62"/>
      <c r="V425" s="63"/>
      <c r="W425" s="50"/>
      <c r="X425" s="48"/>
      <c r="Y425" s="63"/>
      <c r="Z425" s="63"/>
      <c r="AA425" s="64"/>
      <c r="AB425" s="65"/>
      <c r="AC425" s="91"/>
      <c r="AD425" s="92"/>
      <c r="AE425" s="93"/>
      <c r="AF425" s="89"/>
      <c r="AG425" s="94"/>
      <c r="AH425" s="94"/>
      <c r="AI425" s="94"/>
      <c r="AJ425" s="94"/>
      <c r="AK425" s="94"/>
      <c r="AL425" s="94"/>
      <c r="AM425" s="94"/>
      <c r="AN425" s="94"/>
      <c r="AO425" s="94"/>
      <c r="AP425" s="94"/>
      <c r="AQ425" s="94"/>
      <c r="AR425" s="94"/>
      <c r="AS425" s="94"/>
      <c r="AT425" s="94"/>
      <c r="AU425" s="94"/>
      <c r="AV425" s="94"/>
      <c r="AW425" s="90"/>
      <c r="AX425" s="69"/>
      <c r="AY425" s="69"/>
      <c r="AZ425" s="54"/>
      <c r="BA425" s="54"/>
      <c r="BB425" s="54"/>
      <c r="BC425" s="54"/>
      <c r="BD425" s="54"/>
      <c r="BE425" s="70"/>
      <c r="BF425" s="63"/>
      <c r="BG425" s="71">
        <v>0</v>
      </c>
      <c r="BH425" s="92"/>
      <c r="BI425" s="93"/>
      <c r="BJ425" s="95">
        <v>0</v>
      </c>
      <c r="BK425" s="62"/>
      <c r="BL425" s="70"/>
      <c r="BM425" s="70"/>
      <c r="BN425" s="70"/>
      <c r="BO425" s="70"/>
      <c r="BP425" s="73"/>
      <c r="BQ425" s="89"/>
      <c r="BR425" s="94"/>
      <c r="BS425" s="90"/>
      <c r="BT425" s="96" t="e">
        <v>#DIV/0!</v>
      </c>
      <c r="BU425" s="97" t="e">
        <v>#DIV/0!</v>
      </c>
      <c r="BV425" s="98">
        <v>0</v>
      </c>
      <c r="BW425" s="99">
        <v>0</v>
      </c>
      <c r="BX425" s="100"/>
      <c r="BY425" s="94"/>
      <c r="BZ425" s="94"/>
      <c r="CA425" s="94"/>
      <c r="CB425" s="94"/>
      <c r="CC425" s="94"/>
      <c r="CD425" s="94"/>
      <c r="CE425" s="90"/>
    </row>
  </sheetData>
  <mergeCells count="13">
    <mergeCell ref="B12:C12"/>
    <mergeCell ref="D5:Y5"/>
    <mergeCell ref="D6:Y6"/>
    <mergeCell ref="D11:F11"/>
    <mergeCell ref="G11:R11"/>
    <mergeCell ref="S11:T11"/>
    <mergeCell ref="U11:W11"/>
    <mergeCell ref="X11:AE11"/>
    <mergeCell ref="AF11:AW11"/>
    <mergeCell ref="AX11:BG11"/>
    <mergeCell ref="BH11:BP11"/>
    <mergeCell ref="BQ11:BS11"/>
    <mergeCell ref="BT11:CE11"/>
  </mergeCells>
  <conditionalFormatting sqref="P12">
    <cfRule type="cellIs" dxfId="11" priority="11" operator="lessThan">
      <formula>14.9</formula>
    </cfRule>
    <cfRule type="cellIs" dxfId="10" priority="12" operator="greaterThan">
      <formula>14.9</formula>
    </cfRule>
  </conditionalFormatting>
  <conditionalFormatting sqref="R12">
    <cfRule type="cellIs" dxfId="9" priority="9" operator="lessThan">
      <formula>10.9</formula>
    </cfRule>
    <cfRule type="cellIs" dxfId="8" priority="10" operator="greaterThan">
      <formula>10.9</formula>
    </cfRule>
  </conditionalFormatting>
  <conditionalFormatting sqref="O14:O425">
    <cfRule type="cellIs" dxfId="7" priority="7" operator="lessThan">
      <formula>$N14</formula>
    </cfRule>
    <cfRule type="cellIs" dxfId="6" priority="8" operator="greaterThan">
      <formula>$N14</formula>
    </cfRule>
  </conditionalFormatting>
  <conditionalFormatting sqref="Q14:Q425">
    <cfRule type="cellIs" dxfId="5" priority="5" operator="lessThan">
      <formula>$N14</formula>
    </cfRule>
    <cfRule type="cellIs" dxfId="4" priority="6" operator="greaterThan">
      <formula>$N14</formula>
    </cfRule>
  </conditionalFormatting>
  <conditionalFormatting sqref="P14:P425">
    <cfRule type="cellIs" dxfId="3" priority="3" operator="lessThan">
      <formula>14.9</formula>
    </cfRule>
    <cfRule type="cellIs" dxfId="2" priority="4" operator="greaterThan">
      <formula>14.9</formula>
    </cfRule>
  </conditionalFormatting>
  <conditionalFormatting sqref="R14:R425">
    <cfRule type="cellIs" dxfId="1" priority="1" operator="lessThan">
      <formula>10.9</formula>
    </cfRule>
    <cfRule type="cellIs" dxfId="0" priority="2" operator="greaterThan">
      <formula>10.9</formula>
    </cfRule>
  </conditionalFormatting>
  <dataValidations count="2">
    <dataValidation type="date" allowBlank="1" showInputMessage="1" showErrorMessage="1" sqref="C14:C52" xr:uid="{7D017B1D-BB08-4F6E-BF8B-43FACCA836CE}">
      <formula1>42736</formula1>
      <formula2>43100</formula2>
    </dataValidation>
    <dataValidation type="date" allowBlank="1" showInputMessage="1" showErrorMessage="1" sqref="C53:C167" xr:uid="{0A0ED45E-20B5-488A-99C9-8DFF77B71A9F}">
      <formula1>42736</formula1>
      <formula2>43465</formula2>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D06F7F-F08B-4744-B12D-C835E9CC8FD9}">
  <sheetPr codeName="Feuil5" filterMode="1"/>
  <dimension ref="A1:AE1743"/>
  <sheetViews>
    <sheetView workbookViewId="0">
      <selection activeCell="Z750" sqref="Z750"/>
    </sheetView>
  </sheetViews>
  <sheetFormatPr baseColWidth="10" defaultRowHeight="14.4" x14ac:dyDescent="0.3"/>
  <cols>
    <col min="2" max="2" width="6.21875" style="126" customWidth="1"/>
    <col min="3" max="3" width="6.33203125" style="127" customWidth="1"/>
    <col min="4" max="4" width="5.77734375" style="127" customWidth="1"/>
    <col min="5" max="5" width="11" style="101" hidden="1" customWidth="1"/>
    <col min="6" max="6" width="9.6640625" style="101" hidden="1" customWidth="1"/>
    <col min="7" max="7" width="8.33203125" style="101" hidden="1" customWidth="1"/>
    <col min="8" max="8" width="9.21875" style="101" hidden="1" customWidth="1"/>
    <col min="9" max="9" width="11.77734375" style="101" hidden="1" customWidth="1"/>
    <col min="10" max="10" width="11.109375" style="101" hidden="1" customWidth="1"/>
    <col min="11" max="11" width="9.5546875" style="101" hidden="1" customWidth="1"/>
    <col min="12" max="12" width="8.33203125" style="101" hidden="1" customWidth="1"/>
    <col min="13" max="14" width="11.88671875" style="101" hidden="1" customWidth="1"/>
    <col min="15" max="15" width="12" style="101" hidden="1" customWidth="1"/>
    <col min="16" max="18" width="0" style="101" hidden="1" customWidth="1"/>
    <col min="19" max="19" width="11" style="101" hidden="1" customWidth="1"/>
    <col min="20" max="20" width="7.33203125" style="169" customWidth="1"/>
    <col min="21" max="21" width="11.77734375" hidden="1" customWidth="1"/>
    <col min="25" max="25" width="13.109375" bestFit="1" customWidth="1"/>
    <col min="27" max="31" width="11.5546875" style="101"/>
  </cols>
  <sheetData>
    <row r="1" spans="1:31" x14ac:dyDescent="0.3">
      <c r="F1" s="127"/>
      <c r="G1" s="127"/>
      <c r="O1" s="127"/>
      <c r="T1" s="168" t="s">
        <v>250</v>
      </c>
    </row>
    <row r="2" spans="1:31" x14ac:dyDescent="0.3">
      <c r="J2" s="101" t="s">
        <v>152</v>
      </c>
    </row>
    <row r="3" spans="1:31" x14ac:dyDescent="0.3">
      <c r="C3" s="126"/>
      <c r="D3" s="126"/>
      <c r="E3" s="227" t="s">
        <v>153</v>
      </c>
      <c r="F3" s="227"/>
      <c r="G3" s="227"/>
      <c r="H3" s="227"/>
      <c r="I3" s="227"/>
      <c r="J3" s="232" t="s">
        <v>154</v>
      </c>
      <c r="K3" s="232"/>
      <c r="L3" s="232"/>
      <c r="M3" s="232"/>
      <c r="N3" s="232"/>
      <c r="O3" s="233" t="s">
        <v>155</v>
      </c>
      <c r="P3" s="234"/>
      <c r="Q3" s="234"/>
      <c r="R3" s="234"/>
      <c r="S3" s="235"/>
      <c r="U3" s="230" t="s">
        <v>156</v>
      </c>
      <c r="V3" s="230"/>
      <c r="W3" s="230"/>
      <c r="X3" s="230"/>
      <c r="Y3" s="230"/>
      <c r="AA3" s="231" t="s">
        <v>251</v>
      </c>
      <c r="AB3" s="231"/>
      <c r="AC3" s="231"/>
      <c r="AD3" s="231"/>
      <c r="AE3" s="231"/>
    </row>
    <row r="4" spans="1:31" x14ac:dyDescent="0.3">
      <c r="A4" s="126" t="s">
        <v>252</v>
      </c>
      <c r="B4" s="130" t="s">
        <v>159</v>
      </c>
      <c r="C4" s="130" t="s">
        <v>160</v>
      </c>
      <c r="D4" s="130" t="s">
        <v>253</v>
      </c>
      <c r="E4" s="170" t="s">
        <v>162</v>
      </c>
      <c r="F4" s="171" t="s">
        <v>163</v>
      </c>
      <c r="G4" s="130" t="s">
        <v>164</v>
      </c>
      <c r="H4" s="131" t="s">
        <v>165</v>
      </c>
      <c r="I4" s="131" t="s">
        <v>166</v>
      </c>
      <c r="J4" s="170" t="s">
        <v>162</v>
      </c>
      <c r="K4" s="171" t="s">
        <v>163</v>
      </c>
      <c r="L4" s="130" t="s">
        <v>164</v>
      </c>
      <c r="M4" s="131" t="s">
        <v>165</v>
      </c>
      <c r="N4" s="131" t="s">
        <v>166</v>
      </c>
      <c r="O4" s="170" t="s">
        <v>162</v>
      </c>
      <c r="P4" s="171" t="s">
        <v>163</v>
      </c>
      <c r="Q4" s="130" t="s">
        <v>164</v>
      </c>
      <c r="R4" s="131" t="s">
        <v>165</v>
      </c>
      <c r="S4" s="131" t="s">
        <v>166</v>
      </c>
      <c r="T4" s="172" t="s">
        <v>254</v>
      </c>
      <c r="U4" s="170" t="s">
        <v>162</v>
      </c>
      <c r="V4" s="171" t="s">
        <v>163</v>
      </c>
      <c r="W4" s="130" t="s">
        <v>164</v>
      </c>
      <c r="X4" s="131" t="s">
        <v>165</v>
      </c>
      <c r="Y4" s="131" t="s">
        <v>166</v>
      </c>
      <c r="Z4" s="126" t="s">
        <v>255</v>
      </c>
      <c r="AA4" s="170" t="s">
        <v>162</v>
      </c>
      <c r="AB4" s="170" t="s">
        <v>163</v>
      </c>
      <c r="AC4" s="131" t="s">
        <v>164</v>
      </c>
      <c r="AD4" s="131" t="s">
        <v>165</v>
      </c>
      <c r="AE4" s="131" t="s">
        <v>166</v>
      </c>
    </row>
    <row r="5" spans="1:31" ht="11.25" hidden="1" customHeight="1" x14ac:dyDescent="0.3">
      <c r="A5" s="126" t="s">
        <v>171</v>
      </c>
      <c r="B5" s="126">
        <v>1</v>
      </c>
      <c r="C5" s="126">
        <v>12</v>
      </c>
      <c r="D5" s="126" t="str">
        <f>CONCATENATE(B5,C5)</f>
        <v>112</v>
      </c>
      <c r="E5" s="101">
        <v>30</v>
      </c>
      <c r="F5" s="101">
        <v>36</v>
      </c>
      <c r="G5" s="101">
        <v>48</v>
      </c>
      <c r="H5" s="101">
        <v>786.77</v>
      </c>
      <c r="I5" s="101">
        <v>174.72800000000001</v>
      </c>
      <c r="J5" s="101">
        <v>2</v>
      </c>
      <c r="K5" s="101">
        <v>2</v>
      </c>
      <c r="L5" s="101">
        <v>2</v>
      </c>
      <c r="M5" s="101">
        <v>6</v>
      </c>
      <c r="N5" s="101">
        <v>7</v>
      </c>
      <c r="O5" s="101">
        <v>16</v>
      </c>
      <c r="P5" s="101">
        <v>19</v>
      </c>
      <c r="Q5" s="101">
        <v>38</v>
      </c>
      <c r="R5" s="101">
        <v>936.46</v>
      </c>
      <c r="S5" s="101">
        <v>156.815</v>
      </c>
      <c r="T5" s="169">
        <v>1.02</v>
      </c>
      <c r="U5" s="101">
        <f>O5*T5</f>
        <v>16.32</v>
      </c>
      <c r="V5" s="101">
        <f>P5*T5</f>
        <v>19.38</v>
      </c>
      <c r="W5" s="101">
        <f>Q5*T5</f>
        <v>38.76</v>
      </c>
      <c r="X5" s="101">
        <f>R5*T5</f>
        <v>955.18920000000003</v>
      </c>
      <c r="Y5" s="101">
        <f>S5*T5</f>
        <v>159.9513</v>
      </c>
      <c r="AA5" s="101">
        <v>6</v>
      </c>
      <c r="AB5" s="101">
        <v>8</v>
      </c>
      <c r="AC5" s="101">
        <v>9</v>
      </c>
      <c r="AD5" s="101">
        <v>440</v>
      </c>
      <c r="AE5" s="101">
        <v>50</v>
      </c>
    </row>
    <row r="6" spans="1:31" ht="11.25" hidden="1" customHeight="1" x14ac:dyDescent="0.3">
      <c r="A6" s="126" t="s">
        <v>171</v>
      </c>
      <c r="B6" s="126">
        <v>1</v>
      </c>
      <c r="C6" s="126">
        <v>14</v>
      </c>
      <c r="D6" s="126" t="str">
        <f>CONCATENATE(B6,C6)</f>
        <v>114</v>
      </c>
      <c r="E6" s="101">
        <v>0</v>
      </c>
      <c r="F6" s="101">
        <v>0</v>
      </c>
      <c r="G6" s="101">
        <v>0</v>
      </c>
      <c r="H6" s="101">
        <v>0</v>
      </c>
      <c r="I6" s="101">
        <v>0</v>
      </c>
      <c r="J6" s="101">
        <v>1</v>
      </c>
      <c r="K6" s="101">
        <v>3</v>
      </c>
      <c r="L6" s="101">
        <v>3</v>
      </c>
      <c r="M6" s="101">
        <v>439</v>
      </c>
      <c r="N6" s="101">
        <v>55</v>
      </c>
      <c r="O6" s="101">
        <v>34</v>
      </c>
      <c r="P6" s="101">
        <v>37</v>
      </c>
      <c r="Q6" s="101">
        <v>61</v>
      </c>
      <c r="R6" s="101">
        <v>3147.37</v>
      </c>
      <c r="S6" s="101">
        <v>287.85899999999998</v>
      </c>
      <c r="T6" s="169">
        <v>1.02</v>
      </c>
      <c r="U6" s="101">
        <f t="shared" ref="U6:U69" si="0">O6*T6</f>
        <v>34.68</v>
      </c>
      <c r="V6" s="101">
        <f t="shared" ref="V6:V69" si="1">P6*T6</f>
        <v>37.74</v>
      </c>
      <c r="W6" s="101">
        <f t="shared" ref="W6:W69" si="2">Q6*T6</f>
        <v>62.22</v>
      </c>
      <c r="X6" s="101">
        <f t="shared" ref="X6:X69" si="3">R6*T6</f>
        <v>3210.3173999999999</v>
      </c>
      <c r="Y6" s="101">
        <f t="shared" ref="Y6:Y69" si="4">S6*T6</f>
        <v>293.61617999999999</v>
      </c>
      <c r="AA6" s="101">
        <v>77</v>
      </c>
      <c r="AB6" s="101">
        <v>93</v>
      </c>
      <c r="AC6" s="101">
        <v>171</v>
      </c>
      <c r="AD6" s="101">
        <v>8481</v>
      </c>
      <c r="AE6" s="101">
        <v>845</v>
      </c>
    </row>
    <row r="7" spans="1:31" ht="11.25" hidden="1" customHeight="1" x14ac:dyDescent="0.3">
      <c r="A7" s="126" t="s">
        <v>171</v>
      </c>
      <c r="B7" s="126">
        <v>1</v>
      </c>
      <c r="C7" s="126">
        <v>17</v>
      </c>
      <c r="D7" s="126" t="str">
        <f t="shared" ref="D7:D128" si="5">CONCATENATE(B7,C7)</f>
        <v>117</v>
      </c>
      <c r="E7" s="101">
        <v>3258</v>
      </c>
      <c r="F7" s="101">
        <v>5434</v>
      </c>
      <c r="G7" s="101">
        <v>7282</v>
      </c>
      <c r="H7" s="101">
        <v>219293.93000000005</v>
      </c>
      <c r="I7" s="101">
        <v>41943.22</v>
      </c>
      <c r="J7" s="101">
        <v>3834</v>
      </c>
      <c r="K7" s="101">
        <v>5041</v>
      </c>
      <c r="L7" s="101">
        <v>6305</v>
      </c>
      <c r="M7" s="101">
        <v>305343</v>
      </c>
      <c r="N7" s="101">
        <v>61379</v>
      </c>
      <c r="O7" s="101">
        <v>1192</v>
      </c>
      <c r="P7" s="101">
        <v>1949</v>
      </c>
      <c r="Q7" s="101">
        <v>3015</v>
      </c>
      <c r="R7" s="101">
        <v>92027.029999999984</v>
      </c>
      <c r="S7" s="101">
        <v>13994.966999999999</v>
      </c>
      <c r="T7" s="169">
        <v>1.02</v>
      </c>
      <c r="U7" s="101">
        <v>1058</v>
      </c>
      <c r="V7" s="101">
        <v>2080</v>
      </c>
      <c r="W7" s="101">
        <v>2992</v>
      </c>
      <c r="X7" s="144">
        <f t="shared" si="3"/>
        <v>93867.570599999992</v>
      </c>
      <c r="Y7" s="101">
        <v>15000</v>
      </c>
      <c r="AA7" s="101">
        <v>1511</v>
      </c>
      <c r="AB7" s="101">
        <v>2346</v>
      </c>
      <c r="AC7" s="101">
        <v>3391</v>
      </c>
      <c r="AD7" s="101">
        <v>106939</v>
      </c>
      <c r="AE7" s="101">
        <v>18133</v>
      </c>
    </row>
    <row r="8" spans="1:31" ht="11.25" hidden="1" customHeight="1" x14ac:dyDescent="0.3">
      <c r="A8" s="126" t="s">
        <v>171</v>
      </c>
      <c r="B8" s="126">
        <v>1</v>
      </c>
      <c r="C8" s="126">
        <v>18</v>
      </c>
      <c r="D8" s="126" t="str">
        <f t="shared" si="5"/>
        <v>118</v>
      </c>
      <c r="E8" s="101">
        <v>277</v>
      </c>
      <c r="F8" s="101">
        <v>473</v>
      </c>
      <c r="G8" s="101">
        <v>646</v>
      </c>
      <c r="H8" s="101">
        <v>19077.04</v>
      </c>
      <c r="I8" s="101">
        <v>3349.71</v>
      </c>
      <c r="J8" s="101">
        <v>450</v>
      </c>
      <c r="K8" s="101">
        <v>606</v>
      </c>
      <c r="L8" s="101">
        <v>798</v>
      </c>
      <c r="M8" s="101">
        <v>40423</v>
      </c>
      <c r="N8" s="101">
        <v>6242</v>
      </c>
      <c r="O8" s="101">
        <v>3878</v>
      </c>
      <c r="P8" s="101">
        <v>4052</v>
      </c>
      <c r="Q8" s="101">
        <v>4501</v>
      </c>
      <c r="R8" s="101">
        <v>193644.31999999998</v>
      </c>
      <c r="S8" s="101">
        <v>41094.858999999997</v>
      </c>
      <c r="T8" s="169">
        <v>1.02</v>
      </c>
      <c r="U8" s="101">
        <f>O8*T8</f>
        <v>3955.56</v>
      </c>
      <c r="V8" s="101">
        <f t="shared" si="1"/>
        <v>4133.04</v>
      </c>
      <c r="W8" s="101">
        <f t="shared" si="2"/>
        <v>4591.0200000000004</v>
      </c>
      <c r="X8" s="101">
        <f t="shared" si="3"/>
        <v>197517.20639999997</v>
      </c>
      <c r="Y8" s="101">
        <f t="shared" si="4"/>
        <v>41916.756179999997</v>
      </c>
      <c r="AA8" s="101">
        <v>2931</v>
      </c>
      <c r="AB8" s="101">
        <v>3189</v>
      </c>
      <c r="AC8" s="101">
        <v>3446</v>
      </c>
      <c r="AD8" s="101">
        <v>177711</v>
      </c>
      <c r="AE8" s="101">
        <v>44310</v>
      </c>
    </row>
    <row r="9" spans="1:31" ht="11.25" hidden="1" customHeight="1" x14ac:dyDescent="0.3">
      <c r="A9" s="126" t="s">
        <v>171</v>
      </c>
      <c r="B9" s="126">
        <v>1</v>
      </c>
      <c r="C9" s="126">
        <v>28</v>
      </c>
      <c r="D9" s="126" t="str">
        <f t="shared" si="5"/>
        <v>128</v>
      </c>
      <c r="E9" s="101">
        <v>304</v>
      </c>
      <c r="F9" s="101">
        <v>4020</v>
      </c>
      <c r="G9" s="101">
        <v>47776</v>
      </c>
      <c r="H9" s="101">
        <v>1225177.8</v>
      </c>
      <c r="I9" s="101">
        <v>259277.185</v>
      </c>
      <c r="J9" s="101">
        <v>256</v>
      </c>
      <c r="K9" s="101">
        <v>3618</v>
      </c>
      <c r="L9" s="101">
        <v>23666</v>
      </c>
      <c r="M9" s="101">
        <v>535353</v>
      </c>
      <c r="N9" s="101">
        <v>155060</v>
      </c>
      <c r="O9" s="101">
        <v>471</v>
      </c>
      <c r="P9" s="101">
        <v>2522</v>
      </c>
      <c r="Q9" s="101">
        <v>18944</v>
      </c>
      <c r="R9" s="101">
        <v>534250.29</v>
      </c>
      <c r="S9" s="101">
        <v>107645.00200000001</v>
      </c>
      <c r="T9" s="169">
        <v>1.02</v>
      </c>
      <c r="U9" s="101">
        <f t="shared" si="0"/>
        <v>480.42</v>
      </c>
      <c r="V9" s="101">
        <f t="shared" si="1"/>
        <v>2572.44</v>
      </c>
      <c r="W9" s="101">
        <f t="shared" si="2"/>
        <v>19322.88</v>
      </c>
      <c r="X9" s="101">
        <f t="shared" si="3"/>
        <v>544935.29580000008</v>
      </c>
      <c r="Y9" s="101">
        <f t="shared" si="4"/>
        <v>109797.90204000002</v>
      </c>
      <c r="AA9" s="101">
        <v>328</v>
      </c>
      <c r="AB9" s="101">
        <v>2537</v>
      </c>
      <c r="AC9" s="101">
        <v>11644</v>
      </c>
      <c r="AD9" s="101">
        <v>304248</v>
      </c>
      <c r="AE9" s="101">
        <v>69302</v>
      </c>
    </row>
    <row r="10" spans="1:31" ht="11.25" hidden="1" customHeight="1" x14ac:dyDescent="0.3">
      <c r="A10" s="126" t="s">
        <v>171</v>
      </c>
      <c r="B10" s="126">
        <v>1</v>
      </c>
      <c r="C10" s="126">
        <v>43</v>
      </c>
      <c r="D10" s="126" t="str">
        <f t="shared" si="5"/>
        <v>143</v>
      </c>
      <c r="E10" s="101">
        <v>0</v>
      </c>
      <c r="F10" s="101">
        <v>0</v>
      </c>
      <c r="G10" s="101">
        <v>0</v>
      </c>
      <c r="H10" s="101">
        <v>0</v>
      </c>
      <c r="I10" s="101">
        <v>0</v>
      </c>
      <c r="J10" s="101">
        <v>0</v>
      </c>
      <c r="K10" s="101">
        <v>0</v>
      </c>
      <c r="L10" s="101">
        <v>0</v>
      </c>
      <c r="M10" s="101">
        <v>0</v>
      </c>
      <c r="N10" s="101">
        <v>0</v>
      </c>
      <c r="O10" s="101">
        <v>0</v>
      </c>
      <c r="P10" s="101">
        <v>0</v>
      </c>
      <c r="Q10" s="101">
        <v>0</v>
      </c>
      <c r="R10" s="101">
        <v>0</v>
      </c>
      <c r="S10" s="101">
        <v>0</v>
      </c>
      <c r="T10" s="169">
        <v>1.02</v>
      </c>
      <c r="U10" s="101">
        <f t="shared" si="0"/>
        <v>0</v>
      </c>
      <c r="V10" s="101">
        <f t="shared" si="1"/>
        <v>0</v>
      </c>
      <c r="W10" s="101">
        <f t="shared" si="2"/>
        <v>0</v>
      </c>
      <c r="X10" s="101">
        <f t="shared" si="3"/>
        <v>0</v>
      </c>
      <c r="Y10" s="101">
        <f t="shared" si="4"/>
        <v>0</v>
      </c>
      <c r="AA10" s="101">
        <v>0</v>
      </c>
      <c r="AB10" s="101">
        <v>0</v>
      </c>
      <c r="AC10" s="101">
        <v>0</v>
      </c>
      <c r="AD10" s="101">
        <v>0</v>
      </c>
      <c r="AE10" s="101">
        <v>0</v>
      </c>
    </row>
    <row r="11" spans="1:31" s="135" customFormat="1" ht="11.25" hidden="1" customHeight="1" x14ac:dyDescent="0.3">
      <c r="A11" s="126" t="s">
        <v>171</v>
      </c>
      <c r="B11" s="126">
        <v>1</v>
      </c>
      <c r="C11" s="126">
        <v>44</v>
      </c>
      <c r="D11" s="126" t="str">
        <f t="shared" si="5"/>
        <v>144</v>
      </c>
      <c r="E11" s="134"/>
      <c r="F11" s="134">
        <v>0</v>
      </c>
      <c r="G11" s="134">
        <v>0</v>
      </c>
      <c r="H11" s="134"/>
      <c r="I11" s="134"/>
      <c r="J11" s="101">
        <v>1</v>
      </c>
      <c r="K11" s="101">
        <v>2</v>
      </c>
      <c r="L11" s="101">
        <v>100</v>
      </c>
      <c r="M11" s="101">
        <v>0</v>
      </c>
      <c r="N11" s="101">
        <v>3</v>
      </c>
      <c r="O11" s="101">
        <v>0</v>
      </c>
      <c r="P11" s="101">
        <v>0</v>
      </c>
      <c r="Q11" s="101">
        <v>0</v>
      </c>
      <c r="R11" s="101">
        <v>0</v>
      </c>
      <c r="S11" s="101">
        <v>0</v>
      </c>
      <c r="T11" s="169">
        <v>1.02</v>
      </c>
      <c r="U11" s="101">
        <f t="shared" si="0"/>
        <v>0</v>
      </c>
      <c r="V11" s="101">
        <f t="shared" si="1"/>
        <v>0</v>
      </c>
      <c r="W11" s="101">
        <f t="shared" si="2"/>
        <v>0</v>
      </c>
      <c r="X11" s="101">
        <f t="shared" si="3"/>
        <v>0</v>
      </c>
      <c r="Y11" s="101">
        <f t="shared" si="4"/>
        <v>0</v>
      </c>
      <c r="AA11" s="101">
        <v>0</v>
      </c>
      <c r="AB11" s="101">
        <v>0</v>
      </c>
      <c r="AC11" s="101">
        <v>0</v>
      </c>
      <c r="AD11" s="101">
        <v>0</v>
      </c>
      <c r="AE11" s="101">
        <v>0</v>
      </c>
    </row>
    <row r="12" spans="1:31" s="135" customFormat="1" ht="11.25" hidden="1" customHeight="1" x14ac:dyDescent="0.3">
      <c r="A12" s="126" t="s">
        <v>171</v>
      </c>
      <c r="B12" s="126">
        <v>1</v>
      </c>
      <c r="C12" s="126">
        <v>45</v>
      </c>
      <c r="D12" s="126" t="str">
        <f t="shared" si="5"/>
        <v>145</v>
      </c>
      <c r="E12" s="134"/>
      <c r="F12" s="134">
        <v>0</v>
      </c>
      <c r="G12" s="134">
        <v>0</v>
      </c>
      <c r="H12" s="134"/>
      <c r="I12" s="134"/>
      <c r="J12" s="101">
        <v>1</v>
      </c>
      <c r="K12" s="101">
        <v>2</v>
      </c>
      <c r="L12" s="101">
        <v>160</v>
      </c>
      <c r="M12" s="101">
        <v>0</v>
      </c>
      <c r="N12" s="101">
        <v>416</v>
      </c>
      <c r="O12" s="101">
        <v>0</v>
      </c>
      <c r="P12" s="101">
        <v>0</v>
      </c>
      <c r="Q12" s="101">
        <v>0</v>
      </c>
      <c r="R12" s="101">
        <v>0</v>
      </c>
      <c r="S12" s="101">
        <v>0</v>
      </c>
      <c r="T12" s="169">
        <v>1.02</v>
      </c>
      <c r="U12" s="101">
        <f t="shared" si="0"/>
        <v>0</v>
      </c>
      <c r="V12" s="101">
        <f t="shared" si="1"/>
        <v>0</v>
      </c>
      <c r="W12" s="101">
        <f t="shared" si="2"/>
        <v>0</v>
      </c>
      <c r="X12" s="101">
        <f t="shared" si="3"/>
        <v>0</v>
      </c>
      <c r="Y12" s="101">
        <f t="shared" si="4"/>
        <v>0</v>
      </c>
      <c r="AA12" s="101">
        <v>0</v>
      </c>
      <c r="AB12" s="101">
        <v>0</v>
      </c>
      <c r="AC12" s="101">
        <v>0</v>
      </c>
      <c r="AD12" s="101">
        <v>0</v>
      </c>
      <c r="AE12" s="101">
        <v>0</v>
      </c>
    </row>
    <row r="13" spans="1:31" ht="11.25" hidden="1" customHeight="1" x14ac:dyDescent="0.3">
      <c r="A13" s="126" t="s">
        <v>171</v>
      </c>
      <c r="B13" s="126">
        <v>1</v>
      </c>
      <c r="C13" s="126">
        <v>46</v>
      </c>
      <c r="D13" s="126" t="str">
        <f t="shared" si="5"/>
        <v>146</v>
      </c>
      <c r="E13" s="101">
        <v>246</v>
      </c>
      <c r="F13" s="101">
        <v>573</v>
      </c>
      <c r="G13" s="101">
        <v>18114.995999999999</v>
      </c>
      <c r="H13" s="101">
        <v>217934.44</v>
      </c>
      <c r="I13" s="101">
        <v>78017.284000000014</v>
      </c>
      <c r="J13" s="101">
        <v>422</v>
      </c>
      <c r="K13" s="101">
        <v>944</v>
      </c>
      <c r="L13" s="101">
        <v>15615</v>
      </c>
      <c r="M13" s="101">
        <v>338131</v>
      </c>
      <c r="N13" s="101">
        <v>97095</v>
      </c>
      <c r="O13" s="101">
        <v>245</v>
      </c>
      <c r="P13" s="101">
        <v>640</v>
      </c>
      <c r="Q13" s="101">
        <v>21078</v>
      </c>
      <c r="R13" s="101">
        <v>379770.71</v>
      </c>
      <c r="S13" s="101">
        <v>137183.93399999998</v>
      </c>
      <c r="T13" s="169">
        <v>1.02</v>
      </c>
      <c r="U13" s="101">
        <f t="shared" si="0"/>
        <v>249.9</v>
      </c>
      <c r="V13" s="101">
        <f t="shared" si="1"/>
        <v>652.79999999999995</v>
      </c>
      <c r="W13" s="101">
        <f t="shared" si="2"/>
        <v>21499.56</v>
      </c>
      <c r="X13" s="101">
        <f t="shared" si="3"/>
        <v>387366.12420000002</v>
      </c>
      <c r="Y13" s="101">
        <f t="shared" si="4"/>
        <v>139927.61267999999</v>
      </c>
      <c r="AA13" s="101">
        <v>224</v>
      </c>
      <c r="AB13" s="101">
        <v>482</v>
      </c>
      <c r="AC13" s="101">
        <v>10485</v>
      </c>
      <c r="AD13" s="101">
        <v>192711</v>
      </c>
      <c r="AE13" s="101">
        <v>46348</v>
      </c>
    </row>
    <row r="14" spans="1:31" s="126" customFormat="1" ht="11.25" hidden="1" customHeight="1" x14ac:dyDescent="0.3">
      <c r="A14" s="126" t="s">
        <v>171</v>
      </c>
      <c r="B14" s="126">
        <v>1</v>
      </c>
      <c r="C14" s="126">
        <v>47</v>
      </c>
      <c r="D14" s="126" t="str">
        <f t="shared" si="5"/>
        <v>147</v>
      </c>
      <c r="E14" s="127"/>
      <c r="F14" s="127">
        <v>0</v>
      </c>
      <c r="G14" s="127">
        <v>0</v>
      </c>
      <c r="H14" s="127"/>
      <c r="I14" s="127"/>
      <c r="J14" s="101">
        <v>1</v>
      </c>
      <c r="K14" s="101">
        <v>1</v>
      </c>
      <c r="L14" s="101">
        <v>1500</v>
      </c>
      <c r="M14" s="101">
        <v>5850</v>
      </c>
      <c r="N14" s="101">
        <v>481</v>
      </c>
      <c r="O14" s="101">
        <v>0</v>
      </c>
      <c r="P14" s="101">
        <v>0</v>
      </c>
      <c r="Q14" s="101">
        <v>0</v>
      </c>
      <c r="R14" s="101">
        <v>0</v>
      </c>
      <c r="S14" s="101">
        <v>0</v>
      </c>
      <c r="T14" s="169">
        <v>1.02</v>
      </c>
      <c r="U14" s="101">
        <f t="shared" si="0"/>
        <v>0</v>
      </c>
      <c r="V14" s="101">
        <f t="shared" si="1"/>
        <v>0</v>
      </c>
      <c r="W14" s="101">
        <f t="shared" si="2"/>
        <v>0</v>
      </c>
      <c r="X14" s="101">
        <f t="shared" si="3"/>
        <v>0</v>
      </c>
      <c r="Y14" s="101">
        <f t="shared" si="4"/>
        <v>0</v>
      </c>
      <c r="AA14" s="101">
        <v>5</v>
      </c>
      <c r="AB14" s="101">
        <v>23</v>
      </c>
      <c r="AC14" s="101">
        <v>1040</v>
      </c>
      <c r="AD14" s="101">
        <v>35326</v>
      </c>
      <c r="AE14" s="101">
        <v>6116</v>
      </c>
    </row>
    <row r="15" spans="1:31" s="126" customFormat="1" ht="11.25" hidden="1" customHeight="1" x14ac:dyDescent="0.3">
      <c r="A15" s="126" t="s">
        <v>171</v>
      </c>
      <c r="B15" s="126">
        <v>1</v>
      </c>
      <c r="C15" s="126">
        <v>48</v>
      </c>
      <c r="D15" s="126" t="str">
        <f t="shared" si="5"/>
        <v>148</v>
      </c>
      <c r="E15" s="127">
        <v>0</v>
      </c>
      <c r="F15" s="127">
        <v>0</v>
      </c>
      <c r="G15" s="127">
        <v>0</v>
      </c>
      <c r="H15" s="127">
        <v>0</v>
      </c>
      <c r="I15" s="127">
        <v>0</v>
      </c>
      <c r="J15" s="101">
        <v>0</v>
      </c>
      <c r="K15" s="101">
        <v>0</v>
      </c>
      <c r="L15" s="101">
        <v>0</v>
      </c>
      <c r="M15" s="101">
        <v>0</v>
      </c>
      <c r="N15" s="101">
        <v>0</v>
      </c>
      <c r="O15" s="101">
        <v>0</v>
      </c>
      <c r="P15" s="101">
        <v>0</v>
      </c>
      <c r="Q15" s="101">
        <v>0</v>
      </c>
      <c r="R15" s="101">
        <v>0</v>
      </c>
      <c r="S15" s="101">
        <v>0</v>
      </c>
      <c r="T15" s="169">
        <v>1.02</v>
      </c>
      <c r="U15" s="101">
        <f t="shared" si="0"/>
        <v>0</v>
      </c>
      <c r="V15" s="101">
        <f t="shared" si="1"/>
        <v>0</v>
      </c>
      <c r="W15" s="101">
        <f t="shared" si="2"/>
        <v>0</v>
      </c>
      <c r="X15" s="101">
        <f t="shared" si="3"/>
        <v>0</v>
      </c>
      <c r="Y15" s="101">
        <f t="shared" si="4"/>
        <v>0</v>
      </c>
      <c r="AA15" s="101">
        <v>0</v>
      </c>
      <c r="AB15" s="101">
        <v>0</v>
      </c>
      <c r="AC15" s="101">
        <v>0</v>
      </c>
      <c r="AD15" s="101">
        <v>0</v>
      </c>
      <c r="AE15" s="101">
        <v>0</v>
      </c>
    </row>
    <row r="16" spans="1:31" ht="11.25" hidden="1" customHeight="1" x14ac:dyDescent="0.3">
      <c r="A16" s="126" t="s">
        <v>171</v>
      </c>
      <c r="B16" s="126">
        <v>1</v>
      </c>
      <c r="C16" s="126">
        <v>66</v>
      </c>
      <c r="D16" s="126" t="str">
        <f t="shared" si="5"/>
        <v>166</v>
      </c>
      <c r="E16" s="101">
        <v>474</v>
      </c>
      <c r="F16" s="101">
        <v>2017</v>
      </c>
      <c r="G16" s="101">
        <v>28587</v>
      </c>
      <c r="H16" s="101">
        <v>158381.01999999999</v>
      </c>
      <c r="I16" s="101">
        <v>95553.65800000001</v>
      </c>
      <c r="J16" s="101">
        <v>234</v>
      </c>
      <c r="K16" s="101">
        <v>1211</v>
      </c>
      <c r="L16" s="101">
        <v>13047</v>
      </c>
      <c r="M16" s="101">
        <v>108317</v>
      </c>
      <c r="N16" s="101">
        <v>48173</v>
      </c>
      <c r="O16" s="101">
        <v>285</v>
      </c>
      <c r="P16" s="101">
        <v>2957</v>
      </c>
      <c r="Q16" s="101">
        <v>44129</v>
      </c>
      <c r="R16" s="101">
        <v>279865.35000000003</v>
      </c>
      <c r="S16" s="101">
        <v>150163.85999999999</v>
      </c>
      <c r="T16" s="169">
        <v>1.02</v>
      </c>
      <c r="U16" s="101">
        <f t="shared" si="0"/>
        <v>290.7</v>
      </c>
      <c r="V16" s="101">
        <f t="shared" si="1"/>
        <v>3016.14</v>
      </c>
      <c r="W16" s="101">
        <f t="shared" si="2"/>
        <v>45011.58</v>
      </c>
      <c r="X16" s="101">
        <f t="shared" si="3"/>
        <v>285462.65700000006</v>
      </c>
      <c r="Y16" s="101">
        <f t="shared" si="4"/>
        <v>153167.1372</v>
      </c>
      <c r="AA16" s="101">
        <v>222</v>
      </c>
      <c r="AB16" s="101">
        <v>2103</v>
      </c>
      <c r="AC16" s="101">
        <v>40912</v>
      </c>
      <c r="AD16" s="101">
        <v>255080</v>
      </c>
      <c r="AE16" s="101">
        <v>125455</v>
      </c>
    </row>
    <row r="17" spans="1:31" ht="11.25" hidden="1" customHeight="1" x14ac:dyDescent="0.3">
      <c r="A17" s="126" t="s">
        <v>171</v>
      </c>
      <c r="B17" s="126">
        <v>1</v>
      </c>
      <c r="C17" s="126">
        <v>30</v>
      </c>
      <c r="D17" s="126" t="str">
        <f t="shared" si="5"/>
        <v>130</v>
      </c>
      <c r="E17" s="101">
        <v>271</v>
      </c>
      <c r="F17" s="101">
        <v>4693</v>
      </c>
      <c r="G17" s="101">
        <v>20291</v>
      </c>
      <c r="H17" s="101">
        <v>478684.06499999994</v>
      </c>
      <c r="I17" s="101">
        <v>198370.89649999997</v>
      </c>
      <c r="J17" s="101">
        <v>330</v>
      </c>
      <c r="K17" s="101">
        <v>4991</v>
      </c>
      <c r="L17" s="101">
        <v>14895</v>
      </c>
      <c r="M17" s="101">
        <v>320570</v>
      </c>
      <c r="N17" s="101">
        <v>98305</v>
      </c>
      <c r="O17" s="101">
        <v>235</v>
      </c>
      <c r="P17" s="101">
        <v>6842</v>
      </c>
      <c r="Q17" s="101">
        <v>20348</v>
      </c>
      <c r="R17" s="101">
        <v>551125.81000000006</v>
      </c>
      <c r="S17" s="101">
        <v>195429.693</v>
      </c>
      <c r="T17" s="169">
        <v>1.02</v>
      </c>
      <c r="U17" s="101">
        <f t="shared" si="0"/>
        <v>239.70000000000002</v>
      </c>
      <c r="V17" s="101">
        <f t="shared" si="1"/>
        <v>6978.84</v>
      </c>
      <c r="W17" s="101">
        <f t="shared" si="2"/>
        <v>20754.96</v>
      </c>
      <c r="X17" s="101">
        <f t="shared" si="3"/>
        <v>562148.32620000001</v>
      </c>
      <c r="Y17" s="101">
        <f t="shared" si="4"/>
        <v>199338.28685999999</v>
      </c>
      <c r="AA17" s="101">
        <v>50</v>
      </c>
      <c r="AB17" s="101">
        <v>84</v>
      </c>
      <c r="AC17" s="101">
        <v>1684</v>
      </c>
      <c r="AD17" s="101">
        <v>78538</v>
      </c>
      <c r="AE17" s="101">
        <v>32798</v>
      </c>
    </row>
    <row r="18" spans="1:31" ht="11.25" hidden="1" customHeight="1" x14ac:dyDescent="0.3">
      <c r="A18" s="126" t="s">
        <v>171</v>
      </c>
      <c r="B18" s="126">
        <v>1</v>
      </c>
      <c r="C18" s="126">
        <v>21</v>
      </c>
      <c r="D18" s="126" t="str">
        <f t="shared" si="5"/>
        <v>121</v>
      </c>
      <c r="E18" s="101">
        <v>892</v>
      </c>
      <c r="F18" s="101">
        <v>4915.5</v>
      </c>
      <c r="G18" s="101">
        <v>20916</v>
      </c>
      <c r="H18" s="101">
        <v>354441.55000000005</v>
      </c>
      <c r="I18" s="101">
        <v>105852.73800000001</v>
      </c>
      <c r="J18" s="101">
        <v>842</v>
      </c>
      <c r="K18" s="101">
        <v>3829</v>
      </c>
      <c r="L18" s="101">
        <v>21432</v>
      </c>
      <c r="M18" s="101">
        <v>474311</v>
      </c>
      <c r="N18" s="101">
        <v>93275</v>
      </c>
      <c r="O18" s="101">
        <v>612</v>
      </c>
      <c r="P18" s="101">
        <v>4285</v>
      </c>
      <c r="Q18" s="101">
        <v>27362</v>
      </c>
      <c r="R18" s="101">
        <v>316209.41000000003</v>
      </c>
      <c r="S18" s="101">
        <v>96683.162000000011</v>
      </c>
      <c r="T18" s="169">
        <v>1.02</v>
      </c>
      <c r="U18" s="101">
        <f t="shared" si="0"/>
        <v>624.24</v>
      </c>
      <c r="V18" s="101">
        <f t="shared" si="1"/>
        <v>4370.7</v>
      </c>
      <c r="W18" s="101">
        <f t="shared" si="2"/>
        <v>27909.24</v>
      </c>
      <c r="X18" s="101">
        <f t="shared" si="3"/>
        <v>322533.59820000007</v>
      </c>
      <c r="Y18" s="101">
        <f t="shared" si="4"/>
        <v>98616.82524000002</v>
      </c>
      <c r="AA18" s="101">
        <v>640</v>
      </c>
      <c r="AB18" s="101">
        <v>6566</v>
      </c>
      <c r="AC18" s="101">
        <v>45099</v>
      </c>
      <c r="AD18" s="101">
        <v>387239</v>
      </c>
      <c r="AE18" s="101">
        <v>104189</v>
      </c>
    </row>
    <row r="19" spans="1:31" s="174" customFormat="1" ht="11.25" hidden="1" customHeight="1" x14ac:dyDescent="0.3">
      <c r="A19" s="126" t="s">
        <v>171</v>
      </c>
      <c r="B19" s="126">
        <v>1</v>
      </c>
      <c r="C19" s="126">
        <v>22</v>
      </c>
      <c r="D19" s="126" t="str">
        <f t="shared" si="5"/>
        <v>122</v>
      </c>
      <c r="E19" s="173">
        <v>0</v>
      </c>
      <c r="F19" s="134">
        <v>0</v>
      </c>
      <c r="G19" s="173">
        <v>0</v>
      </c>
      <c r="H19" s="173">
        <v>0</v>
      </c>
      <c r="I19" s="173">
        <v>0</v>
      </c>
      <c r="J19" s="101">
        <v>5</v>
      </c>
      <c r="K19" s="101">
        <v>5</v>
      </c>
      <c r="L19" s="101">
        <v>25</v>
      </c>
      <c r="M19" s="101">
        <v>753</v>
      </c>
      <c r="N19" s="101">
        <v>562</v>
      </c>
      <c r="O19" s="101">
        <v>10</v>
      </c>
      <c r="P19" s="101">
        <v>11</v>
      </c>
      <c r="Q19" s="101">
        <v>71</v>
      </c>
      <c r="R19" s="101">
        <v>219.64000000000004</v>
      </c>
      <c r="S19" s="101">
        <v>213.74099999999999</v>
      </c>
      <c r="T19" s="169">
        <v>1.02</v>
      </c>
      <c r="U19" s="101">
        <f t="shared" si="0"/>
        <v>10.199999999999999</v>
      </c>
      <c r="V19" s="101">
        <f t="shared" si="1"/>
        <v>11.22</v>
      </c>
      <c r="W19" s="101">
        <f t="shared" si="2"/>
        <v>72.42</v>
      </c>
      <c r="X19" s="101">
        <f t="shared" si="3"/>
        <v>224.03280000000004</v>
      </c>
      <c r="Y19" s="101">
        <f t="shared" si="4"/>
        <v>218.01581999999999</v>
      </c>
      <c r="AA19" s="101">
        <v>9</v>
      </c>
      <c r="AB19" s="101">
        <v>9</v>
      </c>
      <c r="AC19" s="101">
        <v>63</v>
      </c>
      <c r="AD19" s="101">
        <v>809</v>
      </c>
      <c r="AE19" s="101">
        <v>545</v>
      </c>
    </row>
    <row r="20" spans="1:31" ht="11.25" hidden="1" customHeight="1" x14ac:dyDescent="0.3">
      <c r="A20" s="126" t="s">
        <v>171</v>
      </c>
      <c r="B20" s="126">
        <v>1</v>
      </c>
      <c r="C20" s="126">
        <v>71</v>
      </c>
      <c r="D20" s="126" t="str">
        <f t="shared" si="5"/>
        <v>171</v>
      </c>
      <c r="E20" s="101">
        <v>684</v>
      </c>
      <c r="F20" s="101">
        <v>5722.5</v>
      </c>
      <c r="G20" s="101">
        <v>14181.5</v>
      </c>
      <c r="H20" s="101">
        <v>83757.39499999999</v>
      </c>
      <c r="I20" s="101">
        <v>38684.986999999994</v>
      </c>
      <c r="J20" s="101">
        <v>370</v>
      </c>
      <c r="K20" s="101">
        <v>3926</v>
      </c>
      <c r="L20" s="101">
        <v>14264</v>
      </c>
      <c r="M20" s="101">
        <v>121727</v>
      </c>
      <c r="N20" s="101">
        <v>56844</v>
      </c>
      <c r="O20" s="101">
        <v>437</v>
      </c>
      <c r="P20" s="101">
        <v>7857</v>
      </c>
      <c r="Q20" s="101">
        <v>21313</v>
      </c>
      <c r="R20" s="101">
        <v>219083.82</v>
      </c>
      <c r="S20" s="101">
        <v>90564.269</v>
      </c>
      <c r="T20" s="169">
        <v>0.98</v>
      </c>
      <c r="U20" s="101">
        <f t="shared" si="0"/>
        <v>428.26</v>
      </c>
      <c r="V20" s="101">
        <f t="shared" si="1"/>
        <v>7699.86</v>
      </c>
      <c r="W20" s="101">
        <v>21952.39</v>
      </c>
      <c r="X20" s="101">
        <f t="shared" si="3"/>
        <v>214702.14360000001</v>
      </c>
      <c r="Y20" s="101">
        <f t="shared" si="4"/>
        <v>88752.983619999999</v>
      </c>
      <c r="AA20" s="101">
        <v>285</v>
      </c>
      <c r="AB20" s="101">
        <v>16051</v>
      </c>
      <c r="AC20" s="101">
        <v>49109</v>
      </c>
      <c r="AD20" s="101">
        <v>357684</v>
      </c>
      <c r="AE20" s="101">
        <v>194901</v>
      </c>
    </row>
    <row r="21" spans="1:31" ht="11.25" hidden="1" customHeight="1" x14ac:dyDescent="0.3">
      <c r="A21" s="126" t="s">
        <v>171</v>
      </c>
      <c r="B21" s="126">
        <v>1</v>
      </c>
      <c r="C21" s="126">
        <v>25</v>
      </c>
      <c r="D21" s="126" t="str">
        <f t="shared" si="5"/>
        <v>125</v>
      </c>
      <c r="E21" s="101">
        <v>288</v>
      </c>
      <c r="F21" s="101">
        <v>3539</v>
      </c>
      <c r="G21" s="101">
        <v>18491</v>
      </c>
      <c r="H21" s="101">
        <v>163833.82</v>
      </c>
      <c r="I21" s="101">
        <v>71208.073999999993</v>
      </c>
      <c r="J21" s="101">
        <v>505</v>
      </c>
      <c r="K21" s="101">
        <v>4651</v>
      </c>
      <c r="L21" s="101">
        <v>26396</v>
      </c>
      <c r="M21" s="101">
        <v>198927</v>
      </c>
      <c r="N21" s="101">
        <v>90683</v>
      </c>
      <c r="O21" s="101">
        <v>603</v>
      </c>
      <c r="P21" s="101">
        <v>8366</v>
      </c>
      <c r="Q21" s="101">
        <v>52671</v>
      </c>
      <c r="R21" s="101">
        <v>455512.66000000003</v>
      </c>
      <c r="S21" s="101">
        <v>281880.67599999998</v>
      </c>
      <c r="T21" s="169">
        <v>1.02</v>
      </c>
      <c r="U21" s="101">
        <f t="shared" si="0"/>
        <v>615.06000000000006</v>
      </c>
      <c r="V21" s="101">
        <f t="shared" si="1"/>
        <v>8533.32</v>
      </c>
      <c r="W21" s="101">
        <f t="shared" si="2"/>
        <v>53724.42</v>
      </c>
      <c r="X21" s="101">
        <f t="shared" si="3"/>
        <v>464622.91320000007</v>
      </c>
      <c r="Y21" s="101">
        <f t="shared" si="4"/>
        <v>287518.28951999999</v>
      </c>
      <c r="AA21" s="101">
        <v>717</v>
      </c>
      <c r="AB21" s="101">
        <v>11574</v>
      </c>
      <c r="AC21" s="101">
        <v>63341</v>
      </c>
      <c r="AD21" s="101">
        <v>444277</v>
      </c>
      <c r="AE21" s="101">
        <v>215123</v>
      </c>
    </row>
    <row r="22" spans="1:31" ht="11.25" hidden="1" customHeight="1" x14ac:dyDescent="0.3">
      <c r="A22" s="126" t="s">
        <v>171</v>
      </c>
      <c r="B22" s="126">
        <v>1</v>
      </c>
      <c r="C22" s="126">
        <v>27</v>
      </c>
      <c r="D22" s="126" t="str">
        <f t="shared" si="5"/>
        <v>127</v>
      </c>
      <c r="E22" s="101">
        <v>99</v>
      </c>
      <c r="F22" s="101">
        <v>3417</v>
      </c>
      <c r="G22" s="101">
        <v>11781</v>
      </c>
      <c r="H22" s="101">
        <v>127571.44</v>
      </c>
      <c r="I22" s="101">
        <v>40249.292000000001</v>
      </c>
      <c r="J22" s="101">
        <v>19</v>
      </c>
      <c r="K22" s="101">
        <v>668</v>
      </c>
      <c r="L22" s="101">
        <v>8404</v>
      </c>
      <c r="M22" s="101">
        <v>87677</v>
      </c>
      <c r="N22" s="101">
        <v>21060</v>
      </c>
      <c r="O22" s="101">
        <v>68</v>
      </c>
      <c r="P22" s="101">
        <v>4347</v>
      </c>
      <c r="Q22" s="101">
        <v>11666</v>
      </c>
      <c r="R22" s="101">
        <v>140146.25999999998</v>
      </c>
      <c r="S22" s="101">
        <v>51658.523000000001</v>
      </c>
      <c r="T22" s="169">
        <v>1.02</v>
      </c>
      <c r="U22" s="101">
        <f t="shared" si="0"/>
        <v>69.36</v>
      </c>
      <c r="V22" s="101">
        <f t="shared" si="1"/>
        <v>4433.9400000000005</v>
      </c>
      <c r="W22" s="101">
        <f t="shared" si="2"/>
        <v>11899.32</v>
      </c>
      <c r="X22" s="101">
        <f t="shared" si="3"/>
        <v>142949.18519999998</v>
      </c>
      <c r="Y22" s="101">
        <f t="shared" si="4"/>
        <v>52691.693460000002</v>
      </c>
      <c r="AA22" s="101">
        <v>67</v>
      </c>
      <c r="AB22" s="101">
        <v>5413</v>
      </c>
      <c r="AC22" s="101">
        <v>31017</v>
      </c>
      <c r="AD22" s="101">
        <v>275070</v>
      </c>
      <c r="AE22" s="101">
        <v>113773</v>
      </c>
    </row>
    <row r="23" spans="1:31" s="174" customFormat="1" ht="11.25" hidden="1" customHeight="1" x14ac:dyDescent="0.3">
      <c r="A23" s="126" t="s">
        <v>171</v>
      </c>
      <c r="B23" s="126">
        <v>1</v>
      </c>
      <c r="C23" s="126">
        <v>26</v>
      </c>
      <c r="D23" s="126" t="str">
        <f t="shared" si="5"/>
        <v>126</v>
      </c>
      <c r="E23" s="173">
        <v>0</v>
      </c>
      <c r="F23" s="134">
        <v>0</v>
      </c>
      <c r="G23" s="173">
        <v>0</v>
      </c>
      <c r="H23" s="173">
        <v>0</v>
      </c>
      <c r="I23" s="173">
        <v>0</v>
      </c>
      <c r="J23" s="101">
        <v>7</v>
      </c>
      <c r="K23" s="101">
        <v>10</v>
      </c>
      <c r="L23" s="101">
        <v>108</v>
      </c>
      <c r="M23" s="101">
        <v>3565</v>
      </c>
      <c r="N23" s="101">
        <v>1046</v>
      </c>
      <c r="O23" s="101">
        <v>9</v>
      </c>
      <c r="P23" s="101">
        <v>26</v>
      </c>
      <c r="Q23" s="101">
        <v>239</v>
      </c>
      <c r="R23" s="101">
        <v>7257.72</v>
      </c>
      <c r="S23" s="101">
        <v>4093.674</v>
      </c>
      <c r="T23" s="169">
        <v>1.02</v>
      </c>
      <c r="U23" s="101">
        <f t="shared" si="0"/>
        <v>9.18</v>
      </c>
      <c r="V23" s="101">
        <f t="shared" si="1"/>
        <v>26.52</v>
      </c>
      <c r="W23" s="101">
        <f t="shared" si="2"/>
        <v>243.78</v>
      </c>
      <c r="X23" s="101">
        <f t="shared" si="3"/>
        <v>7402.8744000000006</v>
      </c>
      <c r="Y23" s="101">
        <f t="shared" si="4"/>
        <v>4175.5474800000002</v>
      </c>
      <c r="AA23" s="101">
        <v>1</v>
      </c>
      <c r="AB23" s="101">
        <v>3</v>
      </c>
      <c r="AC23" s="101">
        <v>4</v>
      </c>
      <c r="AD23" s="101">
        <v>318</v>
      </c>
      <c r="AE23" s="101">
        <v>113</v>
      </c>
    </row>
    <row r="24" spans="1:31" s="135" customFormat="1" ht="11.25" hidden="1" customHeight="1" x14ac:dyDescent="0.3">
      <c r="A24" s="126" t="s">
        <v>171</v>
      </c>
      <c r="B24" s="126">
        <v>1</v>
      </c>
      <c r="C24" s="126">
        <v>32</v>
      </c>
      <c r="D24" s="126" t="str">
        <f t="shared" si="5"/>
        <v>132</v>
      </c>
      <c r="E24" s="134"/>
      <c r="F24" s="134">
        <v>0</v>
      </c>
      <c r="G24" s="134">
        <v>0</v>
      </c>
      <c r="H24" s="134"/>
      <c r="I24" s="134"/>
      <c r="J24" s="101">
        <v>12</v>
      </c>
      <c r="K24" s="101">
        <v>27</v>
      </c>
      <c r="L24" s="101">
        <v>1758</v>
      </c>
      <c r="M24" s="101">
        <v>22748</v>
      </c>
      <c r="N24" s="101">
        <v>43850</v>
      </c>
      <c r="O24" s="101">
        <v>15</v>
      </c>
      <c r="P24" s="101">
        <v>87</v>
      </c>
      <c r="Q24" s="101">
        <v>3681</v>
      </c>
      <c r="R24" s="101">
        <v>20647.719999999998</v>
      </c>
      <c r="S24" s="101">
        <v>81332.327000000005</v>
      </c>
      <c r="T24" s="169">
        <v>1.02</v>
      </c>
      <c r="U24" s="101">
        <f t="shared" si="0"/>
        <v>15.3</v>
      </c>
      <c r="V24" s="101">
        <f t="shared" si="1"/>
        <v>88.74</v>
      </c>
      <c r="W24" s="101">
        <f t="shared" si="2"/>
        <v>3754.62</v>
      </c>
      <c r="X24" s="101">
        <f t="shared" si="3"/>
        <v>21060.674399999996</v>
      </c>
      <c r="Y24" s="101">
        <f t="shared" si="4"/>
        <v>82958.973540000006</v>
      </c>
      <c r="AA24" s="101">
        <v>22</v>
      </c>
      <c r="AB24" s="101">
        <v>269</v>
      </c>
      <c r="AC24" s="101">
        <v>4327</v>
      </c>
      <c r="AD24" s="101">
        <v>60001</v>
      </c>
      <c r="AE24" s="101">
        <v>13735</v>
      </c>
    </row>
    <row r="25" spans="1:31" s="135" customFormat="1" ht="11.25" hidden="1" customHeight="1" x14ac:dyDescent="0.3">
      <c r="A25" s="126" t="s">
        <v>171</v>
      </c>
      <c r="B25" s="126">
        <v>1</v>
      </c>
      <c r="C25" s="126">
        <v>91</v>
      </c>
      <c r="D25" s="126" t="str">
        <f t="shared" si="5"/>
        <v>191</v>
      </c>
      <c r="E25" s="134"/>
      <c r="F25" s="134">
        <v>0</v>
      </c>
      <c r="G25" s="134">
        <v>0</v>
      </c>
      <c r="H25" s="134"/>
      <c r="I25" s="134"/>
      <c r="J25" s="101">
        <v>44</v>
      </c>
      <c r="K25" s="101">
        <v>105</v>
      </c>
      <c r="L25" s="101">
        <v>760</v>
      </c>
      <c r="M25" s="101">
        <v>3247</v>
      </c>
      <c r="N25" s="101">
        <v>3197</v>
      </c>
      <c r="O25" s="101">
        <v>16</v>
      </c>
      <c r="P25" s="101">
        <v>226</v>
      </c>
      <c r="Q25" s="101">
        <v>591</v>
      </c>
      <c r="R25" s="101">
        <v>3745.55</v>
      </c>
      <c r="S25" s="101">
        <v>2338.3670000000002</v>
      </c>
      <c r="T25" s="169">
        <v>1.02</v>
      </c>
      <c r="U25" s="101">
        <f t="shared" si="0"/>
        <v>16.32</v>
      </c>
      <c r="V25" s="101">
        <f t="shared" si="1"/>
        <v>230.52</v>
      </c>
      <c r="W25" s="101">
        <f t="shared" si="2"/>
        <v>602.82000000000005</v>
      </c>
      <c r="X25" s="101">
        <f t="shared" si="3"/>
        <v>3820.4610000000002</v>
      </c>
      <c r="Y25" s="101">
        <f t="shared" si="4"/>
        <v>2385.1343400000001</v>
      </c>
      <c r="AA25" s="101">
        <v>16</v>
      </c>
      <c r="AB25" s="101">
        <v>86</v>
      </c>
      <c r="AC25" s="101">
        <v>660</v>
      </c>
      <c r="AD25" s="101">
        <v>4131</v>
      </c>
      <c r="AE25" s="101">
        <v>1872</v>
      </c>
    </row>
    <row r="26" spans="1:31" s="135" customFormat="1" ht="11.25" customHeight="1" x14ac:dyDescent="0.3">
      <c r="A26" s="126" t="s">
        <v>171</v>
      </c>
      <c r="B26" s="126">
        <v>1</v>
      </c>
      <c r="C26" s="126" t="s">
        <v>172</v>
      </c>
      <c r="D26" s="126" t="str">
        <f t="shared" si="5"/>
        <v>1Uml</v>
      </c>
      <c r="E26" s="134"/>
      <c r="F26" s="134"/>
      <c r="G26" s="134"/>
      <c r="H26" s="134"/>
      <c r="I26" s="134"/>
      <c r="J26" s="101">
        <v>298</v>
      </c>
      <c r="K26" s="101">
        <v>298</v>
      </c>
      <c r="L26" s="101">
        <v>51119</v>
      </c>
      <c r="M26" s="101"/>
      <c r="N26" s="101">
        <v>279497</v>
      </c>
      <c r="O26" s="101">
        <v>244</v>
      </c>
      <c r="P26" s="101">
        <v>274</v>
      </c>
      <c r="Q26" s="101">
        <v>64257</v>
      </c>
      <c r="R26" s="101"/>
      <c r="S26" s="101">
        <v>192325</v>
      </c>
      <c r="T26" s="169">
        <v>1.02</v>
      </c>
      <c r="U26" s="101">
        <f t="shared" si="0"/>
        <v>248.88</v>
      </c>
      <c r="V26" s="101">
        <f t="shared" si="1"/>
        <v>279.48</v>
      </c>
      <c r="W26" s="101">
        <f t="shared" si="2"/>
        <v>65542.14</v>
      </c>
      <c r="X26" s="101">
        <f t="shared" si="3"/>
        <v>0</v>
      </c>
      <c r="Y26" s="101">
        <f t="shared" si="4"/>
        <v>196171.5</v>
      </c>
      <c r="AA26" s="101">
        <v>211</v>
      </c>
      <c r="AB26" s="101">
        <v>217</v>
      </c>
      <c r="AC26" s="101">
        <v>28778</v>
      </c>
      <c r="AD26" s="101"/>
      <c r="AE26" s="101">
        <v>123983</v>
      </c>
    </row>
    <row r="27" spans="1:31" ht="11.25" hidden="1" customHeight="1" x14ac:dyDescent="0.3">
      <c r="A27" s="126" t="s">
        <v>171</v>
      </c>
      <c r="B27" s="126">
        <v>1</v>
      </c>
      <c r="C27" s="126">
        <v>37</v>
      </c>
      <c r="D27" s="126" t="str">
        <f t="shared" si="5"/>
        <v>137</v>
      </c>
      <c r="E27" s="101">
        <v>6</v>
      </c>
      <c r="F27" s="101">
        <v>13.25</v>
      </c>
      <c r="G27" s="101">
        <v>0</v>
      </c>
      <c r="H27" s="101">
        <v>9562.74</v>
      </c>
      <c r="I27" s="101">
        <v>6574.5079999999998</v>
      </c>
      <c r="J27" s="101">
        <v>17</v>
      </c>
      <c r="K27" s="101">
        <v>77</v>
      </c>
      <c r="L27" s="101">
        <v>1055</v>
      </c>
      <c r="M27" s="101">
        <v>6156</v>
      </c>
      <c r="N27" s="101">
        <v>3212</v>
      </c>
      <c r="O27" s="101">
        <v>16</v>
      </c>
      <c r="P27" s="101">
        <v>42</v>
      </c>
      <c r="Q27" s="101">
        <v>543</v>
      </c>
      <c r="R27" s="101">
        <v>2570.13</v>
      </c>
      <c r="S27" s="101">
        <v>1956.5030000000002</v>
      </c>
      <c r="T27" s="169">
        <v>1.02</v>
      </c>
      <c r="U27" s="101">
        <f t="shared" si="0"/>
        <v>16.32</v>
      </c>
      <c r="V27" s="101">
        <f t="shared" si="1"/>
        <v>42.84</v>
      </c>
      <c r="W27" s="101">
        <f t="shared" si="2"/>
        <v>553.86</v>
      </c>
      <c r="X27" s="101">
        <f t="shared" si="3"/>
        <v>2621.5326</v>
      </c>
      <c r="Y27" s="101">
        <f t="shared" si="4"/>
        <v>1995.6330600000001</v>
      </c>
      <c r="AA27" s="101">
        <v>17</v>
      </c>
      <c r="AB27" s="101">
        <v>97</v>
      </c>
      <c r="AC27" s="101">
        <v>2749</v>
      </c>
      <c r="AD27" s="101">
        <v>16512</v>
      </c>
      <c r="AE27" s="101">
        <v>7885</v>
      </c>
    </row>
    <row r="28" spans="1:31" ht="11.25" hidden="1" customHeight="1" x14ac:dyDescent="0.3">
      <c r="A28" s="126" t="s">
        <v>171</v>
      </c>
      <c r="B28" s="126">
        <v>2</v>
      </c>
      <c r="C28" s="126">
        <v>12</v>
      </c>
      <c r="D28" s="126" t="str">
        <f t="shared" si="5"/>
        <v>212</v>
      </c>
      <c r="E28" s="101">
        <v>63</v>
      </c>
      <c r="F28" s="101">
        <v>83</v>
      </c>
      <c r="G28" s="101">
        <v>132</v>
      </c>
      <c r="H28" s="101">
        <v>2408.5500000000002</v>
      </c>
      <c r="I28" s="101">
        <v>679.221</v>
      </c>
      <c r="J28" s="101">
        <v>25</v>
      </c>
      <c r="K28" s="101">
        <v>26</v>
      </c>
      <c r="L28" s="101">
        <v>27</v>
      </c>
      <c r="M28" s="101">
        <v>131</v>
      </c>
      <c r="N28" s="101">
        <v>246</v>
      </c>
      <c r="O28" s="101">
        <v>32</v>
      </c>
      <c r="P28" s="101">
        <v>38</v>
      </c>
      <c r="Q28" s="101">
        <v>51</v>
      </c>
      <c r="R28" s="101">
        <v>642</v>
      </c>
      <c r="S28" s="101">
        <v>228.91199999999998</v>
      </c>
      <c r="T28" s="169">
        <v>1.02</v>
      </c>
      <c r="U28" s="101">
        <f t="shared" si="0"/>
        <v>32.64</v>
      </c>
      <c r="V28" s="101">
        <f t="shared" si="1"/>
        <v>38.76</v>
      </c>
      <c r="W28" s="101">
        <f t="shared" si="2"/>
        <v>52.02</v>
      </c>
      <c r="X28" s="101">
        <f t="shared" si="3"/>
        <v>654.84</v>
      </c>
      <c r="Y28" s="101">
        <f t="shared" si="4"/>
        <v>233.49023999999997</v>
      </c>
      <c r="AA28" s="101">
        <v>19</v>
      </c>
      <c r="AB28" s="101">
        <v>24</v>
      </c>
      <c r="AC28" s="101">
        <v>25</v>
      </c>
      <c r="AD28" s="101">
        <v>479</v>
      </c>
      <c r="AE28" s="101">
        <v>147</v>
      </c>
    </row>
    <row r="29" spans="1:31" s="126" customFormat="1" ht="11.25" hidden="1" customHeight="1" x14ac:dyDescent="0.3">
      <c r="A29" s="126" t="s">
        <v>171</v>
      </c>
      <c r="B29" s="126">
        <v>2</v>
      </c>
      <c r="C29" s="126">
        <v>14</v>
      </c>
      <c r="D29" s="126" t="str">
        <f t="shared" si="5"/>
        <v>214</v>
      </c>
      <c r="E29" s="127"/>
      <c r="F29" s="127">
        <v>0</v>
      </c>
      <c r="G29" s="127">
        <v>0</v>
      </c>
      <c r="H29" s="127"/>
      <c r="I29" s="127"/>
      <c r="J29" s="101">
        <v>0</v>
      </c>
      <c r="K29" s="101">
        <v>0</v>
      </c>
      <c r="L29" s="101">
        <v>0</v>
      </c>
      <c r="M29" s="101">
        <v>0</v>
      </c>
      <c r="N29" s="101">
        <v>0</v>
      </c>
      <c r="O29" s="101">
        <v>46</v>
      </c>
      <c r="P29" s="101">
        <v>78</v>
      </c>
      <c r="Q29" s="101">
        <v>158</v>
      </c>
      <c r="R29" s="101">
        <v>8857.7899999999991</v>
      </c>
      <c r="S29" s="101">
        <v>1463.155</v>
      </c>
      <c r="T29" s="169">
        <v>1.02</v>
      </c>
      <c r="U29" s="101">
        <f t="shared" si="0"/>
        <v>46.92</v>
      </c>
      <c r="V29" s="101">
        <f t="shared" si="1"/>
        <v>79.56</v>
      </c>
      <c r="W29" s="101">
        <f t="shared" si="2"/>
        <v>161.16</v>
      </c>
      <c r="X29" s="101">
        <f t="shared" si="3"/>
        <v>9034.9457999999995</v>
      </c>
      <c r="Y29" s="101">
        <f t="shared" si="4"/>
        <v>1492.4181000000001</v>
      </c>
      <c r="AA29" s="101">
        <v>72</v>
      </c>
      <c r="AB29" s="101">
        <v>109</v>
      </c>
      <c r="AC29" s="101">
        <v>187</v>
      </c>
      <c r="AD29" s="101">
        <v>6647</v>
      </c>
      <c r="AE29" s="101">
        <v>951</v>
      </c>
    </row>
    <row r="30" spans="1:31" ht="11.25" hidden="1" customHeight="1" x14ac:dyDescent="0.3">
      <c r="A30" s="126" t="s">
        <v>171</v>
      </c>
      <c r="B30" s="126">
        <v>2</v>
      </c>
      <c r="C30" s="126">
        <v>17</v>
      </c>
      <c r="D30" s="126" t="str">
        <f t="shared" si="5"/>
        <v>217</v>
      </c>
      <c r="E30" s="101">
        <v>2668</v>
      </c>
      <c r="F30" s="101">
        <v>3995</v>
      </c>
      <c r="G30" s="101">
        <v>5585</v>
      </c>
      <c r="H30" s="101">
        <v>166402.57999999996</v>
      </c>
      <c r="I30" s="101">
        <v>31371.027000000002</v>
      </c>
      <c r="J30" s="101">
        <v>3282</v>
      </c>
      <c r="K30" s="101">
        <v>4451</v>
      </c>
      <c r="L30" s="101">
        <v>5580</v>
      </c>
      <c r="M30" s="101">
        <v>246747</v>
      </c>
      <c r="N30" s="101">
        <v>45813</v>
      </c>
      <c r="O30" s="101">
        <v>1080</v>
      </c>
      <c r="P30" s="101">
        <v>1742</v>
      </c>
      <c r="Q30" s="101">
        <v>2460</v>
      </c>
      <c r="R30" s="101">
        <v>85159.719999999987</v>
      </c>
      <c r="S30" s="101">
        <v>13203.579</v>
      </c>
      <c r="T30" s="169">
        <v>1.02</v>
      </c>
      <c r="U30" s="101">
        <v>1058</v>
      </c>
      <c r="V30" s="101">
        <v>2080</v>
      </c>
      <c r="W30" s="101">
        <v>2992</v>
      </c>
      <c r="X30" s="144">
        <f t="shared" si="3"/>
        <v>86862.914399999994</v>
      </c>
      <c r="Y30" s="101">
        <v>15000</v>
      </c>
      <c r="AA30" s="101">
        <v>1503</v>
      </c>
      <c r="AB30" s="101">
        <v>2303</v>
      </c>
      <c r="AC30" s="101">
        <v>3256</v>
      </c>
      <c r="AD30" s="101">
        <v>104875</v>
      </c>
      <c r="AE30" s="101">
        <v>18558</v>
      </c>
    </row>
    <row r="31" spans="1:31" ht="11.25" hidden="1" customHeight="1" x14ac:dyDescent="0.3">
      <c r="A31" s="126" t="s">
        <v>171</v>
      </c>
      <c r="B31" s="126">
        <v>2</v>
      </c>
      <c r="C31" s="126">
        <v>18</v>
      </c>
      <c r="D31" s="126" t="str">
        <f t="shared" si="5"/>
        <v>218</v>
      </c>
      <c r="E31" s="101">
        <v>288</v>
      </c>
      <c r="F31" s="101">
        <v>407</v>
      </c>
      <c r="G31" s="101">
        <v>619</v>
      </c>
      <c r="H31" s="101">
        <v>19892.339999999997</v>
      </c>
      <c r="I31" s="101">
        <v>3711.2550000000001</v>
      </c>
      <c r="J31" s="101">
        <v>390</v>
      </c>
      <c r="K31" s="101">
        <v>565</v>
      </c>
      <c r="L31" s="101">
        <v>796</v>
      </c>
      <c r="M31" s="101">
        <v>31250</v>
      </c>
      <c r="N31" s="101">
        <v>5346</v>
      </c>
      <c r="O31" s="101">
        <v>3110</v>
      </c>
      <c r="P31" s="101">
        <v>3311</v>
      </c>
      <c r="Q31" s="101">
        <v>3718</v>
      </c>
      <c r="R31" s="101">
        <v>155826.68</v>
      </c>
      <c r="S31" s="101">
        <v>36041.968000000001</v>
      </c>
      <c r="T31" s="169">
        <v>1.02</v>
      </c>
      <c r="U31" s="101">
        <f t="shared" si="0"/>
        <v>3172.2000000000003</v>
      </c>
      <c r="V31" s="101">
        <f t="shared" si="1"/>
        <v>3377.2200000000003</v>
      </c>
      <c r="W31" s="101">
        <f t="shared" si="2"/>
        <v>3792.36</v>
      </c>
      <c r="X31" s="101">
        <f t="shared" si="3"/>
        <v>158943.21359999999</v>
      </c>
      <c r="Y31" s="101">
        <f t="shared" si="4"/>
        <v>36762.807359999999</v>
      </c>
      <c r="AA31" s="101">
        <v>2678</v>
      </c>
      <c r="AB31" s="101">
        <v>2901</v>
      </c>
      <c r="AC31" s="101">
        <v>3266</v>
      </c>
      <c r="AD31" s="101">
        <v>161032</v>
      </c>
      <c r="AE31" s="101">
        <v>33336</v>
      </c>
    </row>
    <row r="32" spans="1:31" ht="11.25" hidden="1" customHeight="1" x14ac:dyDescent="0.3">
      <c r="A32" s="126" t="s">
        <v>171</v>
      </c>
      <c r="B32" s="126">
        <v>2</v>
      </c>
      <c r="C32" s="126">
        <v>28</v>
      </c>
      <c r="D32" s="126" t="str">
        <f t="shared" si="5"/>
        <v>228</v>
      </c>
      <c r="E32" s="101">
        <v>386</v>
      </c>
      <c r="F32" s="101">
        <v>2747</v>
      </c>
      <c r="G32" s="101">
        <v>23227</v>
      </c>
      <c r="H32" s="101">
        <v>565102.17999999993</v>
      </c>
      <c r="I32" s="101">
        <v>123120.15</v>
      </c>
      <c r="J32" s="101">
        <v>295</v>
      </c>
      <c r="K32" s="101">
        <v>2603</v>
      </c>
      <c r="L32" s="101">
        <v>16623</v>
      </c>
      <c r="M32" s="101">
        <v>484310</v>
      </c>
      <c r="N32" s="101">
        <v>94917</v>
      </c>
      <c r="O32" s="101">
        <v>471</v>
      </c>
      <c r="P32" s="101">
        <v>2762</v>
      </c>
      <c r="Q32" s="101">
        <v>16208</v>
      </c>
      <c r="R32" s="101">
        <v>419771.56999999995</v>
      </c>
      <c r="S32" s="101">
        <v>80314.209000000017</v>
      </c>
      <c r="T32" s="169">
        <v>1.02</v>
      </c>
      <c r="U32" s="101">
        <f t="shared" si="0"/>
        <v>480.42</v>
      </c>
      <c r="V32" s="101">
        <f t="shared" si="1"/>
        <v>2817.2400000000002</v>
      </c>
      <c r="W32" s="101">
        <f t="shared" si="2"/>
        <v>16532.16</v>
      </c>
      <c r="X32" s="101">
        <f t="shared" si="3"/>
        <v>428167.00139999995</v>
      </c>
      <c r="Y32" s="101">
        <f t="shared" si="4"/>
        <v>81920.493180000019</v>
      </c>
      <c r="AA32" s="101">
        <v>392</v>
      </c>
      <c r="AB32" s="101">
        <v>3872</v>
      </c>
      <c r="AC32" s="101">
        <v>19115</v>
      </c>
      <c r="AD32" s="101">
        <v>479718</v>
      </c>
      <c r="AE32" s="101">
        <v>123200</v>
      </c>
    </row>
    <row r="33" spans="1:31" s="135" customFormat="1" ht="11.25" hidden="1" customHeight="1" x14ac:dyDescent="0.3">
      <c r="A33" s="126" t="s">
        <v>171</v>
      </c>
      <c r="B33" s="126">
        <v>2</v>
      </c>
      <c r="C33" s="126">
        <v>44</v>
      </c>
      <c r="D33" s="126" t="str">
        <f t="shared" si="5"/>
        <v>244</v>
      </c>
      <c r="E33" s="134"/>
      <c r="F33" s="134">
        <v>0</v>
      </c>
      <c r="G33" s="134">
        <v>0</v>
      </c>
      <c r="H33" s="134"/>
      <c r="I33" s="134"/>
      <c r="J33" s="101">
        <v>2</v>
      </c>
      <c r="K33" s="101">
        <v>5</v>
      </c>
      <c r="L33" s="101">
        <v>223</v>
      </c>
      <c r="M33" s="101">
        <v>0</v>
      </c>
      <c r="N33" s="101">
        <v>502</v>
      </c>
      <c r="O33" s="101">
        <v>0</v>
      </c>
      <c r="P33" s="101">
        <v>0</v>
      </c>
      <c r="Q33" s="101">
        <v>0</v>
      </c>
      <c r="R33" s="101">
        <v>0</v>
      </c>
      <c r="S33" s="101">
        <v>0</v>
      </c>
      <c r="T33" s="169">
        <v>1.02</v>
      </c>
      <c r="U33" s="101">
        <f t="shared" si="0"/>
        <v>0</v>
      </c>
      <c r="V33" s="101">
        <f t="shared" si="1"/>
        <v>0</v>
      </c>
      <c r="W33" s="101">
        <f t="shared" si="2"/>
        <v>0</v>
      </c>
      <c r="X33" s="101">
        <f t="shared" si="3"/>
        <v>0</v>
      </c>
      <c r="Y33" s="101">
        <f t="shared" si="4"/>
        <v>0</v>
      </c>
      <c r="AA33" s="101">
        <v>0</v>
      </c>
      <c r="AB33" s="101">
        <v>0</v>
      </c>
      <c r="AC33" s="101">
        <v>0</v>
      </c>
      <c r="AD33" s="101">
        <v>0</v>
      </c>
      <c r="AE33" s="101">
        <v>0</v>
      </c>
    </row>
    <row r="34" spans="1:31" s="135" customFormat="1" ht="11.25" hidden="1" customHeight="1" x14ac:dyDescent="0.3">
      <c r="A34" s="126" t="s">
        <v>171</v>
      </c>
      <c r="B34" s="126">
        <v>2</v>
      </c>
      <c r="C34" s="126">
        <v>43</v>
      </c>
      <c r="D34" s="126" t="str">
        <f t="shared" si="5"/>
        <v>243</v>
      </c>
      <c r="E34" s="134"/>
      <c r="F34" s="134"/>
      <c r="G34" s="134"/>
      <c r="H34" s="134"/>
      <c r="I34" s="134"/>
      <c r="J34" s="101">
        <v>0</v>
      </c>
      <c r="K34" s="101">
        <v>0</v>
      </c>
      <c r="L34" s="101">
        <v>0</v>
      </c>
      <c r="M34" s="101">
        <v>0</v>
      </c>
      <c r="N34" s="101">
        <v>0</v>
      </c>
      <c r="O34" s="101">
        <v>0</v>
      </c>
      <c r="P34" s="101">
        <v>0</v>
      </c>
      <c r="Q34" s="101">
        <v>0</v>
      </c>
      <c r="R34" s="101">
        <v>0</v>
      </c>
      <c r="S34" s="101">
        <v>0</v>
      </c>
      <c r="T34" s="169">
        <v>1.02</v>
      </c>
      <c r="U34" s="101">
        <f t="shared" si="0"/>
        <v>0</v>
      </c>
      <c r="V34" s="101">
        <f t="shared" si="1"/>
        <v>0</v>
      </c>
      <c r="W34" s="101">
        <f t="shared" si="2"/>
        <v>0</v>
      </c>
      <c r="X34" s="101">
        <f t="shared" si="3"/>
        <v>0</v>
      </c>
      <c r="Y34" s="101">
        <f t="shared" si="4"/>
        <v>0</v>
      </c>
      <c r="AA34" s="101">
        <v>0</v>
      </c>
      <c r="AB34" s="101">
        <v>0</v>
      </c>
      <c r="AC34" s="101">
        <v>0</v>
      </c>
      <c r="AD34" s="101">
        <v>0</v>
      </c>
      <c r="AE34" s="101">
        <v>0</v>
      </c>
    </row>
    <row r="35" spans="1:31" s="135" customFormat="1" ht="11.25" hidden="1" customHeight="1" x14ac:dyDescent="0.3">
      <c r="A35" s="126" t="s">
        <v>171</v>
      </c>
      <c r="B35" s="126">
        <v>2</v>
      </c>
      <c r="C35" s="126">
        <v>45</v>
      </c>
      <c r="D35" s="126" t="str">
        <f t="shared" si="5"/>
        <v>245</v>
      </c>
      <c r="E35" s="134"/>
      <c r="F35" s="134"/>
      <c r="G35" s="134"/>
      <c r="H35" s="134"/>
      <c r="I35" s="134"/>
      <c r="J35" s="101">
        <v>0</v>
      </c>
      <c r="K35" s="101">
        <v>0</v>
      </c>
      <c r="L35" s="101">
        <v>0</v>
      </c>
      <c r="M35" s="101">
        <v>0</v>
      </c>
      <c r="N35" s="101">
        <v>0</v>
      </c>
      <c r="O35" s="101">
        <v>0</v>
      </c>
      <c r="P35" s="101">
        <v>0</v>
      </c>
      <c r="Q35" s="101">
        <v>0</v>
      </c>
      <c r="R35" s="101">
        <v>0</v>
      </c>
      <c r="S35" s="101">
        <v>0</v>
      </c>
      <c r="T35" s="169">
        <v>1.02</v>
      </c>
      <c r="U35" s="101">
        <f t="shared" si="0"/>
        <v>0</v>
      </c>
      <c r="V35" s="101">
        <f t="shared" si="1"/>
        <v>0</v>
      </c>
      <c r="W35" s="101">
        <f t="shared" si="2"/>
        <v>0</v>
      </c>
      <c r="X35" s="101">
        <f t="shared" si="3"/>
        <v>0</v>
      </c>
      <c r="Y35" s="101">
        <f t="shared" si="4"/>
        <v>0</v>
      </c>
      <c r="AA35" s="101">
        <v>0</v>
      </c>
      <c r="AB35" s="101">
        <v>0</v>
      </c>
      <c r="AC35" s="101">
        <v>0</v>
      </c>
      <c r="AD35" s="101">
        <v>0</v>
      </c>
      <c r="AE35" s="101">
        <v>0</v>
      </c>
    </row>
    <row r="36" spans="1:31" s="135" customFormat="1" ht="11.25" hidden="1" customHeight="1" x14ac:dyDescent="0.3">
      <c r="A36" s="126" t="s">
        <v>171</v>
      </c>
      <c r="B36" s="126">
        <v>2</v>
      </c>
      <c r="C36" s="126">
        <v>47</v>
      </c>
      <c r="D36" s="126" t="str">
        <f t="shared" si="5"/>
        <v>247</v>
      </c>
      <c r="E36" s="134"/>
      <c r="F36" s="134"/>
      <c r="G36" s="134"/>
      <c r="H36" s="134"/>
      <c r="I36" s="134"/>
      <c r="J36" s="101">
        <v>0</v>
      </c>
      <c r="K36" s="101">
        <v>0</v>
      </c>
      <c r="L36" s="101">
        <v>0</v>
      </c>
      <c r="M36" s="101">
        <v>0</v>
      </c>
      <c r="N36" s="101">
        <v>0</v>
      </c>
      <c r="O36" s="101">
        <v>1</v>
      </c>
      <c r="P36" s="101">
        <v>1</v>
      </c>
      <c r="Q36" s="101">
        <v>3000</v>
      </c>
      <c r="R36" s="101">
        <v>23850</v>
      </c>
      <c r="S36" s="101">
        <v>2154.7199999999998</v>
      </c>
      <c r="T36" s="169">
        <v>1.02</v>
      </c>
      <c r="U36" s="101">
        <f t="shared" si="0"/>
        <v>1.02</v>
      </c>
      <c r="V36" s="101">
        <f t="shared" si="1"/>
        <v>1.02</v>
      </c>
      <c r="W36" s="101">
        <f t="shared" si="2"/>
        <v>3060</v>
      </c>
      <c r="X36" s="101">
        <f t="shared" si="3"/>
        <v>24327</v>
      </c>
      <c r="Y36" s="101">
        <f t="shared" si="4"/>
        <v>2197.8143999999998</v>
      </c>
      <c r="AA36" s="101">
        <v>7</v>
      </c>
      <c r="AB36" s="101">
        <v>10</v>
      </c>
      <c r="AC36" s="101">
        <v>2562</v>
      </c>
      <c r="AD36" s="101">
        <v>27394</v>
      </c>
      <c r="AE36" s="101">
        <v>6425</v>
      </c>
    </row>
    <row r="37" spans="1:31" ht="11.25" hidden="1" customHeight="1" x14ac:dyDescent="0.3">
      <c r="A37" s="126" t="s">
        <v>171</v>
      </c>
      <c r="B37" s="126">
        <v>2</v>
      </c>
      <c r="C37" s="126">
        <v>46</v>
      </c>
      <c r="D37" s="126" t="str">
        <f t="shared" si="5"/>
        <v>246</v>
      </c>
      <c r="E37" s="101">
        <v>445</v>
      </c>
      <c r="F37" s="101">
        <v>871</v>
      </c>
      <c r="G37" s="101">
        <v>29319</v>
      </c>
      <c r="H37" s="101">
        <v>531498.1</v>
      </c>
      <c r="I37" s="101">
        <v>310205.56699999998</v>
      </c>
      <c r="J37" s="101">
        <v>351</v>
      </c>
      <c r="K37" s="101">
        <v>816</v>
      </c>
      <c r="L37" s="101">
        <v>24167</v>
      </c>
      <c r="M37" s="101">
        <v>232837</v>
      </c>
      <c r="N37" s="101">
        <v>53682</v>
      </c>
      <c r="O37" s="101">
        <v>221</v>
      </c>
      <c r="P37" s="101">
        <v>490</v>
      </c>
      <c r="Q37" s="101">
        <v>15679</v>
      </c>
      <c r="R37" s="101">
        <v>258658.28</v>
      </c>
      <c r="S37" s="101">
        <v>100110.25899999999</v>
      </c>
      <c r="T37" s="169">
        <v>1.02</v>
      </c>
      <c r="U37" s="101">
        <f t="shared" si="0"/>
        <v>225.42000000000002</v>
      </c>
      <c r="V37" s="101">
        <f t="shared" si="1"/>
        <v>499.8</v>
      </c>
      <c r="W37" s="101">
        <f t="shared" si="2"/>
        <v>15992.58</v>
      </c>
      <c r="X37" s="101">
        <f t="shared" si="3"/>
        <v>263831.44559999998</v>
      </c>
      <c r="Y37" s="101">
        <f t="shared" si="4"/>
        <v>102112.46418</v>
      </c>
      <c r="AA37" s="101">
        <v>381</v>
      </c>
      <c r="AB37" s="101">
        <v>771</v>
      </c>
      <c r="AC37" s="101">
        <v>25113</v>
      </c>
      <c r="AD37" s="101">
        <v>307409</v>
      </c>
      <c r="AE37" s="101">
        <v>123813</v>
      </c>
    </row>
    <row r="38" spans="1:31" ht="11.25" hidden="1" customHeight="1" x14ac:dyDescent="0.3">
      <c r="A38" s="126" t="s">
        <v>171</v>
      </c>
      <c r="B38" s="126">
        <v>2</v>
      </c>
      <c r="C38" s="126">
        <v>48</v>
      </c>
      <c r="D38" s="126" t="str">
        <f t="shared" si="5"/>
        <v>248</v>
      </c>
      <c r="E38" s="101">
        <v>2</v>
      </c>
      <c r="F38" s="101">
        <v>2</v>
      </c>
      <c r="G38" s="101">
        <v>502</v>
      </c>
      <c r="H38" s="101">
        <v>13093.18</v>
      </c>
      <c r="I38" s="101">
        <v>4540.7659999999996</v>
      </c>
      <c r="J38" s="101">
        <v>0</v>
      </c>
      <c r="K38" s="101">
        <v>0</v>
      </c>
      <c r="L38" s="101">
        <v>0</v>
      </c>
      <c r="M38" s="101">
        <v>0</v>
      </c>
      <c r="N38" s="101">
        <v>0</v>
      </c>
      <c r="O38" s="101">
        <v>0</v>
      </c>
      <c r="P38" s="101">
        <v>0</v>
      </c>
      <c r="Q38" s="101">
        <v>0</v>
      </c>
      <c r="R38" s="101">
        <v>0</v>
      </c>
      <c r="S38" s="101">
        <v>0</v>
      </c>
      <c r="T38" s="169">
        <v>1.02</v>
      </c>
      <c r="U38" s="101">
        <f t="shared" si="0"/>
        <v>0</v>
      </c>
      <c r="V38" s="101">
        <f t="shared" si="1"/>
        <v>0</v>
      </c>
      <c r="W38" s="101">
        <f t="shared" si="2"/>
        <v>0</v>
      </c>
      <c r="X38" s="101">
        <f t="shared" si="3"/>
        <v>0</v>
      </c>
      <c r="Y38" s="101">
        <f t="shared" si="4"/>
        <v>0</v>
      </c>
      <c r="AA38" s="101">
        <v>0</v>
      </c>
      <c r="AB38" s="101">
        <v>0</v>
      </c>
      <c r="AC38" s="101">
        <v>0</v>
      </c>
      <c r="AD38" s="101">
        <v>0</v>
      </c>
      <c r="AE38" s="101">
        <v>0</v>
      </c>
    </row>
    <row r="39" spans="1:31" ht="11.25" hidden="1" customHeight="1" x14ac:dyDescent="0.3">
      <c r="A39" s="126" t="s">
        <v>171</v>
      </c>
      <c r="B39" s="126">
        <v>2</v>
      </c>
      <c r="C39" s="126">
        <v>66</v>
      </c>
      <c r="D39" s="126" t="str">
        <f t="shared" si="5"/>
        <v>266</v>
      </c>
      <c r="E39" s="101">
        <v>883</v>
      </c>
      <c r="F39" s="101">
        <v>1986</v>
      </c>
      <c r="G39" s="101">
        <v>42509</v>
      </c>
      <c r="H39" s="101">
        <v>251071.43</v>
      </c>
      <c r="I39" s="101">
        <v>167102.022</v>
      </c>
      <c r="J39" s="101">
        <v>555</v>
      </c>
      <c r="K39" s="101">
        <v>1821</v>
      </c>
      <c r="L39" s="101">
        <v>43188</v>
      </c>
      <c r="M39" s="101">
        <v>219645</v>
      </c>
      <c r="N39" s="101">
        <v>114759</v>
      </c>
      <c r="O39" s="101">
        <v>444</v>
      </c>
      <c r="P39" s="101">
        <v>1351</v>
      </c>
      <c r="Q39" s="101">
        <v>27811</v>
      </c>
      <c r="R39" s="101">
        <v>178878.97</v>
      </c>
      <c r="S39" s="101">
        <v>86022.630999999994</v>
      </c>
      <c r="T39" s="169">
        <v>1.02</v>
      </c>
      <c r="U39" s="101">
        <f t="shared" si="0"/>
        <v>452.88</v>
      </c>
      <c r="V39" s="101">
        <f t="shared" si="1"/>
        <v>1378.02</v>
      </c>
      <c r="W39" s="101">
        <f t="shared" si="2"/>
        <v>28367.22</v>
      </c>
      <c r="X39" s="101">
        <f t="shared" si="3"/>
        <v>182456.54940000002</v>
      </c>
      <c r="Y39" s="101">
        <f t="shared" si="4"/>
        <v>87743.08361999999</v>
      </c>
      <c r="AA39" s="101">
        <v>417</v>
      </c>
      <c r="AB39" s="101">
        <v>1644</v>
      </c>
      <c r="AC39" s="101">
        <v>29527</v>
      </c>
      <c r="AD39" s="101">
        <v>191746</v>
      </c>
      <c r="AE39" s="101">
        <v>93370</v>
      </c>
    </row>
    <row r="40" spans="1:31" ht="11.25" hidden="1" customHeight="1" x14ac:dyDescent="0.3">
      <c r="A40" s="126" t="s">
        <v>171</v>
      </c>
      <c r="B40" s="126">
        <v>2</v>
      </c>
      <c r="C40" s="126">
        <v>30</v>
      </c>
      <c r="D40" s="126" t="str">
        <f t="shared" si="5"/>
        <v>230</v>
      </c>
      <c r="E40" s="101">
        <v>362.5</v>
      </c>
      <c r="F40" s="101">
        <v>4742</v>
      </c>
      <c r="G40" s="101">
        <v>20273.5</v>
      </c>
      <c r="H40" s="101">
        <v>519188.38</v>
      </c>
      <c r="I40" s="101">
        <v>198924.46399999998</v>
      </c>
      <c r="J40" s="101">
        <v>756</v>
      </c>
      <c r="K40" s="101">
        <v>5901</v>
      </c>
      <c r="L40" s="101">
        <v>20345</v>
      </c>
      <c r="M40" s="101">
        <v>475171</v>
      </c>
      <c r="N40" s="101">
        <v>132024</v>
      </c>
      <c r="O40" s="101">
        <v>270</v>
      </c>
      <c r="P40" s="101">
        <v>6633</v>
      </c>
      <c r="Q40" s="101">
        <v>18157</v>
      </c>
      <c r="R40" s="101">
        <v>463480.57</v>
      </c>
      <c r="S40" s="101">
        <v>157105.59699999998</v>
      </c>
      <c r="T40" s="169">
        <v>1.02</v>
      </c>
      <c r="U40" s="101">
        <f t="shared" si="0"/>
        <v>275.39999999999998</v>
      </c>
      <c r="V40" s="101">
        <f t="shared" si="1"/>
        <v>6765.66</v>
      </c>
      <c r="W40" s="101">
        <f t="shared" si="2"/>
        <v>18520.14</v>
      </c>
      <c r="X40" s="101">
        <f t="shared" si="3"/>
        <v>472750.1814</v>
      </c>
      <c r="Y40" s="101">
        <f t="shared" si="4"/>
        <v>160247.70893999998</v>
      </c>
      <c r="AA40" s="101">
        <v>142</v>
      </c>
      <c r="AB40" s="101">
        <v>199</v>
      </c>
      <c r="AC40" s="101">
        <v>3151</v>
      </c>
      <c r="AD40" s="101">
        <v>235611</v>
      </c>
      <c r="AE40" s="101">
        <v>118954</v>
      </c>
    </row>
    <row r="41" spans="1:31" s="174" customFormat="1" ht="11.25" hidden="1" customHeight="1" x14ac:dyDescent="0.3">
      <c r="A41" s="126" t="s">
        <v>171</v>
      </c>
      <c r="B41" s="126">
        <v>2</v>
      </c>
      <c r="C41" s="126">
        <v>32</v>
      </c>
      <c r="D41" s="126" t="str">
        <f t="shared" si="5"/>
        <v>232</v>
      </c>
      <c r="E41" s="173"/>
      <c r="F41" s="134">
        <v>0</v>
      </c>
      <c r="G41" s="173">
        <v>0</v>
      </c>
      <c r="H41" s="173"/>
      <c r="I41" s="173"/>
      <c r="J41" s="101">
        <v>133</v>
      </c>
      <c r="K41" s="101">
        <v>179</v>
      </c>
      <c r="L41" s="101">
        <v>2781</v>
      </c>
      <c r="M41" s="101">
        <v>45157</v>
      </c>
      <c r="N41" s="101">
        <v>36749</v>
      </c>
      <c r="O41" s="101">
        <v>60</v>
      </c>
      <c r="P41" s="101">
        <v>155</v>
      </c>
      <c r="Q41" s="101">
        <v>2167</v>
      </c>
      <c r="R41" s="101">
        <v>23588.720000000001</v>
      </c>
      <c r="S41" s="101">
        <v>9464.66</v>
      </c>
      <c r="T41" s="169">
        <v>1.02</v>
      </c>
      <c r="U41" s="101">
        <f t="shared" si="0"/>
        <v>61.2</v>
      </c>
      <c r="V41" s="101">
        <f t="shared" si="1"/>
        <v>158.1</v>
      </c>
      <c r="W41" s="101">
        <f t="shared" si="2"/>
        <v>2210.34</v>
      </c>
      <c r="X41" s="101">
        <f t="shared" si="3"/>
        <v>24060.494400000003</v>
      </c>
      <c r="Y41" s="101">
        <f t="shared" si="4"/>
        <v>9653.9531999999999</v>
      </c>
      <c r="AA41" s="101">
        <v>67</v>
      </c>
      <c r="AB41" s="101">
        <v>196</v>
      </c>
      <c r="AC41" s="101">
        <v>11573</v>
      </c>
      <c r="AD41" s="101">
        <v>74381</v>
      </c>
      <c r="AE41" s="101">
        <v>57898</v>
      </c>
    </row>
    <row r="42" spans="1:31" ht="11.25" hidden="1" customHeight="1" x14ac:dyDescent="0.3">
      <c r="A42" s="126" t="s">
        <v>171</v>
      </c>
      <c r="B42" s="126">
        <v>2</v>
      </c>
      <c r="C42" s="126">
        <v>21</v>
      </c>
      <c r="D42" s="126" t="str">
        <f t="shared" si="5"/>
        <v>221</v>
      </c>
      <c r="E42" s="101">
        <v>1122.5</v>
      </c>
      <c r="F42" s="101">
        <v>6958</v>
      </c>
      <c r="G42" s="101">
        <v>32868.5</v>
      </c>
      <c r="H42" s="101">
        <v>428071.38</v>
      </c>
      <c r="I42" s="101">
        <v>130685.432</v>
      </c>
      <c r="J42" s="101">
        <v>1901</v>
      </c>
      <c r="K42" s="101">
        <v>8537</v>
      </c>
      <c r="L42" s="101">
        <v>37503</v>
      </c>
      <c r="M42" s="101">
        <v>576500</v>
      </c>
      <c r="N42" s="101">
        <v>151850</v>
      </c>
      <c r="O42" s="101">
        <v>800</v>
      </c>
      <c r="P42" s="101">
        <v>6117</v>
      </c>
      <c r="Q42" s="101">
        <v>33227</v>
      </c>
      <c r="R42" s="101">
        <v>404195.17</v>
      </c>
      <c r="S42" s="101">
        <v>116669.11400000002</v>
      </c>
      <c r="T42" s="169">
        <v>1.02</v>
      </c>
      <c r="U42" s="101">
        <f t="shared" si="0"/>
        <v>816</v>
      </c>
      <c r="V42" s="101">
        <f t="shared" si="1"/>
        <v>6239.34</v>
      </c>
      <c r="W42" s="101">
        <f t="shared" si="2"/>
        <v>33891.54</v>
      </c>
      <c r="X42" s="101">
        <f t="shared" si="3"/>
        <v>412279.07339999999</v>
      </c>
      <c r="Y42" s="101">
        <f t="shared" si="4"/>
        <v>119002.49628000002</v>
      </c>
      <c r="AA42" s="101">
        <v>887</v>
      </c>
      <c r="AB42" s="101">
        <v>8768</v>
      </c>
      <c r="AC42" s="101">
        <v>46650</v>
      </c>
      <c r="AD42" s="101">
        <v>531270</v>
      </c>
      <c r="AE42" s="101">
        <v>160710</v>
      </c>
    </row>
    <row r="43" spans="1:31" s="174" customFormat="1" ht="11.25" hidden="1" customHeight="1" x14ac:dyDescent="0.3">
      <c r="A43" s="126" t="s">
        <v>171</v>
      </c>
      <c r="B43" s="126">
        <v>2</v>
      </c>
      <c r="C43" s="126">
        <v>22</v>
      </c>
      <c r="D43" s="126" t="str">
        <f t="shared" si="5"/>
        <v>222</v>
      </c>
      <c r="E43" s="173"/>
      <c r="F43" s="134">
        <v>0</v>
      </c>
      <c r="G43" s="173">
        <v>0</v>
      </c>
      <c r="H43" s="173"/>
      <c r="I43" s="173"/>
      <c r="J43" s="101">
        <v>6</v>
      </c>
      <c r="K43" s="101">
        <v>14</v>
      </c>
      <c r="L43" s="101">
        <v>81</v>
      </c>
      <c r="M43" s="101">
        <v>5510</v>
      </c>
      <c r="N43" s="101">
        <v>1861</v>
      </c>
      <c r="O43" s="101">
        <v>11</v>
      </c>
      <c r="P43" s="101">
        <v>17</v>
      </c>
      <c r="Q43" s="101">
        <v>364</v>
      </c>
      <c r="R43" s="101">
        <v>1663.2399999999998</v>
      </c>
      <c r="S43" s="101">
        <v>1445.0719999999999</v>
      </c>
      <c r="T43" s="169">
        <v>1.02</v>
      </c>
      <c r="U43" s="101">
        <f t="shared" si="0"/>
        <v>11.22</v>
      </c>
      <c r="V43" s="101">
        <f t="shared" si="1"/>
        <v>17.34</v>
      </c>
      <c r="W43" s="101">
        <f t="shared" si="2"/>
        <v>371.28000000000003</v>
      </c>
      <c r="X43" s="101">
        <f t="shared" si="3"/>
        <v>1696.5047999999997</v>
      </c>
      <c r="Y43" s="101">
        <f t="shared" si="4"/>
        <v>1473.97344</v>
      </c>
      <c r="AA43" s="101">
        <v>3</v>
      </c>
      <c r="AB43" s="101">
        <v>8</v>
      </c>
      <c r="AC43" s="101">
        <v>41</v>
      </c>
      <c r="AD43" s="101">
        <v>1389</v>
      </c>
      <c r="AE43" s="101">
        <v>294</v>
      </c>
    </row>
    <row r="44" spans="1:31" ht="11.25" hidden="1" customHeight="1" x14ac:dyDescent="0.3">
      <c r="A44" s="126" t="s">
        <v>171</v>
      </c>
      <c r="B44" s="126">
        <v>2</v>
      </c>
      <c r="C44" s="126">
        <v>71</v>
      </c>
      <c r="D44" s="126" t="str">
        <f t="shared" si="5"/>
        <v>271</v>
      </c>
      <c r="E44" s="101">
        <v>829.5</v>
      </c>
      <c r="F44" s="101">
        <v>6812</v>
      </c>
      <c r="G44" s="101">
        <v>20386.5</v>
      </c>
      <c r="H44" s="101">
        <v>152779.35</v>
      </c>
      <c r="I44" s="101">
        <v>69756.175000000003</v>
      </c>
      <c r="J44" s="101">
        <v>624</v>
      </c>
      <c r="K44" s="101">
        <v>5184</v>
      </c>
      <c r="L44" s="101">
        <v>17592</v>
      </c>
      <c r="M44" s="101">
        <v>131376</v>
      </c>
      <c r="N44" s="101">
        <v>77936</v>
      </c>
      <c r="O44" s="101">
        <v>651</v>
      </c>
      <c r="P44" s="101">
        <v>7973</v>
      </c>
      <c r="Q44" s="101">
        <v>34829</v>
      </c>
      <c r="R44" s="101">
        <v>284576.34999999998</v>
      </c>
      <c r="S44" s="101">
        <v>170050.867</v>
      </c>
      <c r="T44" s="169">
        <v>0.98</v>
      </c>
      <c r="U44" s="101">
        <f t="shared" si="0"/>
        <v>637.98</v>
      </c>
      <c r="V44" s="101">
        <f t="shared" si="1"/>
        <v>7813.54</v>
      </c>
      <c r="W44" s="101">
        <v>35873.870000000003</v>
      </c>
      <c r="X44" s="101">
        <f t="shared" si="3"/>
        <v>278884.82299999997</v>
      </c>
      <c r="Y44" s="101">
        <f t="shared" si="4"/>
        <v>166649.84966000001</v>
      </c>
      <c r="AA44" s="101">
        <v>236</v>
      </c>
      <c r="AB44" s="101">
        <v>5666</v>
      </c>
      <c r="AC44" s="101">
        <v>19217</v>
      </c>
      <c r="AD44" s="101">
        <v>138355</v>
      </c>
      <c r="AE44" s="101">
        <v>82413</v>
      </c>
    </row>
    <row r="45" spans="1:31" ht="11.25" hidden="1" customHeight="1" x14ac:dyDescent="0.3">
      <c r="A45" s="126" t="s">
        <v>171</v>
      </c>
      <c r="B45" s="126">
        <v>2</v>
      </c>
      <c r="C45" s="126">
        <v>25</v>
      </c>
      <c r="D45" s="126" t="str">
        <f t="shared" si="5"/>
        <v>225</v>
      </c>
      <c r="E45" s="101">
        <v>533</v>
      </c>
      <c r="F45" s="101">
        <v>6469</v>
      </c>
      <c r="G45" s="101">
        <v>36758</v>
      </c>
      <c r="H45" s="101">
        <v>442287.47000000003</v>
      </c>
      <c r="I45" s="101">
        <v>207040.33600000001</v>
      </c>
      <c r="J45" s="101">
        <v>861</v>
      </c>
      <c r="K45" s="101">
        <v>7660</v>
      </c>
      <c r="L45" s="101">
        <v>39435</v>
      </c>
      <c r="M45" s="101">
        <v>510539</v>
      </c>
      <c r="N45" s="101">
        <v>213686</v>
      </c>
      <c r="O45" s="101">
        <v>734</v>
      </c>
      <c r="P45" s="101">
        <v>7376</v>
      </c>
      <c r="Q45" s="101">
        <v>38047</v>
      </c>
      <c r="R45" s="101">
        <v>359267.23</v>
      </c>
      <c r="S45" s="101">
        <v>210311.13999999998</v>
      </c>
      <c r="T45" s="169">
        <v>1.02</v>
      </c>
      <c r="U45" s="101">
        <f t="shared" si="0"/>
        <v>748.68000000000006</v>
      </c>
      <c r="V45" s="101">
        <f t="shared" si="1"/>
        <v>7523.52</v>
      </c>
      <c r="W45" s="101">
        <f t="shared" si="2"/>
        <v>38807.94</v>
      </c>
      <c r="X45" s="101">
        <f t="shared" si="3"/>
        <v>366452.57459999999</v>
      </c>
      <c r="Y45" s="101">
        <f t="shared" si="4"/>
        <v>214517.3628</v>
      </c>
      <c r="AA45" s="101">
        <v>668</v>
      </c>
      <c r="AB45" s="101">
        <v>5891</v>
      </c>
      <c r="AC45" s="101">
        <v>24120</v>
      </c>
      <c r="AD45" s="101">
        <v>253188</v>
      </c>
      <c r="AE45" s="101">
        <v>157453</v>
      </c>
    </row>
    <row r="46" spans="1:31" s="174" customFormat="1" ht="11.25" hidden="1" customHeight="1" x14ac:dyDescent="0.3">
      <c r="A46" s="126" t="s">
        <v>171</v>
      </c>
      <c r="B46" s="126">
        <v>2</v>
      </c>
      <c r="C46" s="126">
        <v>26</v>
      </c>
      <c r="D46" s="126" t="str">
        <f t="shared" si="5"/>
        <v>226</v>
      </c>
      <c r="E46" s="173"/>
      <c r="F46" s="134">
        <v>0</v>
      </c>
      <c r="G46" s="173">
        <v>0</v>
      </c>
      <c r="H46" s="173"/>
      <c r="I46" s="173"/>
      <c r="J46" s="101">
        <v>19</v>
      </c>
      <c r="K46" s="101">
        <v>70</v>
      </c>
      <c r="L46" s="101">
        <v>400</v>
      </c>
      <c r="M46" s="101">
        <v>9474</v>
      </c>
      <c r="N46" s="101">
        <v>1593</v>
      </c>
      <c r="O46" s="101">
        <v>8</v>
      </c>
      <c r="P46" s="101">
        <v>18</v>
      </c>
      <c r="Q46" s="101">
        <v>57</v>
      </c>
      <c r="R46" s="101">
        <v>2008.7</v>
      </c>
      <c r="S46" s="101">
        <v>728.86599999999999</v>
      </c>
      <c r="T46" s="169">
        <v>1.02</v>
      </c>
      <c r="U46" s="101">
        <f t="shared" si="0"/>
        <v>8.16</v>
      </c>
      <c r="V46" s="101">
        <f t="shared" si="1"/>
        <v>18.36</v>
      </c>
      <c r="W46" s="101">
        <f t="shared" si="2"/>
        <v>58.14</v>
      </c>
      <c r="X46" s="101">
        <f t="shared" si="3"/>
        <v>2048.8740000000003</v>
      </c>
      <c r="Y46" s="101">
        <f t="shared" si="4"/>
        <v>743.44331999999997</v>
      </c>
      <c r="AA46" s="101">
        <v>2</v>
      </c>
      <c r="AB46" s="101">
        <v>2</v>
      </c>
      <c r="AC46" s="101">
        <v>2</v>
      </c>
      <c r="AD46" s="101">
        <v>0</v>
      </c>
      <c r="AE46" s="101">
        <v>0</v>
      </c>
    </row>
    <row r="47" spans="1:31" ht="11.25" hidden="1" customHeight="1" x14ac:dyDescent="0.3">
      <c r="A47" s="126" t="s">
        <v>171</v>
      </c>
      <c r="B47" s="126">
        <v>2</v>
      </c>
      <c r="C47" s="126">
        <v>27</v>
      </c>
      <c r="D47" s="126" t="str">
        <f t="shared" si="5"/>
        <v>227</v>
      </c>
      <c r="E47" s="101">
        <v>90</v>
      </c>
      <c r="F47" s="101">
        <v>1442</v>
      </c>
      <c r="G47" s="101">
        <v>5143</v>
      </c>
      <c r="H47" s="101">
        <v>42488.66</v>
      </c>
      <c r="I47" s="101">
        <v>12357.087</v>
      </c>
      <c r="J47" s="101">
        <v>79</v>
      </c>
      <c r="K47" s="101">
        <f>3022</f>
        <v>3022</v>
      </c>
      <c r="L47" s="101">
        <v>10594</v>
      </c>
      <c r="M47" s="101">
        <v>161680</v>
      </c>
      <c r="N47" s="101">
        <v>59284</v>
      </c>
      <c r="O47" s="101">
        <v>83</v>
      </c>
      <c r="P47" s="101">
        <v>2857</v>
      </c>
      <c r="Q47" s="101">
        <v>16413</v>
      </c>
      <c r="R47" s="101">
        <v>147193.24000000002</v>
      </c>
      <c r="S47" s="101">
        <v>65120.143000000004</v>
      </c>
      <c r="T47" s="169">
        <v>1.02</v>
      </c>
      <c r="U47" s="101">
        <f t="shared" si="0"/>
        <v>84.66</v>
      </c>
      <c r="V47" s="101">
        <f t="shared" si="1"/>
        <v>2914.14</v>
      </c>
      <c r="W47" s="101">
        <f t="shared" si="2"/>
        <v>16741.260000000002</v>
      </c>
      <c r="X47" s="101">
        <f t="shared" si="3"/>
        <v>150137.10480000003</v>
      </c>
      <c r="Y47" s="101">
        <f t="shared" si="4"/>
        <v>66422.545859999998</v>
      </c>
      <c r="AA47" s="101">
        <v>85</v>
      </c>
      <c r="AB47" s="101">
        <v>3437</v>
      </c>
      <c r="AC47" s="101">
        <v>17316</v>
      </c>
      <c r="AD47" s="101">
        <v>144168</v>
      </c>
      <c r="AE47" s="101">
        <v>59725</v>
      </c>
    </row>
    <row r="48" spans="1:31" s="135" customFormat="1" ht="11.25" hidden="1" customHeight="1" x14ac:dyDescent="0.3">
      <c r="A48" s="126" t="s">
        <v>171</v>
      </c>
      <c r="B48" s="126">
        <v>2</v>
      </c>
      <c r="C48" s="126">
        <v>91</v>
      </c>
      <c r="D48" s="126" t="str">
        <f t="shared" si="5"/>
        <v>291</v>
      </c>
      <c r="E48" s="134"/>
      <c r="F48" s="134">
        <v>0</v>
      </c>
      <c r="G48" s="134">
        <v>0</v>
      </c>
      <c r="H48" s="134"/>
      <c r="I48" s="134"/>
      <c r="J48" s="101">
        <v>85</v>
      </c>
      <c r="K48" s="101">
        <v>212</v>
      </c>
      <c r="L48" s="101">
        <v>3593</v>
      </c>
      <c r="M48" s="101">
        <v>12135</v>
      </c>
      <c r="N48" s="101">
        <v>2975</v>
      </c>
      <c r="O48" s="101">
        <v>44</v>
      </c>
      <c r="P48" s="101">
        <v>97</v>
      </c>
      <c r="Q48" s="101">
        <v>1703</v>
      </c>
      <c r="R48" s="101">
        <v>7426.5</v>
      </c>
      <c r="S48" s="101">
        <v>3698.9580000000001</v>
      </c>
      <c r="T48" s="169">
        <v>1.02</v>
      </c>
      <c r="U48" s="101">
        <f t="shared" si="0"/>
        <v>44.88</v>
      </c>
      <c r="V48" s="101">
        <f t="shared" si="1"/>
        <v>98.94</v>
      </c>
      <c r="W48" s="101">
        <f t="shared" si="2"/>
        <v>1737.06</v>
      </c>
      <c r="X48" s="101">
        <f t="shared" si="3"/>
        <v>7575.03</v>
      </c>
      <c r="Y48" s="101">
        <f t="shared" si="4"/>
        <v>3772.9371599999999</v>
      </c>
      <c r="AA48" s="101">
        <v>0</v>
      </c>
      <c r="AB48" s="101">
        <v>0</v>
      </c>
      <c r="AC48" s="101">
        <v>0</v>
      </c>
      <c r="AD48" s="101">
        <v>0</v>
      </c>
      <c r="AE48" s="101">
        <v>0</v>
      </c>
    </row>
    <row r="49" spans="1:31" s="135" customFormat="1" ht="11.25" hidden="1" customHeight="1" x14ac:dyDescent="0.3">
      <c r="A49" s="126" t="s">
        <v>171</v>
      </c>
      <c r="B49" s="126">
        <v>2</v>
      </c>
      <c r="C49" s="126">
        <v>41</v>
      </c>
      <c r="D49" s="126" t="str">
        <f t="shared" si="5"/>
        <v>241</v>
      </c>
      <c r="E49" s="134"/>
      <c r="F49" s="134"/>
      <c r="G49" s="134"/>
      <c r="H49" s="134"/>
      <c r="I49" s="134"/>
      <c r="J49" s="101"/>
      <c r="K49" s="101"/>
      <c r="L49" s="101"/>
      <c r="M49" s="101"/>
      <c r="N49" s="101"/>
      <c r="O49" s="101">
        <v>1</v>
      </c>
      <c r="P49" s="101">
        <v>1</v>
      </c>
      <c r="Q49" s="101">
        <v>2</v>
      </c>
      <c r="R49" s="101">
        <v>0</v>
      </c>
      <c r="S49" s="101">
        <v>14.896000000000001</v>
      </c>
      <c r="T49" s="169">
        <v>1.02</v>
      </c>
      <c r="U49" s="101">
        <f t="shared" si="0"/>
        <v>1.02</v>
      </c>
      <c r="V49" s="101">
        <f t="shared" si="1"/>
        <v>1.02</v>
      </c>
      <c r="W49" s="101">
        <f t="shared" si="2"/>
        <v>2.04</v>
      </c>
      <c r="X49" s="101">
        <f t="shared" si="3"/>
        <v>0</v>
      </c>
      <c r="Y49" s="101">
        <f t="shared" si="4"/>
        <v>15.19392</v>
      </c>
      <c r="AA49" s="101">
        <v>2</v>
      </c>
      <c r="AB49" s="101">
        <v>3</v>
      </c>
      <c r="AC49" s="101">
        <v>22</v>
      </c>
      <c r="AD49" s="101">
        <v>308</v>
      </c>
      <c r="AE49" s="101">
        <v>21</v>
      </c>
    </row>
    <row r="50" spans="1:31" s="135" customFormat="1" ht="11.25" customHeight="1" x14ac:dyDescent="0.3">
      <c r="A50" s="126" t="s">
        <v>171</v>
      </c>
      <c r="B50" s="126">
        <v>2</v>
      </c>
      <c r="C50" s="126" t="s">
        <v>172</v>
      </c>
      <c r="D50" s="126" t="str">
        <f t="shared" si="5"/>
        <v>2Uml</v>
      </c>
      <c r="E50" s="134"/>
      <c r="F50" s="134"/>
      <c r="G50" s="134"/>
      <c r="H50" s="134"/>
      <c r="I50" s="134"/>
      <c r="J50" s="101">
        <v>256</v>
      </c>
      <c r="K50" s="101">
        <v>256</v>
      </c>
      <c r="L50" s="101">
        <v>88500</v>
      </c>
      <c r="M50" s="101"/>
      <c r="N50" s="101">
        <v>642057</v>
      </c>
      <c r="O50" s="101">
        <v>260</v>
      </c>
      <c r="P50" s="101">
        <v>262</v>
      </c>
      <c r="Q50" s="101">
        <v>125001</v>
      </c>
      <c r="R50" s="101"/>
      <c r="S50" s="101">
        <v>242230</v>
      </c>
      <c r="T50" s="169">
        <v>1.02</v>
      </c>
      <c r="U50" s="101">
        <f t="shared" si="0"/>
        <v>265.2</v>
      </c>
      <c r="V50" s="101">
        <f t="shared" si="1"/>
        <v>267.24</v>
      </c>
      <c r="W50" s="101">
        <f t="shared" si="2"/>
        <v>127501.02</v>
      </c>
      <c r="X50" s="101">
        <f t="shared" si="3"/>
        <v>0</v>
      </c>
      <c r="Y50" s="101">
        <f t="shared" si="4"/>
        <v>247074.6</v>
      </c>
      <c r="AA50" s="101">
        <v>422</v>
      </c>
      <c r="AB50" s="101">
        <v>450</v>
      </c>
      <c r="AC50" s="101">
        <v>131182</v>
      </c>
      <c r="AD50" s="101"/>
      <c r="AE50" s="101">
        <v>383369.05300000001</v>
      </c>
    </row>
    <row r="51" spans="1:31" ht="11.25" hidden="1" customHeight="1" x14ac:dyDescent="0.3">
      <c r="A51" s="126" t="s">
        <v>171</v>
      </c>
      <c r="B51" s="126">
        <v>2</v>
      </c>
      <c r="C51" s="126">
        <v>37</v>
      </c>
      <c r="D51" s="126" t="str">
        <f t="shared" si="5"/>
        <v>237</v>
      </c>
      <c r="E51" s="101">
        <v>14</v>
      </c>
      <c r="F51" s="101">
        <v>53.25</v>
      </c>
      <c r="G51" s="101">
        <v>994</v>
      </c>
      <c r="H51" s="101">
        <v>4755.8100000000004</v>
      </c>
      <c r="I51" s="101">
        <v>2711.5720000000001</v>
      </c>
      <c r="J51" s="101">
        <v>41</v>
      </c>
      <c r="K51" s="101">
        <v>93</v>
      </c>
      <c r="L51" s="101">
        <v>2559</v>
      </c>
      <c r="M51" s="101">
        <v>10641</v>
      </c>
      <c r="N51" s="101">
        <v>4020</v>
      </c>
      <c r="O51" s="101">
        <v>39</v>
      </c>
      <c r="P51" s="101">
        <v>163</v>
      </c>
      <c r="Q51" s="101">
        <v>6746</v>
      </c>
      <c r="R51" s="101">
        <v>50313.609999999993</v>
      </c>
      <c r="S51" s="101">
        <v>26010.442999999999</v>
      </c>
      <c r="T51" s="169">
        <v>1.02</v>
      </c>
      <c r="U51" s="101">
        <f t="shared" si="0"/>
        <v>39.78</v>
      </c>
      <c r="V51" s="101">
        <f t="shared" si="1"/>
        <v>166.26</v>
      </c>
      <c r="W51" s="101">
        <f t="shared" si="2"/>
        <v>6880.92</v>
      </c>
      <c r="X51" s="101">
        <f t="shared" si="3"/>
        <v>51319.882199999993</v>
      </c>
      <c r="Y51" s="101">
        <f t="shared" si="4"/>
        <v>26530.651859999998</v>
      </c>
      <c r="AA51" s="101">
        <v>40</v>
      </c>
      <c r="AB51" s="101">
        <v>79</v>
      </c>
      <c r="AC51" s="101">
        <v>2390</v>
      </c>
      <c r="AD51" s="101">
        <v>13404</v>
      </c>
      <c r="AE51" s="101">
        <v>4418</v>
      </c>
    </row>
    <row r="52" spans="1:31" ht="11.25" hidden="1" customHeight="1" x14ac:dyDescent="0.3">
      <c r="A52" s="126" t="s">
        <v>171</v>
      </c>
      <c r="B52" s="126">
        <v>3</v>
      </c>
      <c r="C52" s="126">
        <v>12</v>
      </c>
      <c r="D52" s="126" t="str">
        <f t="shared" si="5"/>
        <v>312</v>
      </c>
      <c r="E52" s="101">
        <v>58</v>
      </c>
      <c r="F52" s="101">
        <v>79</v>
      </c>
      <c r="G52" s="101">
        <v>137</v>
      </c>
      <c r="H52" s="101">
        <v>2348.9900000000002</v>
      </c>
      <c r="I52" s="101">
        <v>545.70900000000006</v>
      </c>
      <c r="J52" s="101">
        <v>71</v>
      </c>
      <c r="K52" s="101">
        <v>134</v>
      </c>
      <c r="L52" s="101">
        <v>177</v>
      </c>
      <c r="M52" s="101">
        <v>3186</v>
      </c>
      <c r="N52" s="101">
        <v>690</v>
      </c>
      <c r="O52" s="101">
        <v>28</v>
      </c>
      <c r="P52" s="101">
        <v>65</v>
      </c>
      <c r="Q52" s="101">
        <v>149</v>
      </c>
      <c r="R52" s="101">
        <v>4181.0600000000004</v>
      </c>
      <c r="S52" s="101">
        <v>994.346</v>
      </c>
      <c r="T52" s="169">
        <v>1.02</v>
      </c>
      <c r="U52" s="101">
        <f t="shared" si="0"/>
        <v>28.560000000000002</v>
      </c>
      <c r="V52" s="101">
        <f t="shared" si="1"/>
        <v>66.3</v>
      </c>
      <c r="W52" s="101">
        <f t="shared" si="2"/>
        <v>151.97999999999999</v>
      </c>
      <c r="X52" s="101">
        <f t="shared" si="3"/>
        <v>4264.6812000000009</v>
      </c>
      <c r="Y52" s="101">
        <f t="shared" si="4"/>
        <v>1014.23292</v>
      </c>
      <c r="AA52" s="101">
        <v>16</v>
      </c>
      <c r="AB52" s="101">
        <v>21</v>
      </c>
      <c r="AC52" s="101">
        <v>28</v>
      </c>
      <c r="AD52" s="101">
        <v>384</v>
      </c>
      <c r="AE52" s="101">
        <v>95</v>
      </c>
    </row>
    <row r="53" spans="1:31" s="126" customFormat="1" ht="11.25" hidden="1" customHeight="1" x14ac:dyDescent="0.3">
      <c r="A53" s="126" t="s">
        <v>171</v>
      </c>
      <c r="B53" s="126">
        <v>3</v>
      </c>
      <c r="C53" s="126">
        <v>14</v>
      </c>
      <c r="D53" s="126" t="str">
        <f t="shared" si="5"/>
        <v>314</v>
      </c>
      <c r="E53" s="127"/>
      <c r="F53" s="127">
        <v>0</v>
      </c>
      <c r="G53" s="127">
        <v>0</v>
      </c>
      <c r="H53" s="127"/>
      <c r="I53" s="127"/>
      <c r="J53" s="101">
        <v>1</v>
      </c>
      <c r="K53" s="101">
        <v>4</v>
      </c>
      <c r="L53" s="101">
        <v>6</v>
      </c>
      <c r="M53" s="101">
        <v>325</v>
      </c>
      <c r="N53" s="101">
        <v>48</v>
      </c>
      <c r="O53" s="101">
        <v>34</v>
      </c>
      <c r="P53" s="101">
        <v>54</v>
      </c>
      <c r="Q53" s="101">
        <v>84</v>
      </c>
      <c r="R53" s="101">
        <v>3896.57</v>
      </c>
      <c r="S53" s="101">
        <v>660.84299999999996</v>
      </c>
      <c r="T53" s="169">
        <v>1.02</v>
      </c>
      <c r="U53" s="101">
        <f t="shared" si="0"/>
        <v>34.68</v>
      </c>
      <c r="V53" s="101">
        <f t="shared" si="1"/>
        <v>55.08</v>
      </c>
      <c r="W53" s="101">
        <f t="shared" si="2"/>
        <v>85.68</v>
      </c>
      <c r="X53" s="101">
        <f t="shared" si="3"/>
        <v>3974.5014000000001</v>
      </c>
      <c r="Y53" s="101">
        <f t="shared" si="4"/>
        <v>674.05985999999996</v>
      </c>
      <c r="AA53" s="101">
        <v>80</v>
      </c>
      <c r="AB53" s="101">
        <v>89</v>
      </c>
      <c r="AC53" s="101">
        <v>138</v>
      </c>
      <c r="AD53" s="101">
        <v>6252</v>
      </c>
      <c r="AE53" s="101">
        <v>918</v>
      </c>
    </row>
    <row r="54" spans="1:31" ht="11.25" hidden="1" customHeight="1" x14ac:dyDescent="0.3">
      <c r="A54" s="126" t="s">
        <v>171</v>
      </c>
      <c r="B54" s="126">
        <v>3</v>
      </c>
      <c r="C54" s="126">
        <v>17</v>
      </c>
      <c r="D54" s="126" t="str">
        <f t="shared" si="5"/>
        <v>317</v>
      </c>
      <c r="E54" s="101">
        <v>2238</v>
      </c>
      <c r="F54" s="101">
        <v>3256</v>
      </c>
      <c r="G54" s="101">
        <v>4668</v>
      </c>
      <c r="H54" s="101">
        <v>147141.83000000002</v>
      </c>
      <c r="I54" s="101">
        <v>27343.23</v>
      </c>
      <c r="J54" s="101">
        <v>4600</v>
      </c>
      <c r="K54" s="101">
        <v>6623</v>
      </c>
      <c r="L54" s="101">
        <v>9081</v>
      </c>
      <c r="M54" s="101">
        <v>267030</v>
      </c>
      <c r="N54" s="101">
        <v>63074</v>
      </c>
      <c r="O54" s="101">
        <v>981</v>
      </c>
      <c r="P54" s="101">
        <v>1591</v>
      </c>
      <c r="Q54" s="101">
        <v>2182</v>
      </c>
      <c r="R54" s="101">
        <v>77436.55</v>
      </c>
      <c r="S54" s="101">
        <v>12137.048000000001</v>
      </c>
      <c r="T54" s="169">
        <v>1.02</v>
      </c>
      <c r="U54" s="101">
        <v>1058</v>
      </c>
      <c r="V54" s="101">
        <v>2080</v>
      </c>
      <c r="W54" s="101">
        <v>2992</v>
      </c>
      <c r="X54" s="144">
        <f t="shared" si="3"/>
        <v>78985.281000000003</v>
      </c>
      <c r="Y54" s="101">
        <v>15000</v>
      </c>
      <c r="AA54" s="101">
        <v>1722</v>
      </c>
      <c r="AB54" s="101">
        <v>2747</v>
      </c>
      <c r="AC54" s="101">
        <v>4225</v>
      </c>
      <c r="AD54" s="101">
        <v>110900</v>
      </c>
      <c r="AE54" s="101">
        <v>20356</v>
      </c>
    </row>
    <row r="55" spans="1:31" ht="11.25" hidden="1" customHeight="1" x14ac:dyDescent="0.3">
      <c r="A55" s="126" t="s">
        <v>171</v>
      </c>
      <c r="B55" s="126">
        <v>3</v>
      </c>
      <c r="C55" s="126">
        <v>18</v>
      </c>
      <c r="D55" s="126" t="str">
        <f t="shared" si="5"/>
        <v>318</v>
      </c>
      <c r="E55" s="101">
        <v>236</v>
      </c>
      <c r="F55" s="101">
        <v>324</v>
      </c>
      <c r="G55" s="101">
        <v>552</v>
      </c>
      <c r="H55" s="101">
        <v>17284.12</v>
      </c>
      <c r="I55" s="101">
        <v>2800.1460000000002</v>
      </c>
      <c r="J55" s="101">
        <v>337</v>
      </c>
      <c r="K55" s="101">
        <v>556</v>
      </c>
      <c r="L55" s="101">
        <v>774</v>
      </c>
      <c r="M55" s="101">
        <v>29629</v>
      </c>
      <c r="N55" s="101">
        <v>4751</v>
      </c>
      <c r="O55" s="101">
        <v>2890</v>
      </c>
      <c r="P55" s="101">
        <v>3116</v>
      </c>
      <c r="Q55" s="101">
        <v>5674</v>
      </c>
      <c r="R55" s="101">
        <v>153831.07999999999</v>
      </c>
      <c r="S55" s="101">
        <v>91045.444000000003</v>
      </c>
      <c r="T55" s="169">
        <v>1.02</v>
      </c>
      <c r="U55" s="101">
        <f>O55*T55</f>
        <v>2947.8</v>
      </c>
      <c r="V55" s="101">
        <f t="shared" si="1"/>
        <v>3178.32</v>
      </c>
      <c r="W55" s="101">
        <f t="shared" si="2"/>
        <v>5787.4800000000005</v>
      </c>
      <c r="X55" s="101">
        <f t="shared" si="3"/>
        <v>156907.7016</v>
      </c>
      <c r="Y55" s="101">
        <f t="shared" si="4"/>
        <v>92866.352880000006</v>
      </c>
      <c r="AA55" s="101">
        <v>2130</v>
      </c>
      <c r="AB55" s="101">
        <v>2340</v>
      </c>
      <c r="AC55" s="101">
        <v>5413</v>
      </c>
      <c r="AD55" s="101">
        <v>119843</v>
      </c>
      <c r="AE55" s="101">
        <v>86979</v>
      </c>
    </row>
    <row r="56" spans="1:31" ht="11.25" hidden="1" customHeight="1" x14ac:dyDescent="0.3">
      <c r="A56" s="126" t="s">
        <v>171</v>
      </c>
      <c r="B56" s="126">
        <v>3</v>
      </c>
      <c r="C56" s="126">
        <v>28</v>
      </c>
      <c r="D56" s="126" t="str">
        <f t="shared" si="5"/>
        <v>328</v>
      </c>
      <c r="E56" s="101">
        <v>432</v>
      </c>
      <c r="F56" s="101">
        <v>2636</v>
      </c>
      <c r="G56" s="101">
        <v>23035</v>
      </c>
      <c r="H56" s="101">
        <v>533798.49</v>
      </c>
      <c r="I56" s="101">
        <v>110774.65399999998</v>
      </c>
      <c r="J56" s="101">
        <v>274</v>
      </c>
      <c r="K56" s="101">
        <v>3107</v>
      </c>
      <c r="L56" s="101">
        <v>19960</v>
      </c>
      <c r="M56" s="101">
        <v>441587</v>
      </c>
      <c r="N56" s="101">
        <v>109525</v>
      </c>
      <c r="O56" s="101">
        <v>295</v>
      </c>
      <c r="P56" s="101">
        <v>2315</v>
      </c>
      <c r="Q56" s="101">
        <v>16388</v>
      </c>
      <c r="R56" s="101">
        <v>370045.75</v>
      </c>
      <c r="S56" s="101">
        <v>86527.316999999995</v>
      </c>
      <c r="T56" s="169">
        <v>1.02</v>
      </c>
      <c r="U56" s="101">
        <f t="shared" si="0"/>
        <v>300.89999999999998</v>
      </c>
      <c r="V56" s="101">
        <f t="shared" si="1"/>
        <v>2361.3000000000002</v>
      </c>
      <c r="W56" s="101">
        <f t="shared" si="2"/>
        <v>16715.760000000002</v>
      </c>
      <c r="X56" s="101">
        <f t="shared" si="3"/>
        <v>377446.66499999998</v>
      </c>
      <c r="Y56" s="101">
        <f t="shared" si="4"/>
        <v>88257.863339999996</v>
      </c>
      <c r="AA56" s="101">
        <v>266</v>
      </c>
      <c r="AB56" s="101">
        <v>3352</v>
      </c>
      <c r="AC56" s="101">
        <v>15534</v>
      </c>
      <c r="AD56" s="101">
        <v>330847</v>
      </c>
      <c r="AE56" s="101">
        <v>81399</v>
      </c>
    </row>
    <row r="57" spans="1:31" s="135" customFormat="1" ht="11.25" hidden="1" customHeight="1" x14ac:dyDescent="0.3">
      <c r="A57" s="126" t="s">
        <v>171</v>
      </c>
      <c r="B57" s="126">
        <v>3</v>
      </c>
      <c r="C57" s="126">
        <v>44</v>
      </c>
      <c r="D57" s="126" t="str">
        <f t="shared" si="5"/>
        <v>344</v>
      </c>
      <c r="E57" s="134"/>
      <c r="F57" s="134">
        <v>0</v>
      </c>
      <c r="G57" s="134">
        <v>0</v>
      </c>
      <c r="H57" s="134"/>
      <c r="I57" s="134"/>
      <c r="J57" s="101">
        <v>1</v>
      </c>
      <c r="K57" s="101">
        <v>9</v>
      </c>
      <c r="L57" s="101">
        <v>107</v>
      </c>
      <c r="M57" s="101">
        <v>4681</v>
      </c>
      <c r="N57" s="101">
        <v>493</v>
      </c>
      <c r="O57" s="101">
        <v>0</v>
      </c>
      <c r="P57" s="101">
        <v>0</v>
      </c>
      <c r="Q57" s="101">
        <v>0</v>
      </c>
      <c r="R57" s="101">
        <v>0</v>
      </c>
      <c r="S57" s="101">
        <v>0</v>
      </c>
      <c r="T57" s="169">
        <v>1.02</v>
      </c>
      <c r="U57" s="101">
        <f t="shared" si="0"/>
        <v>0</v>
      </c>
      <c r="V57" s="101">
        <f t="shared" si="1"/>
        <v>0</v>
      </c>
      <c r="W57" s="101">
        <f t="shared" si="2"/>
        <v>0</v>
      </c>
      <c r="X57" s="101">
        <f t="shared" si="3"/>
        <v>0</v>
      </c>
      <c r="Y57" s="101">
        <f t="shared" si="4"/>
        <v>0</v>
      </c>
      <c r="AA57" s="101">
        <v>0</v>
      </c>
      <c r="AB57" s="101">
        <v>0</v>
      </c>
      <c r="AC57" s="101">
        <v>0</v>
      </c>
      <c r="AD57" s="101">
        <v>0</v>
      </c>
      <c r="AE57" s="101">
        <v>0</v>
      </c>
    </row>
    <row r="58" spans="1:31" ht="11.25" hidden="1" customHeight="1" x14ac:dyDescent="0.3">
      <c r="A58" s="126" t="s">
        <v>171</v>
      </c>
      <c r="B58" s="126">
        <v>3</v>
      </c>
      <c r="C58" s="126">
        <v>46</v>
      </c>
      <c r="D58" s="126" t="str">
        <f t="shared" si="5"/>
        <v>346</v>
      </c>
      <c r="E58" s="101">
        <v>312</v>
      </c>
      <c r="F58" s="101">
        <v>730</v>
      </c>
      <c r="G58" s="101">
        <v>17296</v>
      </c>
      <c r="H58" s="101">
        <v>201878.95</v>
      </c>
      <c r="I58" s="101">
        <v>88987.263999999996</v>
      </c>
      <c r="J58" s="101">
        <v>207</v>
      </c>
      <c r="K58" s="101">
        <v>514</v>
      </c>
      <c r="L58" s="101">
        <v>10703</v>
      </c>
      <c r="M58" s="101">
        <v>251994</v>
      </c>
      <c r="N58" s="101">
        <v>83920</v>
      </c>
      <c r="O58" s="101">
        <v>207</v>
      </c>
      <c r="P58" s="101">
        <v>415</v>
      </c>
      <c r="Q58" s="101">
        <v>7699</v>
      </c>
      <c r="R58" s="101">
        <v>97010.04</v>
      </c>
      <c r="S58" s="101">
        <v>26691.613000000001</v>
      </c>
      <c r="T58" s="169">
        <v>1.02</v>
      </c>
      <c r="U58" s="101">
        <f t="shared" si="0"/>
        <v>211.14000000000001</v>
      </c>
      <c r="V58" s="101">
        <f t="shared" si="1"/>
        <v>423.3</v>
      </c>
      <c r="W58" s="101">
        <f t="shared" si="2"/>
        <v>7852.9800000000005</v>
      </c>
      <c r="X58" s="101">
        <f t="shared" si="3"/>
        <v>98950.2408</v>
      </c>
      <c r="Y58" s="101">
        <f t="shared" si="4"/>
        <v>27225.44526</v>
      </c>
      <c r="AA58" s="101">
        <v>243</v>
      </c>
      <c r="AB58" s="101">
        <v>438</v>
      </c>
      <c r="AC58" s="101">
        <v>22027</v>
      </c>
      <c r="AD58" s="101">
        <v>472363</v>
      </c>
      <c r="AE58" s="101">
        <v>216418</v>
      </c>
    </row>
    <row r="59" spans="1:31" ht="11.25" hidden="1" customHeight="1" x14ac:dyDescent="0.3">
      <c r="A59" s="126" t="s">
        <v>171</v>
      </c>
      <c r="B59" s="126">
        <v>3</v>
      </c>
      <c r="C59" s="126">
        <v>47</v>
      </c>
      <c r="D59" s="126" t="str">
        <f t="shared" si="5"/>
        <v>347</v>
      </c>
      <c r="E59" s="101">
        <v>1</v>
      </c>
      <c r="F59" s="101">
        <v>4</v>
      </c>
      <c r="G59" s="101">
        <v>4</v>
      </c>
      <c r="H59" s="101">
        <v>89.53</v>
      </c>
      <c r="I59" s="101">
        <v>51.572000000000003</v>
      </c>
      <c r="J59" s="101">
        <v>0</v>
      </c>
      <c r="K59" s="101">
        <v>0</v>
      </c>
      <c r="L59" s="101">
        <v>0</v>
      </c>
      <c r="M59" s="101">
        <v>0</v>
      </c>
      <c r="N59" s="101">
        <v>0</v>
      </c>
      <c r="O59" s="101">
        <v>0</v>
      </c>
      <c r="P59" s="101">
        <v>0</v>
      </c>
      <c r="Q59" s="101">
        <v>0</v>
      </c>
      <c r="R59" s="101">
        <v>0</v>
      </c>
      <c r="S59" s="101">
        <v>0</v>
      </c>
      <c r="T59" s="169">
        <v>1.02</v>
      </c>
      <c r="U59" s="101">
        <f t="shared" si="0"/>
        <v>0</v>
      </c>
      <c r="V59" s="101">
        <f t="shared" si="1"/>
        <v>0</v>
      </c>
      <c r="W59" s="101">
        <f t="shared" si="2"/>
        <v>0</v>
      </c>
      <c r="X59" s="101">
        <f t="shared" si="3"/>
        <v>0</v>
      </c>
      <c r="Y59" s="101">
        <f t="shared" si="4"/>
        <v>0</v>
      </c>
      <c r="AA59" s="101">
        <v>6</v>
      </c>
      <c r="AB59" s="101">
        <v>7</v>
      </c>
      <c r="AC59" s="101">
        <v>178</v>
      </c>
      <c r="AD59" s="101">
        <v>5017</v>
      </c>
      <c r="AE59" s="101">
        <v>1021</v>
      </c>
    </row>
    <row r="60" spans="1:31" ht="11.25" hidden="1" customHeight="1" x14ac:dyDescent="0.3">
      <c r="A60" s="126" t="s">
        <v>171</v>
      </c>
      <c r="B60" s="126">
        <v>3</v>
      </c>
      <c r="C60" s="126">
        <v>43</v>
      </c>
      <c r="D60" s="126" t="str">
        <f t="shared" si="5"/>
        <v>343</v>
      </c>
      <c r="J60" s="101">
        <v>0</v>
      </c>
      <c r="K60" s="101">
        <v>0</v>
      </c>
      <c r="L60" s="101">
        <v>0</v>
      </c>
      <c r="M60" s="101">
        <v>0</v>
      </c>
      <c r="N60" s="101">
        <v>0</v>
      </c>
      <c r="O60" s="101">
        <v>0</v>
      </c>
      <c r="P60" s="101">
        <v>0</v>
      </c>
      <c r="Q60" s="101">
        <v>0</v>
      </c>
      <c r="R60" s="101">
        <v>0</v>
      </c>
      <c r="S60" s="101">
        <v>0</v>
      </c>
      <c r="T60" s="169">
        <v>1.02</v>
      </c>
      <c r="U60" s="101">
        <f t="shared" si="0"/>
        <v>0</v>
      </c>
      <c r="V60" s="101">
        <f t="shared" si="1"/>
        <v>0</v>
      </c>
      <c r="W60" s="101">
        <f t="shared" si="2"/>
        <v>0</v>
      </c>
      <c r="X60" s="101">
        <f t="shared" si="3"/>
        <v>0</v>
      </c>
      <c r="Y60" s="101">
        <f t="shared" si="4"/>
        <v>0</v>
      </c>
      <c r="AA60" s="101">
        <v>0</v>
      </c>
      <c r="AB60" s="101">
        <v>0</v>
      </c>
      <c r="AC60" s="101">
        <v>0</v>
      </c>
      <c r="AD60" s="101">
        <v>0</v>
      </c>
      <c r="AE60" s="101">
        <v>0</v>
      </c>
    </row>
    <row r="61" spans="1:31" ht="11.25" hidden="1" customHeight="1" x14ac:dyDescent="0.3">
      <c r="A61" s="126" t="s">
        <v>171</v>
      </c>
      <c r="B61" s="126">
        <v>3</v>
      </c>
      <c r="C61" s="126">
        <v>45</v>
      </c>
      <c r="D61" s="126" t="str">
        <f t="shared" si="5"/>
        <v>345</v>
      </c>
      <c r="J61" s="101">
        <v>0</v>
      </c>
      <c r="K61" s="101">
        <v>0</v>
      </c>
      <c r="L61" s="101">
        <v>0</v>
      </c>
      <c r="M61" s="101">
        <v>0</v>
      </c>
      <c r="N61" s="101">
        <v>0</v>
      </c>
      <c r="O61" s="101">
        <v>0</v>
      </c>
      <c r="P61" s="101">
        <v>0</v>
      </c>
      <c r="Q61" s="101">
        <v>0</v>
      </c>
      <c r="R61" s="101">
        <v>0</v>
      </c>
      <c r="S61" s="101">
        <v>0</v>
      </c>
      <c r="T61" s="169">
        <v>1.02</v>
      </c>
      <c r="U61" s="101">
        <f t="shared" si="0"/>
        <v>0</v>
      </c>
      <c r="V61" s="101">
        <f t="shared" si="1"/>
        <v>0</v>
      </c>
      <c r="W61" s="101">
        <f t="shared" si="2"/>
        <v>0</v>
      </c>
      <c r="X61" s="101">
        <f t="shared" si="3"/>
        <v>0</v>
      </c>
      <c r="Y61" s="101">
        <f t="shared" si="4"/>
        <v>0</v>
      </c>
      <c r="AA61" s="101">
        <v>0</v>
      </c>
      <c r="AB61" s="101">
        <v>0</v>
      </c>
      <c r="AC61" s="101">
        <v>0</v>
      </c>
      <c r="AD61" s="101">
        <v>0</v>
      </c>
      <c r="AE61" s="101">
        <v>0</v>
      </c>
    </row>
    <row r="62" spans="1:31" ht="11.25" hidden="1" customHeight="1" x14ac:dyDescent="0.3">
      <c r="A62" s="126" t="s">
        <v>171</v>
      </c>
      <c r="B62" s="126">
        <v>3</v>
      </c>
      <c r="C62" s="126">
        <v>48</v>
      </c>
      <c r="D62" s="126" t="str">
        <f t="shared" si="5"/>
        <v>348</v>
      </c>
      <c r="J62" s="101">
        <v>0</v>
      </c>
      <c r="K62" s="101">
        <v>0</v>
      </c>
      <c r="L62" s="101">
        <v>0</v>
      </c>
      <c r="M62" s="101">
        <v>0</v>
      </c>
      <c r="N62" s="101">
        <v>0</v>
      </c>
      <c r="O62" s="101">
        <v>0</v>
      </c>
      <c r="P62" s="101">
        <v>0</v>
      </c>
      <c r="Q62" s="101">
        <v>0</v>
      </c>
      <c r="R62" s="101">
        <v>0</v>
      </c>
      <c r="S62" s="101">
        <v>0</v>
      </c>
      <c r="T62" s="169">
        <v>1.02</v>
      </c>
      <c r="U62" s="101">
        <f t="shared" si="0"/>
        <v>0</v>
      </c>
      <c r="V62" s="101">
        <f t="shared" si="1"/>
        <v>0</v>
      </c>
      <c r="W62" s="101">
        <f t="shared" si="2"/>
        <v>0</v>
      </c>
      <c r="X62" s="101">
        <f t="shared" si="3"/>
        <v>0</v>
      </c>
      <c r="Y62" s="101">
        <f t="shared" si="4"/>
        <v>0</v>
      </c>
      <c r="AA62" s="101">
        <v>0</v>
      </c>
      <c r="AB62" s="101">
        <v>0</v>
      </c>
      <c r="AC62" s="101">
        <v>0</v>
      </c>
      <c r="AD62" s="101">
        <v>0</v>
      </c>
      <c r="AE62" s="101">
        <v>0</v>
      </c>
    </row>
    <row r="63" spans="1:31" ht="11.25" hidden="1" customHeight="1" x14ac:dyDescent="0.3">
      <c r="A63" s="126" t="s">
        <v>171</v>
      </c>
      <c r="B63" s="126">
        <v>3</v>
      </c>
      <c r="C63" s="126">
        <v>66</v>
      </c>
      <c r="D63" s="126" t="str">
        <f t="shared" si="5"/>
        <v>366</v>
      </c>
      <c r="E63" s="101">
        <v>652</v>
      </c>
      <c r="F63" s="101">
        <v>1317</v>
      </c>
      <c r="G63" s="101">
        <v>17840</v>
      </c>
      <c r="H63" s="101">
        <v>134763.94</v>
      </c>
      <c r="I63" s="101">
        <v>64611.005000000005</v>
      </c>
      <c r="J63" s="101">
        <v>404</v>
      </c>
      <c r="K63" s="101">
        <v>1162</v>
      </c>
      <c r="L63" s="101">
        <v>30440</v>
      </c>
      <c r="M63" s="101">
        <v>136042</v>
      </c>
      <c r="N63" s="101">
        <v>56234</v>
      </c>
      <c r="O63" s="101">
        <v>457</v>
      </c>
      <c r="P63" s="101">
        <v>1582</v>
      </c>
      <c r="Q63" s="101">
        <v>29601</v>
      </c>
      <c r="R63" s="101">
        <v>197187.24</v>
      </c>
      <c r="S63" s="101">
        <v>113486.76</v>
      </c>
      <c r="T63" s="169">
        <v>1.02</v>
      </c>
      <c r="U63" s="101">
        <f t="shared" si="0"/>
        <v>466.14</v>
      </c>
      <c r="V63" s="101">
        <f t="shared" si="1"/>
        <v>1613.64</v>
      </c>
      <c r="W63" s="101">
        <f t="shared" si="2"/>
        <v>30193.02</v>
      </c>
      <c r="X63" s="101">
        <f t="shared" si="3"/>
        <v>201130.98480000001</v>
      </c>
      <c r="Y63" s="101">
        <f t="shared" si="4"/>
        <v>115756.49519999999</v>
      </c>
      <c r="AA63" s="101">
        <v>498</v>
      </c>
      <c r="AB63" s="101">
        <v>1430</v>
      </c>
      <c r="AC63" s="101">
        <v>28891</v>
      </c>
      <c r="AD63" s="101">
        <v>151940</v>
      </c>
      <c r="AE63" s="101">
        <v>64913</v>
      </c>
    </row>
    <row r="64" spans="1:31" s="126" customFormat="1" ht="11.25" hidden="1" customHeight="1" x14ac:dyDescent="0.3">
      <c r="A64" s="126" t="s">
        <v>171</v>
      </c>
      <c r="B64" s="126">
        <v>3</v>
      </c>
      <c r="C64" s="126">
        <v>30</v>
      </c>
      <c r="D64" s="126" t="str">
        <f t="shared" si="5"/>
        <v>330</v>
      </c>
      <c r="E64" s="127">
        <v>693</v>
      </c>
      <c r="F64" s="134">
        <v>6629</v>
      </c>
      <c r="G64" s="127">
        <v>23766</v>
      </c>
      <c r="H64" s="127">
        <v>473787.20499999996</v>
      </c>
      <c r="I64" s="127">
        <v>151142.9675</v>
      </c>
      <c r="J64" s="101">
        <v>560</v>
      </c>
      <c r="K64" s="101">
        <v>5818</v>
      </c>
      <c r="L64" s="101">
        <v>20382</v>
      </c>
      <c r="M64" s="101">
        <v>614338</v>
      </c>
      <c r="N64" s="101">
        <v>183020</v>
      </c>
      <c r="O64" s="101">
        <v>456</v>
      </c>
      <c r="P64" s="101">
        <v>5917</v>
      </c>
      <c r="Q64" s="101">
        <v>20371</v>
      </c>
      <c r="R64" s="101">
        <v>444261.95</v>
      </c>
      <c r="S64" s="101">
        <v>142237.935</v>
      </c>
      <c r="T64" s="169">
        <v>1.02</v>
      </c>
      <c r="U64" s="101">
        <f t="shared" si="0"/>
        <v>465.12</v>
      </c>
      <c r="V64" s="101">
        <f t="shared" si="1"/>
        <v>6035.34</v>
      </c>
      <c r="W64" s="101">
        <f t="shared" si="2"/>
        <v>20778.420000000002</v>
      </c>
      <c r="X64" s="101">
        <f t="shared" si="3"/>
        <v>453147.18900000001</v>
      </c>
      <c r="Y64" s="101">
        <f t="shared" si="4"/>
        <v>145082.6937</v>
      </c>
      <c r="AA64" s="101">
        <v>88</v>
      </c>
      <c r="AB64" s="101">
        <v>99</v>
      </c>
      <c r="AC64" s="101">
        <v>1392</v>
      </c>
      <c r="AD64" s="101">
        <v>79375</v>
      </c>
      <c r="AE64" s="101">
        <v>40874</v>
      </c>
    </row>
    <row r="65" spans="1:31" ht="11.25" hidden="1" customHeight="1" x14ac:dyDescent="0.3">
      <c r="A65" s="126" t="s">
        <v>171</v>
      </c>
      <c r="B65" s="126">
        <v>3</v>
      </c>
      <c r="C65" s="126">
        <v>32</v>
      </c>
      <c r="D65" s="126" t="str">
        <f t="shared" si="5"/>
        <v>332</v>
      </c>
      <c r="F65" s="101">
        <v>0</v>
      </c>
      <c r="G65" s="101">
        <v>0</v>
      </c>
      <c r="J65" s="101">
        <v>79</v>
      </c>
      <c r="K65" s="101">
        <v>125</v>
      </c>
      <c r="L65" s="101">
        <v>471</v>
      </c>
      <c r="M65" s="101">
        <v>31435</v>
      </c>
      <c r="N65" s="101">
        <v>4323</v>
      </c>
      <c r="O65" s="101">
        <v>57</v>
      </c>
      <c r="P65" s="101">
        <v>105</v>
      </c>
      <c r="Q65" s="101">
        <v>1508</v>
      </c>
      <c r="R65" s="101">
        <v>28235.200000000001</v>
      </c>
      <c r="S65" s="101">
        <v>13305.404</v>
      </c>
      <c r="T65" s="169">
        <v>1.02</v>
      </c>
      <c r="U65" s="101">
        <f t="shared" si="0"/>
        <v>58.14</v>
      </c>
      <c r="V65" s="101">
        <f t="shared" si="1"/>
        <v>107.10000000000001</v>
      </c>
      <c r="W65" s="101">
        <f t="shared" si="2"/>
        <v>1538.16</v>
      </c>
      <c r="X65" s="101">
        <f t="shared" si="3"/>
        <v>28799.904000000002</v>
      </c>
      <c r="Y65" s="101">
        <f t="shared" si="4"/>
        <v>13571.51208</v>
      </c>
      <c r="AA65" s="101">
        <v>52</v>
      </c>
      <c r="AB65" s="101">
        <v>233</v>
      </c>
      <c r="AC65" s="101">
        <v>10443</v>
      </c>
      <c r="AD65" s="101">
        <v>60026</v>
      </c>
      <c r="AE65" s="101">
        <v>19282</v>
      </c>
    </row>
    <row r="66" spans="1:31" ht="11.25" hidden="1" customHeight="1" x14ac:dyDescent="0.3">
      <c r="A66" s="126" t="s">
        <v>171</v>
      </c>
      <c r="B66" s="126">
        <v>3</v>
      </c>
      <c r="C66" s="126">
        <v>21</v>
      </c>
      <c r="D66" s="126" t="str">
        <f t="shared" si="5"/>
        <v>321</v>
      </c>
      <c r="E66" s="101">
        <v>1286</v>
      </c>
      <c r="F66" s="101">
        <v>7875</v>
      </c>
      <c r="G66" s="101">
        <v>41156.5</v>
      </c>
      <c r="H66" s="101">
        <v>622508.0149999999</v>
      </c>
      <c r="I66" s="101">
        <v>206386.80499999999</v>
      </c>
      <c r="J66" s="101">
        <v>1530</v>
      </c>
      <c r="K66" s="101">
        <v>7048</v>
      </c>
      <c r="L66" s="101">
        <v>27153</v>
      </c>
      <c r="M66" s="101">
        <v>378469</v>
      </c>
      <c r="N66" s="101">
        <v>93559</v>
      </c>
      <c r="O66" s="101">
        <v>1053</v>
      </c>
      <c r="P66" s="101">
        <v>9000</v>
      </c>
      <c r="Q66" s="101">
        <v>37517</v>
      </c>
      <c r="R66" s="101">
        <v>532566.36</v>
      </c>
      <c r="S66" s="101">
        <v>149516.40299999999</v>
      </c>
      <c r="T66" s="169">
        <v>1.02</v>
      </c>
      <c r="U66" s="101">
        <f t="shared" si="0"/>
        <v>1074.06</v>
      </c>
      <c r="V66" s="101">
        <f t="shared" si="1"/>
        <v>9180</v>
      </c>
      <c r="W66" s="101">
        <f t="shared" si="2"/>
        <v>38267.340000000004</v>
      </c>
      <c r="X66" s="101">
        <f t="shared" si="3"/>
        <v>543217.68720000004</v>
      </c>
      <c r="Y66" s="101">
        <f t="shared" si="4"/>
        <v>152506.73105999999</v>
      </c>
      <c r="AA66" s="101">
        <v>1111</v>
      </c>
      <c r="AB66" s="101">
        <v>12854</v>
      </c>
      <c r="AC66" s="101">
        <v>72319</v>
      </c>
      <c r="AD66" s="101">
        <v>853066</v>
      </c>
      <c r="AE66" s="101">
        <v>297649</v>
      </c>
    </row>
    <row r="67" spans="1:31" s="135" customFormat="1" ht="11.25" hidden="1" customHeight="1" x14ac:dyDescent="0.3">
      <c r="A67" s="126" t="s">
        <v>171</v>
      </c>
      <c r="B67" s="126">
        <v>3</v>
      </c>
      <c r="C67" s="126">
        <v>22</v>
      </c>
      <c r="D67" s="126" t="str">
        <f t="shared" si="5"/>
        <v>322</v>
      </c>
      <c r="E67" s="134"/>
      <c r="F67" s="134">
        <v>0</v>
      </c>
      <c r="G67" s="134">
        <v>0</v>
      </c>
      <c r="H67" s="134"/>
      <c r="I67" s="134"/>
      <c r="J67" s="101">
        <v>7</v>
      </c>
      <c r="K67" s="101">
        <v>8</v>
      </c>
      <c r="L67" s="101">
        <v>28</v>
      </c>
      <c r="M67" s="101">
        <v>641</v>
      </c>
      <c r="N67" s="101">
        <v>450</v>
      </c>
      <c r="O67" s="101">
        <v>14</v>
      </c>
      <c r="P67" s="101">
        <v>16</v>
      </c>
      <c r="Q67" s="101">
        <v>163</v>
      </c>
      <c r="R67" s="101">
        <v>803.3</v>
      </c>
      <c r="S67" s="101">
        <v>639.69000000000005</v>
      </c>
      <c r="T67" s="169">
        <v>1.02</v>
      </c>
      <c r="U67" s="101">
        <f t="shared" si="0"/>
        <v>14.280000000000001</v>
      </c>
      <c r="V67" s="101">
        <f t="shared" si="1"/>
        <v>16.32</v>
      </c>
      <c r="W67" s="101">
        <f t="shared" si="2"/>
        <v>166.26</v>
      </c>
      <c r="X67" s="101">
        <f t="shared" si="3"/>
        <v>819.36599999999999</v>
      </c>
      <c r="Y67" s="101">
        <f t="shared" si="4"/>
        <v>652.48380000000009</v>
      </c>
      <c r="AA67" s="101">
        <v>1</v>
      </c>
      <c r="AB67" s="101">
        <v>1</v>
      </c>
      <c r="AC67" s="101">
        <v>1</v>
      </c>
      <c r="AD67" s="101">
        <v>0</v>
      </c>
      <c r="AE67" s="101">
        <v>59</v>
      </c>
    </row>
    <row r="68" spans="1:31" ht="11.25" hidden="1" customHeight="1" x14ac:dyDescent="0.3">
      <c r="A68" s="126" t="s">
        <v>171</v>
      </c>
      <c r="B68" s="126">
        <v>3</v>
      </c>
      <c r="C68" s="126">
        <v>71</v>
      </c>
      <c r="D68" s="126" t="str">
        <f t="shared" si="5"/>
        <v>371</v>
      </c>
      <c r="E68" s="101">
        <v>772</v>
      </c>
      <c r="F68" s="101">
        <v>5426.5</v>
      </c>
      <c r="G68" s="101">
        <v>13144</v>
      </c>
      <c r="H68" s="101">
        <v>114122.66500000001</v>
      </c>
      <c r="I68" s="101">
        <v>45102.659999999996</v>
      </c>
      <c r="J68" s="101">
        <v>373</v>
      </c>
      <c r="K68" s="101">
        <v>5476</v>
      </c>
      <c r="L68" s="101">
        <v>14487</v>
      </c>
      <c r="M68" s="101">
        <v>137478</v>
      </c>
      <c r="N68" s="101">
        <v>125969</v>
      </c>
      <c r="O68" s="101">
        <v>700</v>
      </c>
      <c r="P68" s="101">
        <v>7340</v>
      </c>
      <c r="Q68" s="101">
        <v>29616</v>
      </c>
      <c r="R68" s="101">
        <v>265010.82</v>
      </c>
      <c r="S68" s="101">
        <v>155968.72399999999</v>
      </c>
      <c r="T68" s="169">
        <v>0.98</v>
      </c>
      <c r="U68" s="101">
        <f t="shared" si="0"/>
        <v>686</v>
      </c>
      <c r="V68" s="101">
        <f t="shared" si="1"/>
        <v>7193.2</v>
      </c>
      <c r="W68" s="101">
        <v>30504.48</v>
      </c>
      <c r="X68" s="101">
        <f t="shared" si="3"/>
        <v>259710.6036</v>
      </c>
      <c r="Y68" s="101">
        <f t="shared" si="4"/>
        <v>152849.34951999999</v>
      </c>
      <c r="AA68" s="101">
        <v>396</v>
      </c>
      <c r="AB68" s="101">
        <v>7626</v>
      </c>
      <c r="AC68" s="101">
        <v>53513</v>
      </c>
      <c r="AD68" s="101">
        <v>359829</v>
      </c>
      <c r="AE68" s="101">
        <v>173923</v>
      </c>
    </row>
    <row r="69" spans="1:31" ht="11.25" hidden="1" customHeight="1" x14ac:dyDescent="0.3">
      <c r="A69" s="126" t="s">
        <v>171</v>
      </c>
      <c r="B69" s="126">
        <v>3</v>
      </c>
      <c r="C69" s="126">
        <v>25</v>
      </c>
      <c r="D69" s="126" t="str">
        <f t="shared" si="5"/>
        <v>325</v>
      </c>
      <c r="E69" s="101">
        <v>897</v>
      </c>
      <c r="F69" s="101">
        <v>5847</v>
      </c>
      <c r="G69" s="101">
        <v>35697</v>
      </c>
      <c r="H69" s="101">
        <v>307291.57</v>
      </c>
      <c r="I69" s="101">
        <v>171055.677</v>
      </c>
      <c r="J69" s="101">
        <v>763</v>
      </c>
      <c r="K69" s="101">
        <v>6876</v>
      </c>
      <c r="L69" s="101">
        <v>31785</v>
      </c>
      <c r="M69" s="101">
        <v>320908</v>
      </c>
      <c r="N69" s="101">
        <v>127317</v>
      </c>
      <c r="O69" s="101">
        <v>762</v>
      </c>
      <c r="P69" s="101">
        <v>9067</v>
      </c>
      <c r="Q69" s="101">
        <v>50681</v>
      </c>
      <c r="R69" s="101">
        <v>502489.83</v>
      </c>
      <c r="S69" s="101">
        <v>286022.21100000001</v>
      </c>
      <c r="T69" s="169">
        <v>1.02</v>
      </c>
      <c r="U69" s="101">
        <f t="shared" si="0"/>
        <v>777.24</v>
      </c>
      <c r="V69" s="101">
        <f t="shared" si="1"/>
        <v>9248.34</v>
      </c>
      <c r="W69" s="101">
        <f t="shared" si="2"/>
        <v>51694.62</v>
      </c>
      <c r="X69" s="101">
        <f t="shared" si="3"/>
        <v>512539.62660000002</v>
      </c>
      <c r="Y69" s="101">
        <f t="shared" si="4"/>
        <v>291742.65522000002</v>
      </c>
      <c r="AA69" s="101">
        <v>864</v>
      </c>
      <c r="AB69" s="101">
        <v>7100</v>
      </c>
      <c r="AC69" s="101">
        <v>36724</v>
      </c>
      <c r="AD69" s="101">
        <v>411756</v>
      </c>
      <c r="AE69" s="101">
        <v>249241</v>
      </c>
    </row>
    <row r="70" spans="1:31" s="174" customFormat="1" ht="11.25" hidden="1" customHeight="1" x14ac:dyDescent="0.3">
      <c r="A70" s="126" t="s">
        <v>171</v>
      </c>
      <c r="B70" s="126">
        <v>3</v>
      </c>
      <c r="C70" s="126">
        <v>26</v>
      </c>
      <c r="D70" s="126" t="str">
        <f t="shared" si="5"/>
        <v>326</v>
      </c>
      <c r="E70" s="173"/>
      <c r="F70" s="134">
        <v>0</v>
      </c>
      <c r="G70" s="173">
        <v>0</v>
      </c>
      <c r="H70" s="173"/>
      <c r="I70" s="173"/>
      <c r="J70" s="101">
        <v>5</v>
      </c>
      <c r="K70" s="101">
        <v>12</v>
      </c>
      <c r="L70" s="101">
        <v>176</v>
      </c>
      <c r="M70" s="101">
        <v>3039</v>
      </c>
      <c r="N70" s="101">
        <v>1359</v>
      </c>
      <c r="O70" s="101">
        <v>9</v>
      </c>
      <c r="P70" s="101">
        <v>29</v>
      </c>
      <c r="Q70" s="101">
        <v>122</v>
      </c>
      <c r="R70" s="101">
        <v>3376.26</v>
      </c>
      <c r="S70" s="101">
        <v>1015.561</v>
      </c>
      <c r="T70" s="169">
        <v>1.02</v>
      </c>
      <c r="U70" s="101">
        <f t="shared" ref="U70:U133" si="6">O70*T70</f>
        <v>9.18</v>
      </c>
      <c r="V70" s="101">
        <f t="shared" ref="V70:V133" si="7">P70*T70</f>
        <v>29.580000000000002</v>
      </c>
      <c r="W70" s="101">
        <f t="shared" ref="W70:W133" si="8">Q70*T70</f>
        <v>124.44</v>
      </c>
      <c r="X70" s="101">
        <f t="shared" ref="X70:X133" si="9">R70*T70</f>
        <v>3443.7852000000003</v>
      </c>
      <c r="Y70" s="101">
        <f t="shared" ref="Y70:Y133" si="10">S70*T70</f>
        <v>1035.87222</v>
      </c>
      <c r="AA70" s="101">
        <v>2</v>
      </c>
      <c r="AB70" s="101">
        <v>34</v>
      </c>
      <c r="AC70" s="101">
        <v>574</v>
      </c>
      <c r="AD70" s="101">
        <v>4000</v>
      </c>
      <c r="AE70" s="101">
        <v>1700</v>
      </c>
    </row>
    <row r="71" spans="1:31" ht="11.25" hidden="1" customHeight="1" x14ac:dyDescent="0.3">
      <c r="A71" s="126" t="s">
        <v>171</v>
      </c>
      <c r="B71" s="126">
        <v>3</v>
      </c>
      <c r="C71" s="126">
        <v>27</v>
      </c>
      <c r="D71" s="126" t="str">
        <f t="shared" si="5"/>
        <v>327</v>
      </c>
      <c r="E71" s="101">
        <v>88</v>
      </c>
      <c r="F71" s="101">
        <v>1100</v>
      </c>
      <c r="G71" s="101">
        <v>5457.5</v>
      </c>
      <c r="H71" s="101">
        <v>56430.36</v>
      </c>
      <c r="I71" s="101">
        <v>16251.859</v>
      </c>
      <c r="J71" s="101">
        <v>72</v>
      </c>
      <c r="K71" s="101">
        <v>1614</v>
      </c>
      <c r="L71" s="101">
        <v>8157</v>
      </c>
      <c r="M71" s="101">
        <v>93008</v>
      </c>
      <c r="N71" s="101">
        <v>34048</v>
      </c>
      <c r="O71" s="101">
        <v>83</v>
      </c>
      <c r="P71" s="101">
        <v>2262</v>
      </c>
      <c r="Q71" s="101">
        <v>11420</v>
      </c>
      <c r="R71" s="101">
        <v>114804.02</v>
      </c>
      <c r="S71" s="101">
        <v>50929.67</v>
      </c>
      <c r="T71" s="169">
        <v>1.02</v>
      </c>
      <c r="U71" s="101">
        <f t="shared" si="6"/>
        <v>84.66</v>
      </c>
      <c r="V71" s="101">
        <f t="shared" si="7"/>
        <v>2307.2400000000002</v>
      </c>
      <c r="W71" s="101">
        <f t="shared" si="8"/>
        <v>11648.4</v>
      </c>
      <c r="X71" s="101">
        <f t="shared" si="9"/>
        <v>117100.10040000001</v>
      </c>
      <c r="Y71" s="101">
        <f t="shared" si="10"/>
        <v>51948.263399999996</v>
      </c>
      <c r="AA71" s="101">
        <v>111</v>
      </c>
      <c r="AB71" s="101">
        <v>2818</v>
      </c>
      <c r="AC71" s="101">
        <v>16910</v>
      </c>
      <c r="AD71" s="101">
        <v>141771</v>
      </c>
      <c r="AE71" s="101">
        <v>55855</v>
      </c>
    </row>
    <row r="72" spans="1:31" s="135" customFormat="1" ht="11.25" hidden="1" customHeight="1" x14ac:dyDescent="0.3">
      <c r="A72" s="126" t="s">
        <v>171</v>
      </c>
      <c r="B72" s="126">
        <v>3</v>
      </c>
      <c r="C72" s="126">
        <v>91</v>
      </c>
      <c r="D72" s="126" t="str">
        <f t="shared" si="5"/>
        <v>391</v>
      </c>
      <c r="E72" s="134"/>
      <c r="F72" s="134">
        <v>0</v>
      </c>
      <c r="G72" s="134">
        <v>0</v>
      </c>
      <c r="H72" s="134"/>
      <c r="I72" s="134"/>
      <c r="J72" s="101">
        <v>80</v>
      </c>
      <c r="K72" s="101">
        <v>358</v>
      </c>
      <c r="L72" s="101">
        <v>2426</v>
      </c>
      <c r="M72" s="101">
        <v>10971</v>
      </c>
      <c r="N72" s="101">
        <v>5223</v>
      </c>
      <c r="O72" s="101">
        <v>42</v>
      </c>
      <c r="P72" s="101">
        <v>148</v>
      </c>
      <c r="Q72" s="101">
        <v>728</v>
      </c>
      <c r="R72" s="101">
        <v>7612.27</v>
      </c>
      <c r="S72" s="101">
        <v>3039.61</v>
      </c>
      <c r="T72" s="169">
        <v>1.02</v>
      </c>
      <c r="U72" s="101">
        <f t="shared" si="6"/>
        <v>42.84</v>
      </c>
      <c r="V72" s="101">
        <f t="shared" si="7"/>
        <v>150.96</v>
      </c>
      <c r="W72" s="101">
        <f t="shared" si="8"/>
        <v>742.56000000000006</v>
      </c>
      <c r="X72" s="101">
        <f t="shared" si="9"/>
        <v>7764.5154000000002</v>
      </c>
      <c r="Y72" s="101">
        <f t="shared" si="10"/>
        <v>3100.4022</v>
      </c>
      <c r="AA72" s="101">
        <v>34</v>
      </c>
      <c r="AB72" s="101">
        <v>220</v>
      </c>
      <c r="AC72" s="101">
        <v>1208</v>
      </c>
      <c r="AD72" s="101">
        <v>8580</v>
      </c>
      <c r="AE72" s="101">
        <v>4345</v>
      </c>
    </row>
    <row r="73" spans="1:31" s="135" customFormat="1" ht="11.25" hidden="1" customHeight="1" x14ac:dyDescent="0.3">
      <c r="A73" s="126" t="s">
        <v>171</v>
      </c>
      <c r="B73" s="126">
        <v>3</v>
      </c>
      <c r="C73" s="126">
        <v>41</v>
      </c>
      <c r="D73" s="126" t="str">
        <f t="shared" si="5"/>
        <v>341</v>
      </c>
      <c r="E73" s="134"/>
      <c r="F73" s="134"/>
      <c r="G73" s="134"/>
      <c r="H73" s="134"/>
      <c r="I73" s="134"/>
      <c r="J73" s="101"/>
      <c r="K73" s="101"/>
      <c r="L73" s="101"/>
      <c r="M73" s="101"/>
      <c r="N73" s="101"/>
      <c r="O73" s="101">
        <v>1</v>
      </c>
      <c r="P73" s="101">
        <v>2</v>
      </c>
      <c r="Q73" s="101">
        <v>12</v>
      </c>
      <c r="R73" s="101">
        <v>125.22</v>
      </c>
      <c r="S73" s="101">
        <v>9.2469999999999999</v>
      </c>
      <c r="T73" s="169">
        <v>1.02</v>
      </c>
      <c r="U73" s="101">
        <f t="shared" si="6"/>
        <v>1.02</v>
      </c>
      <c r="V73" s="101">
        <f t="shared" si="7"/>
        <v>2.04</v>
      </c>
      <c r="W73" s="101">
        <f t="shared" si="8"/>
        <v>12.24</v>
      </c>
      <c r="X73" s="101">
        <f t="shared" si="9"/>
        <v>127.7244</v>
      </c>
      <c r="Y73" s="101">
        <f t="shared" si="10"/>
        <v>9.4319400000000009</v>
      </c>
      <c r="AA73" s="101">
        <v>2</v>
      </c>
      <c r="AB73" s="101">
        <v>2</v>
      </c>
      <c r="AC73" s="101">
        <v>4</v>
      </c>
      <c r="AD73" s="101">
        <v>57</v>
      </c>
      <c r="AE73" s="101">
        <v>4</v>
      </c>
    </row>
    <row r="74" spans="1:31" s="135" customFormat="1" ht="11.25" customHeight="1" x14ac:dyDescent="0.3">
      <c r="A74" s="126" t="s">
        <v>171</v>
      </c>
      <c r="B74" s="126">
        <v>3</v>
      </c>
      <c r="C74" s="126" t="s">
        <v>172</v>
      </c>
      <c r="D74" s="126" t="str">
        <f t="shared" si="5"/>
        <v>3Uml</v>
      </c>
      <c r="E74" s="134"/>
      <c r="F74" s="134"/>
      <c r="G74" s="134"/>
      <c r="H74" s="134"/>
      <c r="I74" s="134"/>
      <c r="J74" s="101">
        <v>252</v>
      </c>
      <c r="K74" s="101">
        <v>252</v>
      </c>
      <c r="L74" s="101">
        <v>127465</v>
      </c>
      <c r="M74" s="101"/>
      <c r="N74" s="101">
        <v>353040</v>
      </c>
      <c r="O74" s="101">
        <v>271</v>
      </c>
      <c r="P74" s="101">
        <v>274</v>
      </c>
      <c r="Q74" s="101">
        <v>54615</v>
      </c>
      <c r="R74" s="101"/>
      <c r="S74" s="101">
        <v>345452.95900000003</v>
      </c>
      <c r="T74" s="169">
        <v>1.02</v>
      </c>
      <c r="U74" s="101">
        <f t="shared" si="6"/>
        <v>276.42</v>
      </c>
      <c r="V74" s="101">
        <f t="shared" si="7"/>
        <v>279.48</v>
      </c>
      <c r="W74" s="101">
        <f t="shared" si="8"/>
        <v>55707.3</v>
      </c>
      <c r="X74" s="101">
        <f t="shared" si="9"/>
        <v>0</v>
      </c>
      <c r="Y74" s="101">
        <f t="shared" si="10"/>
        <v>352362.01818000001</v>
      </c>
      <c r="AA74" s="101">
        <v>354</v>
      </c>
      <c r="AB74" s="101">
        <v>360</v>
      </c>
      <c r="AC74" s="101">
        <v>102185</v>
      </c>
      <c r="AD74" s="101"/>
      <c r="AE74" s="101">
        <v>289546.36200000002</v>
      </c>
    </row>
    <row r="75" spans="1:31" ht="11.25" hidden="1" customHeight="1" x14ac:dyDescent="0.3">
      <c r="A75" s="126" t="s">
        <v>171</v>
      </c>
      <c r="B75" s="126">
        <v>3</v>
      </c>
      <c r="C75" s="126">
        <v>37</v>
      </c>
      <c r="D75" s="126" t="str">
        <f t="shared" si="5"/>
        <v>337</v>
      </c>
      <c r="E75" s="101">
        <v>15.5</v>
      </c>
      <c r="F75" s="101">
        <v>47.25</v>
      </c>
      <c r="G75" s="101">
        <v>4735.75</v>
      </c>
      <c r="H75" s="101">
        <v>14578.41</v>
      </c>
      <c r="I75" s="101">
        <v>9418.4030000000002</v>
      </c>
      <c r="J75" s="101">
        <v>27</v>
      </c>
      <c r="K75" s="101">
        <v>93</v>
      </c>
      <c r="L75" s="101">
        <v>1466</v>
      </c>
      <c r="M75" s="101">
        <v>13543</v>
      </c>
      <c r="N75" s="101">
        <v>6900</v>
      </c>
      <c r="O75" s="101">
        <v>32</v>
      </c>
      <c r="P75" s="101">
        <v>79</v>
      </c>
      <c r="Q75" s="101">
        <v>1127</v>
      </c>
      <c r="R75" s="101">
        <v>8450.65</v>
      </c>
      <c r="S75" s="101">
        <v>3219.0239999999999</v>
      </c>
      <c r="T75" s="169">
        <v>1.02</v>
      </c>
      <c r="U75" s="101">
        <f t="shared" si="6"/>
        <v>32.64</v>
      </c>
      <c r="V75" s="101">
        <f t="shared" si="7"/>
        <v>80.58</v>
      </c>
      <c r="W75" s="101">
        <f t="shared" si="8"/>
        <v>1149.54</v>
      </c>
      <c r="X75" s="101">
        <f t="shared" si="9"/>
        <v>8619.6630000000005</v>
      </c>
      <c r="Y75" s="101">
        <f t="shared" si="10"/>
        <v>3283.4044800000001</v>
      </c>
      <c r="AA75" s="101">
        <v>62</v>
      </c>
      <c r="AB75" s="101">
        <v>198</v>
      </c>
      <c r="AC75" s="101">
        <v>6709</v>
      </c>
      <c r="AD75" s="101">
        <v>39805</v>
      </c>
      <c r="AE75" s="101">
        <v>24746</v>
      </c>
    </row>
    <row r="76" spans="1:31" ht="11.25" hidden="1" customHeight="1" x14ac:dyDescent="0.3">
      <c r="A76" s="126" t="s">
        <v>171</v>
      </c>
      <c r="B76" s="126">
        <v>4</v>
      </c>
      <c r="C76" s="126">
        <v>12</v>
      </c>
      <c r="D76" s="126" t="str">
        <f t="shared" si="5"/>
        <v>412</v>
      </c>
      <c r="E76" s="101">
        <v>48</v>
      </c>
      <c r="F76" s="101">
        <v>68</v>
      </c>
      <c r="G76" s="101">
        <v>109</v>
      </c>
      <c r="H76" s="101">
        <v>2160.56</v>
      </c>
      <c r="I76" s="101">
        <v>470.64299999999997</v>
      </c>
      <c r="J76" s="101">
        <v>20</v>
      </c>
      <c r="K76" s="101">
        <v>25</v>
      </c>
      <c r="L76" s="101">
        <v>48</v>
      </c>
      <c r="M76" s="101">
        <v>840</v>
      </c>
      <c r="N76" s="101">
        <v>167</v>
      </c>
      <c r="O76" s="101">
        <v>22</v>
      </c>
      <c r="P76" s="101">
        <v>25</v>
      </c>
      <c r="Q76" s="101">
        <v>85</v>
      </c>
      <c r="R76" s="101">
        <v>1332.76</v>
      </c>
      <c r="S76" s="101">
        <v>211.40100000000001</v>
      </c>
      <c r="T76" s="169">
        <v>1.02</v>
      </c>
      <c r="U76" s="101">
        <f t="shared" si="6"/>
        <v>22.44</v>
      </c>
      <c r="V76" s="101">
        <f t="shared" si="7"/>
        <v>25.5</v>
      </c>
      <c r="W76" s="101">
        <f t="shared" si="8"/>
        <v>86.7</v>
      </c>
      <c r="X76" s="101">
        <f t="shared" si="9"/>
        <v>1359.4151999999999</v>
      </c>
      <c r="Y76" s="101">
        <f t="shared" si="10"/>
        <v>215.62902000000003</v>
      </c>
      <c r="AA76" s="101">
        <v>17</v>
      </c>
      <c r="AB76" s="101">
        <v>22</v>
      </c>
      <c r="AC76" s="101">
        <v>23</v>
      </c>
      <c r="AD76" s="101">
        <v>473</v>
      </c>
      <c r="AE76" s="101">
        <v>105</v>
      </c>
    </row>
    <row r="77" spans="1:31" s="126" customFormat="1" ht="11.25" hidden="1" customHeight="1" x14ac:dyDescent="0.3">
      <c r="A77" s="126" t="s">
        <v>171</v>
      </c>
      <c r="B77" s="126">
        <v>4</v>
      </c>
      <c r="C77" s="126">
        <v>14</v>
      </c>
      <c r="D77" s="126" t="str">
        <f t="shared" si="5"/>
        <v>414</v>
      </c>
      <c r="E77" s="127"/>
      <c r="F77" s="127">
        <v>0</v>
      </c>
      <c r="G77" s="127">
        <v>0</v>
      </c>
      <c r="H77" s="127"/>
      <c r="I77" s="127"/>
      <c r="J77" s="101">
        <v>2</v>
      </c>
      <c r="K77" s="101">
        <v>8</v>
      </c>
      <c r="L77" s="101">
        <v>8</v>
      </c>
      <c r="M77" s="101">
        <v>419</v>
      </c>
      <c r="N77" s="101">
        <v>70</v>
      </c>
      <c r="O77" s="101">
        <v>34</v>
      </c>
      <c r="P77" s="101">
        <v>63</v>
      </c>
      <c r="Q77" s="101">
        <v>143</v>
      </c>
      <c r="R77" s="101">
        <v>6140.85</v>
      </c>
      <c r="S77" s="101">
        <v>779.93299999999999</v>
      </c>
      <c r="T77" s="169">
        <v>1.02</v>
      </c>
      <c r="U77" s="101">
        <f t="shared" si="6"/>
        <v>34.68</v>
      </c>
      <c r="V77" s="101">
        <f t="shared" si="7"/>
        <v>64.260000000000005</v>
      </c>
      <c r="W77" s="101">
        <f t="shared" si="8"/>
        <v>145.86000000000001</v>
      </c>
      <c r="X77" s="101">
        <f t="shared" si="9"/>
        <v>6263.6670000000004</v>
      </c>
      <c r="Y77" s="101">
        <f t="shared" si="10"/>
        <v>795.53165999999999</v>
      </c>
      <c r="AA77" s="101">
        <v>65</v>
      </c>
      <c r="AB77" s="101">
        <v>81</v>
      </c>
      <c r="AC77" s="101">
        <v>352</v>
      </c>
      <c r="AD77" s="101">
        <v>5076</v>
      </c>
      <c r="AE77" s="101">
        <v>677</v>
      </c>
    </row>
    <row r="78" spans="1:31" ht="11.25" hidden="1" customHeight="1" x14ac:dyDescent="0.3">
      <c r="A78" s="126" t="s">
        <v>171</v>
      </c>
      <c r="B78" s="126">
        <v>4</v>
      </c>
      <c r="C78" s="126">
        <v>17</v>
      </c>
      <c r="D78" s="126" t="str">
        <f t="shared" si="5"/>
        <v>417</v>
      </c>
      <c r="E78" s="101">
        <v>2233</v>
      </c>
      <c r="F78" s="101">
        <v>3262</v>
      </c>
      <c r="G78" s="101">
        <v>4456</v>
      </c>
      <c r="H78" s="101">
        <v>142725.57</v>
      </c>
      <c r="I78" s="101">
        <v>25563.016</v>
      </c>
      <c r="J78" s="101">
        <v>6106</v>
      </c>
      <c r="K78" s="101">
        <v>8625</v>
      </c>
      <c r="L78" s="101">
        <v>11542</v>
      </c>
      <c r="M78" s="101">
        <v>303155</v>
      </c>
      <c r="N78" s="101">
        <v>73737</v>
      </c>
      <c r="O78" s="101">
        <v>895</v>
      </c>
      <c r="P78" s="101">
        <v>1507</v>
      </c>
      <c r="Q78" s="101">
        <v>2221</v>
      </c>
      <c r="R78" s="101">
        <v>71555.09</v>
      </c>
      <c r="S78" s="101">
        <v>10921.748</v>
      </c>
      <c r="T78" s="169">
        <v>1.02</v>
      </c>
      <c r="U78" s="101">
        <v>1058</v>
      </c>
      <c r="V78" s="101">
        <v>2080</v>
      </c>
      <c r="W78" s="101">
        <v>2992</v>
      </c>
      <c r="X78" s="144">
        <f t="shared" si="9"/>
        <v>72986.191800000001</v>
      </c>
      <c r="Y78" s="101">
        <v>15000</v>
      </c>
      <c r="AA78" s="101">
        <v>1706</v>
      </c>
      <c r="AB78" s="101">
        <v>2829</v>
      </c>
      <c r="AC78" s="101">
        <v>4473</v>
      </c>
      <c r="AD78" s="101">
        <v>122352</v>
      </c>
      <c r="AE78" s="101">
        <v>22019</v>
      </c>
    </row>
    <row r="79" spans="1:31" ht="11.25" hidden="1" customHeight="1" x14ac:dyDescent="0.3">
      <c r="A79" s="126" t="s">
        <v>171</v>
      </c>
      <c r="B79" s="126">
        <v>4</v>
      </c>
      <c r="C79" s="126">
        <v>18</v>
      </c>
      <c r="D79" s="126" t="str">
        <f t="shared" si="5"/>
        <v>418</v>
      </c>
      <c r="E79" s="101">
        <v>253</v>
      </c>
      <c r="F79" s="101">
        <v>379</v>
      </c>
      <c r="G79" s="101">
        <v>524</v>
      </c>
      <c r="H79" s="101">
        <v>16906.660000000003</v>
      </c>
      <c r="I79" s="101">
        <v>2880.1039999999998</v>
      </c>
      <c r="J79" s="101">
        <v>533</v>
      </c>
      <c r="K79" s="101">
        <v>714</v>
      </c>
      <c r="L79" s="101">
        <v>848</v>
      </c>
      <c r="M79" s="101">
        <v>40738</v>
      </c>
      <c r="N79" s="101">
        <v>8965</v>
      </c>
      <c r="O79" s="101">
        <v>2812</v>
      </c>
      <c r="P79" s="101">
        <v>3024</v>
      </c>
      <c r="Q79" s="101">
        <v>3357</v>
      </c>
      <c r="R79" s="101">
        <v>141322.45000000001</v>
      </c>
      <c r="S79" s="101">
        <v>34138.567999999999</v>
      </c>
      <c r="T79" s="169">
        <v>1.02</v>
      </c>
      <c r="U79" s="101">
        <f t="shared" si="6"/>
        <v>2868.2400000000002</v>
      </c>
      <c r="V79" s="101">
        <f t="shared" si="7"/>
        <v>3084.48</v>
      </c>
      <c r="W79" s="101">
        <f t="shared" si="8"/>
        <v>3424.14</v>
      </c>
      <c r="X79" s="101">
        <f t="shared" si="9"/>
        <v>144148.899</v>
      </c>
      <c r="Y79" s="101">
        <f t="shared" si="10"/>
        <v>34821.339359999998</v>
      </c>
      <c r="AA79" s="101">
        <v>2114</v>
      </c>
      <c r="AB79" s="101">
        <v>2302</v>
      </c>
      <c r="AC79" s="101">
        <v>3805</v>
      </c>
      <c r="AD79" s="101">
        <v>128176</v>
      </c>
      <c r="AE79" s="101">
        <v>54670</v>
      </c>
    </row>
    <row r="80" spans="1:31" ht="11.25" hidden="1" customHeight="1" x14ac:dyDescent="0.3">
      <c r="A80" s="126" t="s">
        <v>171</v>
      </c>
      <c r="B80" s="126">
        <v>4</v>
      </c>
      <c r="C80" s="126">
        <v>28</v>
      </c>
      <c r="D80" s="126" t="str">
        <f t="shared" si="5"/>
        <v>428</v>
      </c>
      <c r="E80" s="101">
        <v>423</v>
      </c>
      <c r="F80" s="101">
        <v>3450</v>
      </c>
      <c r="G80" s="101">
        <v>31669</v>
      </c>
      <c r="H80" s="101">
        <v>725163.72999999986</v>
      </c>
      <c r="I80" s="101">
        <v>142070.18900000001</v>
      </c>
      <c r="J80" s="101">
        <v>281</v>
      </c>
      <c r="K80" s="101">
        <v>2687</v>
      </c>
      <c r="L80" s="101">
        <v>21065</v>
      </c>
      <c r="M80" s="101">
        <v>484154</v>
      </c>
      <c r="N80" s="101">
        <v>147667</v>
      </c>
      <c r="O80" s="101">
        <v>312</v>
      </c>
      <c r="P80" s="101">
        <v>3264</v>
      </c>
      <c r="Q80" s="101">
        <v>22761</v>
      </c>
      <c r="R80" s="101">
        <v>462563.72</v>
      </c>
      <c r="S80" s="101">
        <v>107555.685</v>
      </c>
      <c r="T80" s="169">
        <v>1.02</v>
      </c>
      <c r="U80" s="101">
        <f t="shared" si="6"/>
        <v>318.24</v>
      </c>
      <c r="V80" s="101">
        <f t="shared" si="7"/>
        <v>3329.28</v>
      </c>
      <c r="W80" s="101">
        <f t="shared" si="8"/>
        <v>23216.22</v>
      </c>
      <c r="X80" s="101">
        <f t="shared" si="9"/>
        <v>471814.99439999997</v>
      </c>
      <c r="Y80" s="101">
        <f t="shared" si="10"/>
        <v>109706.7987</v>
      </c>
      <c r="AA80" s="101">
        <v>293</v>
      </c>
      <c r="AB80" s="101">
        <v>3577</v>
      </c>
      <c r="AC80" s="101">
        <v>22574</v>
      </c>
      <c r="AD80" s="101">
        <v>526404</v>
      </c>
      <c r="AE80" s="101">
        <v>143379</v>
      </c>
    </row>
    <row r="81" spans="1:31" s="135" customFormat="1" ht="11.25" hidden="1" customHeight="1" x14ac:dyDescent="0.3">
      <c r="A81" s="126" t="s">
        <v>171</v>
      </c>
      <c r="B81" s="126">
        <v>4</v>
      </c>
      <c r="C81" s="126">
        <v>43</v>
      </c>
      <c r="D81" s="126" t="str">
        <f t="shared" si="5"/>
        <v>443</v>
      </c>
      <c r="E81" s="134"/>
      <c r="F81" s="134">
        <v>0</v>
      </c>
      <c r="G81" s="134">
        <v>0</v>
      </c>
      <c r="H81" s="134"/>
      <c r="I81" s="134"/>
      <c r="J81" s="101">
        <v>1</v>
      </c>
      <c r="K81" s="101">
        <v>1</v>
      </c>
      <c r="L81" s="101">
        <v>400</v>
      </c>
      <c r="M81" s="101">
        <v>0</v>
      </c>
      <c r="N81" s="101">
        <v>25</v>
      </c>
      <c r="O81" s="101">
        <v>0</v>
      </c>
      <c r="P81" s="101">
        <v>0</v>
      </c>
      <c r="Q81" s="101">
        <v>0</v>
      </c>
      <c r="R81" s="101">
        <v>0</v>
      </c>
      <c r="S81" s="101">
        <v>0</v>
      </c>
      <c r="T81" s="169">
        <v>1.02</v>
      </c>
      <c r="U81" s="101">
        <f t="shared" si="6"/>
        <v>0</v>
      </c>
      <c r="V81" s="101">
        <f t="shared" si="7"/>
        <v>0</v>
      </c>
      <c r="W81" s="101">
        <f t="shared" si="8"/>
        <v>0</v>
      </c>
      <c r="X81" s="101">
        <f t="shared" si="9"/>
        <v>0</v>
      </c>
      <c r="Y81" s="101">
        <f t="shared" si="10"/>
        <v>0</v>
      </c>
      <c r="AA81" s="101">
        <v>0</v>
      </c>
      <c r="AB81" s="101">
        <v>0</v>
      </c>
      <c r="AC81" s="101">
        <v>0</v>
      </c>
      <c r="AD81" s="101">
        <v>0</v>
      </c>
      <c r="AE81" s="101">
        <v>0</v>
      </c>
    </row>
    <row r="82" spans="1:31" s="135" customFormat="1" ht="11.25" hidden="1" customHeight="1" x14ac:dyDescent="0.3">
      <c r="A82" s="126" t="s">
        <v>171</v>
      </c>
      <c r="B82" s="126">
        <v>4</v>
      </c>
      <c r="C82" s="126">
        <v>44</v>
      </c>
      <c r="D82" s="126" t="str">
        <f t="shared" si="5"/>
        <v>444</v>
      </c>
      <c r="E82" s="134"/>
      <c r="F82" s="134">
        <v>0</v>
      </c>
      <c r="G82" s="134">
        <v>0</v>
      </c>
      <c r="H82" s="134"/>
      <c r="I82" s="134"/>
      <c r="J82" s="101">
        <v>2</v>
      </c>
      <c r="K82" s="101">
        <v>3</v>
      </c>
      <c r="L82" s="101">
        <v>31</v>
      </c>
      <c r="M82" s="101">
        <v>0</v>
      </c>
      <c r="N82" s="101">
        <v>93</v>
      </c>
      <c r="O82" s="101">
        <v>0</v>
      </c>
      <c r="P82" s="101">
        <v>0</v>
      </c>
      <c r="Q82" s="101">
        <v>0</v>
      </c>
      <c r="R82" s="101">
        <v>0</v>
      </c>
      <c r="S82" s="101">
        <v>0</v>
      </c>
      <c r="T82" s="169">
        <v>1.02</v>
      </c>
      <c r="U82" s="101">
        <f t="shared" si="6"/>
        <v>0</v>
      </c>
      <c r="V82" s="101">
        <f t="shared" si="7"/>
        <v>0</v>
      </c>
      <c r="W82" s="101">
        <f t="shared" si="8"/>
        <v>0</v>
      </c>
      <c r="X82" s="101">
        <f t="shared" si="9"/>
        <v>0</v>
      </c>
      <c r="Y82" s="101">
        <f t="shared" si="10"/>
        <v>0</v>
      </c>
      <c r="AA82" s="101">
        <v>0</v>
      </c>
      <c r="AB82" s="101">
        <v>0</v>
      </c>
      <c r="AC82" s="101">
        <v>0</v>
      </c>
      <c r="AD82" s="101">
        <v>0</v>
      </c>
      <c r="AE82" s="101">
        <v>0</v>
      </c>
    </row>
    <row r="83" spans="1:31" s="135" customFormat="1" ht="11.25" hidden="1" customHeight="1" x14ac:dyDescent="0.3">
      <c r="A83" s="126" t="s">
        <v>171</v>
      </c>
      <c r="B83" s="126">
        <v>4</v>
      </c>
      <c r="C83" s="126">
        <v>45</v>
      </c>
      <c r="D83" s="126" t="str">
        <f t="shared" si="5"/>
        <v>445</v>
      </c>
      <c r="E83" s="134"/>
      <c r="F83" s="134">
        <v>0</v>
      </c>
      <c r="G83" s="134">
        <v>0</v>
      </c>
      <c r="H83" s="134"/>
      <c r="I83" s="134"/>
      <c r="J83" s="101">
        <v>1</v>
      </c>
      <c r="K83" s="101">
        <v>2</v>
      </c>
      <c r="L83" s="101">
        <v>80</v>
      </c>
      <c r="M83" s="101">
        <v>276</v>
      </c>
      <c r="N83" s="101">
        <v>186</v>
      </c>
      <c r="O83" s="101">
        <v>0</v>
      </c>
      <c r="P83" s="101">
        <v>0</v>
      </c>
      <c r="Q83" s="101">
        <v>0</v>
      </c>
      <c r="R83" s="101">
        <v>0</v>
      </c>
      <c r="S83" s="101">
        <v>0</v>
      </c>
      <c r="T83" s="169">
        <v>1.02</v>
      </c>
      <c r="U83" s="101">
        <f t="shared" si="6"/>
        <v>0</v>
      </c>
      <c r="V83" s="101">
        <f t="shared" si="7"/>
        <v>0</v>
      </c>
      <c r="W83" s="101">
        <f t="shared" si="8"/>
        <v>0</v>
      </c>
      <c r="X83" s="101">
        <f t="shared" si="9"/>
        <v>0</v>
      </c>
      <c r="Y83" s="101">
        <f t="shared" si="10"/>
        <v>0</v>
      </c>
      <c r="AA83" s="101">
        <v>0</v>
      </c>
      <c r="AB83" s="101">
        <v>0</v>
      </c>
      <c r="AC83" s="101">
        <v>0</v>
      </c>
      <c r="AD83" s="101">
        <v>0</v>
      </c>
      <c r="AE83" s="101">
        <v>0</v>
      </c>
    </row>
    <row r="84" spans="1:31" ht="11.25" hidden="1" customHeight="1" x14ac:dyDescent="0.3">
      <c r="A84" s="126" t="s">
        <v>171</v>
      </c>
      <c r="B84" s="126">
        <v>4</v>
      </c>
      <c r="C84" s="126">
        <v>46</v>
      </c>
      <c r="D84" s="126" t="str">
        <f t="shared" si="5"/>
        <v>446</v>
      </c>
      <c r="E84" s="101">
        <v>394</v>
      </c>
      <c r="F84" s="101">
        <v>973</v>
      </c>
      <c r="G84" s="101">
        <v>14163</v>
      </c>
      <c r="H84" s="101">
        <v>221125.09999999998</v>
      </c>
      <c r="I84" s="101">
        <v>90016.05</v>
      </c>
      <c r="J84" s="101">
        <v>256</v>
      </c>
      <c r="K84" s="101">
        <v>608</v>
      </c>
      <c r="L84" s="101">
        <v>10570</v>
      </c>
      <c r="M84" s="101">
        <v>365369</v>
      </c>
      <c r="N84" s="101">
        <v>103595</v>
      </c>
      <c r="O84" s="101">
        <v>184</v>
      </c>
      <c r="P84" s="101">
        <v>375</v>
      </c>
      <c r="Q84" s="101">
        <v>19630</v>
      </c>
      <c r="R84" s="101">
        <v>259199.06</v>
      </c>
      <c r="S84" s="101">
        <v>97721.884999999995</v>
      </c>
      <c r="T84" s="169">
        <v>1.02</v>
      </c>
      <c r="U84" s="101">
        <f t="shared" si="6"/>
        <v>187.68</v>
      </c>
      <c r="V84" s="101">
        <f t="shared" si="7"/>
        <v>382.5</v>
      </c>
      <c r="W84" s="101">
        <f t="shared" si="8"/>
        <v>20022.599999999999</v>
      </c>
      <c r="X84" s="101">
        <f t="shared" si="9"/>
        <v>264383.04119999998</v>
      </c>
      <c r="Y84" s="101">
        <f t="shared" si="10"/>
        <v>99676.32269999999</v>
      </c>
      <c r="AA84" s="101">
        <v>206</v>
      </c>
      <c r="AB84" s="101">
        <v>387</v>
      </c>
      <c r="AC84" s="101">
        <v>14758</v>
      </c>
      <c r="AD84" s="101">
        <v>153397</v>
      </c>
      <c r="AE84" s="101">
        <v>36628</v>
      </c>
    </row>
    <row r="85" spans="1:31" ht="11.25" hidden="1" customHeight="1" x14ac:dyDescent="0.3">
      <c r="A85" s="126" t="s">
        <v>171</v>
      </c>
      <c r="B85" s="126">
        <v>4</v>
      </c>
      <c r="C85" s="126">
        <v>47</v>
      </c>
      <c r="D85" s="126" t="str">
        <f t="shared" si="5"/>
        <v>447</v>
      </c>
      <c r="J85" s="101">
        <v>0</v>
      </c>
      <c r="K85" s="101">
        <v>0</v>
      </c>
      <c r="L85" s="101">
        <v>0</v>
      </c>
      <c r="M85" s="101">
        <v>0</v>
      </c>
      <c r="N85" s="101">
        <v>0</v>
      </c>
      <c r="O85" s="101">
        <v>5</v>
      </c>
      <c r="P85" s="101">
        <v>7</v>
      </c>
      <c r="Q85" s="101">
        <v>31532</v>
      </c>
      <c r="R85" s="101">
        <v>142329.9</v>
      </c>
      <c r="S85" s="101">
        <v>90276.911999999997</v>
      </c>
      <c r="T85" s="169">
        <v>1.02</v>
      </c>
      <c r="U85" s="101">
        <f t="shared" si="6"/>
        <v>5.0999999999999996</v>
      </c>
      <c r="V85" s="101">
        <f t="shared" si="7"/>
        <v>7.1400000000000006</v>
      </c>
      <c r="W85" s="101">
        <f t="shared" si="8"/>
        <v>32162.639999999999</v>
      </c>
      <c r="X85" s="101">
        <f t="shared" si="9"/>
        <v>145176.49799999999</v>
      </c>
      <c r="Y85" s="101">
        <f t="shared" si="10"/>
        <v>92082.450239999991</v>
      </c>
      <c r="AA85" s="101">
        <v>4</v>
      </c>
      <c r="AB85" s="101">
        <v>13</v>
      </c>
      <c r="AC85" s="101">
        <v>806</v>
      </c>
      <c r="AD85" s="101">
        <v>25494</v>
      </c>
      <c r="AE85" s="101">
        <v>3016</v>
      </c>
    </row>
    <row r="86" spans="1:31" ht="11.25" hidden="1" customHeight="1" x14ac:dyDescent="0.3">
      <c r="A86" s="126" t="s">
        <v>171</v>
      </c>
      <c r="B86" s="126">
        <v>4</v>
      </c>
      <c r="C86" s="126">
        <v>48</v>
      </c>
      <c r="D86" s="126" t="str">
        <f t="shared" si="5"/>
        <v>448</v>
      </c>
      <c r="J86" s="101">
        <v>0</v>
      </c>
      <c r="K86" s="101">
        <v>0</v>
      </c>
      <c r="L86" s="101">
        <v>0</v>
      </c>
      <c r="M86" s="101">
        <v>0</v>
      </c>
      <c r="N86" s="101">
        <v>0</v>
      </c>
      <c r="O86" s="101">
        <v>1</v>
      </c>
      <c r="P86" s="101">
        <v>1</v>
      </c>
      <c r="Q86" s="101">
        <v>22</v>
      </c>
      <c r="R86" s="101">
        <v>246.18</v>
      </c>
      <c r="S86" s="101">
        <v>163.85599999999999</v>
      </c>
      <c r="T86" s="169">
        <v>1.02</v>
      </c>
      <c r="U86" s="101">
        <f t="shared" si="6"/>
        <v>1.02</v>
      </c>
      <c r="V86" s="101">
        <f t="shared" si="7"/>
        <v>1.02</v>
      </c>
      <c r="W86" s="101">
        <f t="shared" si="8"/>
        <v>22.44</v>
      </c>
      <c r="X86" s="101">
        <f t="shared" si="9"/>
        <v>251.1036</v>
      </c>
      <c r="Y86" s="101">
        <f t="shared" si="10"/>
        <v>167.13311999999999</v>
      </c>
      <c r="AA86" s="101">
        <v>0</v>
      </c>
      <c r="AB86" s="101">
        <v>0</v>
      </c>
      <c r="AC86" s="101">
        <v>0</v>
      </c>
      <c r="AD86" s="101">
        <v>0</v>
      </c>
      <c r="AE86" s="101">
        <v>0</v>
      </c>
    </row>
    <row r="87" spans="1:31" ht="11.25" hidden="1" customHeight="1" x14ac:dyDescent="0.3">
      <c r="A87" s="126" t="s">
        <v>171</v>
      </c>
      <c r="B87" s="126">
        <v>4</v>
      </c>
      <c r="C87" s="126">
        <v>66</v>
      </c>
      <c r="D87" s="126" t="str">
        <f t="shared" si="5"/>
        <v>466</v>
      </c>
      <c r="E87" s="101">
        <v>852</v>
      </c>
      <c r="F87" s="101">
        <v>1820</v>
      </c>
      <c r="G87" s="101">
        <v>29638</v>
      </c>
      <c r="H87" s="101">
        <v>158819.96000000002</v>
      </c>
      <c r="I87" s="101">
        <v>78235.077999999994</v>
      </c>
      <c r="J87" s="101">
        <v>334</v>
      </c>
      <c r="K87" s="101">
        <v>1115</v>
      </c>
      <c r="L87" s="101">
        <v>20065</v>
      </c>
      <c r="M87" s="101">
        <v>137572</v>
      </c>
      <c r="N87" s="101">
        <v>72799</v>
      </c>
      <c r="O87" s="101">
        <v>387</v>
      </c>
      <c r="P87" s="101">
        <v>1537</v>
      </c>
      <c r="Q87" s="101">
        <v>31598</v>
      </c>
      <c r="R87" s="101">
        <v>191342.5</v>
      </c>
      <c r="S87" s="101">
        <v>97412.284</v>
      </c>
      <c r="T87" s="169">
        <v>1.02</v>
      </c>
      <c r="U87" s="101">
        <f t="shared" si="6"/>
        <v>394.74</v>
      </c>
      <c r="V87" s="101">
        <f t="shared" si="7"/>
        <v>1567.74</v>
      </c>
      <c r="W87" s="101">
        <f t="shared" si="8"/>
        <v>32229.96</v>
      </c>
      <c r="X87" s="101">
        <f t="shared" si="9"/>
        <v>195169.35</v>
      </c>
      <c r="Y87" s="101">
        <f t="shared" si="10"/>
        <v>99360.529680000007</v>
      </c>
      <c r="AA87" s="101">
        <v>529</v>
      </c>
      <c r="AB87" s="101">
        <v>1655</v>
      </c>
      <c r="AC87" s="101">
        <v>35023</v>
      </c>
      <c r="AD87" s="101">
        <v>217403</v>
      </c>
      <c r="AE87" s="101">
        <v>96952</v>
      </c>
    </row>
    <row r="88" spans="1:31" ht="11.25" hidden="1" customHeight="1" x14ac:dyDescent="0.3">
      <c r="A88" s="126" t="s">
        <v>171</v>
      </c>
      <c r="B88" s="126">
        <v>4</v>
      </c>
      <c r="C88" s="126">
        <v>30</v>
      </c>
      <c r="D88" s="126" t="str">
        <f t="shared" si="5"/>
        <v>430</v>
      </c>
      <c r="E88" s="101">
        <v>300</v>
      </c>
      <c r="F88" s="101">
        <v>3989</v>
      </c>
      <c r="G88" s="101">
        <v>24711.5</v>
      </c>
      <c r="H88" s="101">
        <v>514737.37</v>
      </c>
      <c r="I88" s="101">
        <v>237640.41549999997</v>
      </c>
      <c r="J88" s="101">
        <v>512</v>
      </c>
      <c r="K88" s="101">
        <v>4272</v>
      </c>
      <c r="L88" s="101">
        <v>14129</v>
      </c>
      <c r="M88" s="101">
        <v>413007</v>
      </c>
      <c r="N88" s="101">
        <v>130433</v>
      </c>
      <c r="O88" s="101">
        <v>261</v>
      </c>
      <c r="P88" s="101">
        <v>4502</v>
      </c>
      <c r="Q88" s="101">
        <v>16088</v>
      </c>
      <c r="R88" s="101">
        <v>297210.19</v>
      </c>
      <c r="S88" s="101">
        <v>89236.462</v>
      </c>
      <c r="T88" s="169">
        <v>1.02</v>
      </c>
      <c r="U88" s="101">
        <f t="shared" si="6"/>
        <v>266.22000000000003</v>
      </c>
      <c r="V88" s="101">
        <f t="shared" si="7"/>
        <v>4592.04</v>
      </c>
      <c r="W88" s="101">
        <f t="shared" si="8"/>
        <v>16409.760000000002</v>
      </c>
      <c r="X88" s="101">
        <f t="shared" si="9"/>
        <v>303154.39380000002</v>
      </c>
      <c r="Y88" s="101">
        <f t="shared" si="10"/>
        <v>91021.19124</v>
      </c>
      <c r="AA88" s="101">
        <v>84</v>
      </c>
      <c r="AB88" s="101">
        <v>94</v>
      </c>
      <c r="AC88" s="101">
        <v>1227</v>
      </c>
      <c r="AD88" s="101">
        <v>42585</v>
      </c>
      <c r="AE88" s="101">
        <v>18202</v>
      </c>
    </row>
    <row r="89" spans="1:31" s="135" customFormat="1" ht="11.25" hidden="1" customHeight="1" x14ac:dyDescent="0.3">
      <c r="A89" s="126" t="s">
        <v>171</v>
      </c>
      <c r="B89" s="126">
        <v>4</v>
      </c>
      <c r="C89" s="126">
        <v>32</v>
      </c>
      <c r="D89" s="126" t="str">
        <f t="shared" si="5"/>
        <v>432</v>
      </c>
      <c r="E89" s="134"/>
      <c r="F89" s="134">
        <v>0</v>
      </c>
      <c r="G89" s="134">
        <v>0</v>
      </c>
      <c r="H89" s="134"/>
      <c r="I89" s="134"/>
      <c r="J89" s="101">
        <v>95</v>
      </c>
      <c r="K89" s="101">
        <v>118</v>
      </c>
      <c r="L89" s="101">
        <v>2397</v>
      </c>
      <c r="M89" s="101">
        <v>49859</v>
      </c>
      <c r="N89" s="101">
        <v>13444</v>
      </c>
      <c r="O89" s="101">
        <v>44</v>
      </c>
      <c r="P89" s="101">
        <v>155</v>
      </c>
      <c r="Q89" s="101">
        <v>3222</v>
      </c>
      <c r="R89" s="101">
        <v>36338.78</v>
      </c>
      <c r="S89" s="101">
        <v>32787.332999999999</v>
      </c>
      <c r="T89" s="169">
        <v>1.02</v>
      </c>
      <c r="U89" s="101">
        <f t="shared" si="6"/>
        <v>44.88</v>
      </c>
      <c r="V89" s="101">
        <f t="shared" si="7"/>
        <v>158.1</v>
      </c>
      <c r="W89" s="101">
        <f t="shared" si="8"/>
        <v>3286.44</v>
      </c>
      <c r="X89" s="101">
        <f t="shared" si="9"/>
        <v>37065.5556</v>
      </c>
      <c r="Y89" s="101">
        <f t="shared" si="10"/>
        <v>33443.079659999996</v>
      </c>
      <c r="AA89" s="101">
        <v>53</v>
      </c>
      <c r="AB89" s="101">
        <v>231</v>
      </c>
      <c r="AC89" s="101">
        <v>6655</v>
      </c>
      <c r="AD89" s="101">
        <v>95372</v>
      </c>
      <c r="AE89" s="101">
        <v>32973</v>
      </c>
    </row>
    <row r="90" spans="1:31" ht="11.25" hidden="1" customHeight="1" x14ac:dyDescent="0.3">
      <c r="A90" s="126" t="s">
        <v>171</v>
      </c>
      <c r="B90" s="126">
        <v>4</v>
      </c>
      <c r="C90" s="126">
        <v>21</v>
      </c>
      <c r="D90" s="126" t="str">
        <f t="shared" si="5"/>
        <v>421</v>
      </c>
      <c r="E90" s="101">
        <v>1260.5</v>
      </c>
      <c r="F90" s="101">
        <v>10988</v>
      </c>
      <c r="G90" s="101">
        <v>56796.5</v>
      </c>
      <c r="H90" s="101">
        <v>967130.34499999997</v>
      </c>
      <c r="I90" s="101">
        <v>390640.46200000006</v>
      </c>
      <c r="J90" s="101">
        <v>1396</v>
      </c>
      <c r="K90" s="101">
        <v>7130</v>
      </c>
      <c r="L90" s="101">
        <v>30536</v>
      </c>
      <c r="M90" s="101">
        <v>497005</v>
      </c>
      <c r="N90" s="101">
        <v>133545</v>
      </c>
      <c r="O90" s="101">
        <v>1047</v>
      </c>
      <c r="P90" s="101">
        <v>9262</v>
      </c>
      <c r="Q90" s="101">
        <v>45404</v>
      </c>
      <c r="R90" s="101">
        <v>613721.1</v>
      </c>
      <c r="S90" s="101">
        <v>189937.88099999999</v>
      </c>
      <c r="T90" s="169">
        <v>1.02</v>
      </c>
      <c r="U90" s="101">
        <f t="shared" si="6"/>
        <v>1067.94</v>
      </c>
      <c r="V90" s="101">
        <f t="shared" si="7"/>
        <v>9447.24</v>
      </c>
      <c r="W90" s="101">
        <f t="shared" si="8"/>
        <v>46312.08</v>
      </c>
      <c r="X90" s="101">
        <f t="shared" si="9"/>
        <v>625995.522</v>
      </c>
      <c r="Y90" s="101">
        <f t="shared" si="10"/>
        <v>193736.63861999998</v>
      </c>
      <c r="AA90" s="101">
        <v>1122</v>
      </c>
      <c r="AB90" s="101">
        <v>12833</v>
      </c>
      <c r="AC90" s="101">
        <v>55043</v>
      </c>
      <c r="AD90" s="101">
        <v>714588</v>
      </c>
      <c r="AE90" s="101">
        <v>205195</v>
      </c>
    </row>
    <row r="91" spans="1:31" s="174" customFormat="1" ht="11.25" hidden="1" customHeight="1" x14ac:dyDescent="0.3">
      <c r="A91" s="126" t="s">
        <v>171</v>
      </c>
      <c r="B91" s="126">
        <v>4</v>
      </c>
      <c r="C91" s="126">
        <v>22</v>
      </c>
      <c r="D91" s="126" t="str">
        <f t="shared" si="5"/>
        <v>422</v>
      </c>
      <c r="E91" s="173"/>
      <c r="F91" s="134">
        <v>0</v>
      </c>
      <c r="G91" s="173">
        <v>0</v>
      </c>
      <c r="H91" s="173"/>
      <c r="I91" s="173"/>
      <c r="J91" s="101">
        <v>16</v>
      </c>
      <c r="K91" s="101">
        <v>25</v>
      </c>
      <c r="L91" s="101">
        <v>97</v>
      </c>
      <c r="M91" s="101">
        <v>621</v>
      </c>
      <c r="N91" s="101">
        <v>395</v>
      </c>
      <c r="O91" s="101">
        <v>8</v>
      </c>
      <c r="P91" s="101">
        <v>11</v>
      </c>
      <c r="Q91" s="101">
        <v>40</v>
      </c>
      <c r="R91" s="101">
        <v>922.93</v>
      </c>
      <c r="S91" s="101">
        <v>201.71100000000001</v>
      </c>
      <c r="T91" s="169">
        <v>1.02</v>
      </c>
      <c r="U91" s="101">
        <f t="shared" si="6"/>
        <v>8.16</v>
      </c>
      <c r="V91" s="101">
        <f t="shared" si="7"/>
        <v>11.22</v>
      </c>
      <c r="W91" s="101">
        <f t="shared" si="8"/>
        <v>40.799999999999997</v>
      </c>
      <c r="X91" s="101">
        <f t="shared" si="9"/>
        <v>941.3886</v>
      </c>
      <c r="Y91" s="101">
        <f t="shared" si="10"/>
        <v>205.74522000000002</v>
      </c>
      <c r="AA91" s="101">
        <v>3</v>
      </c>
      <c r="AB91" s="101">
        <v>6</v>
      </c>
      <c r="AC91" s="101">
        <v>28</v>
      </c>
      <c r="AD91" s="101">
        <v>264</v>
      </c>
      <c r="AE91" s="101">
        <v>149</v>
      </c>
    </row>
    <row r="92" spans="1:31" ht="11.25" hidden="1" customHeight="1" x14ac:dyDescent="0.3">
      <c r="A92" s="126" t="s">
        <v>171</v>
      </c>
      <c r="B92" s="126">
        <v>4</v>
      </c>
      <c r="C92" s="126">
        <v>71</v>
      </c>
      <c r="D92" s="126" t="str">
        <f t="shared" si="5"/>
        <v>471</v>
      </c>
      <c r="E92" s="101">
        <v>767</v>
      </c>
      <c r="F92" s="101">
        <v>6987</v>
      </c>
      <c r="G92" s="101">
        <v>21434.5</v>
      </c>
      <c r="H92" s="101">
        <v>153085.60500000001</v>
      </c>
      <c r="I92" s="101">
        <v>71303.436499999996</v>
      </c>
      <c r="J92" s="101">
        <v>629</v>
      </c>
      <c r="K92" s="101">
        <v>8250</v>
      </c>
      <c r="L92" s="101">
        <v>29256</v>
      </c>
      <c r="M92" s="101">
        <v>390674</v>
      </c>
      <c r="N92" s="101">
        <v>167195</v>
      </c>
      <c r="O92" s="101">
        <v>544</v>
      </c>
      <c r="P92" s="101">
        <v>6886</v>
      </c>
      <c r="Q92" s="101">
        <v>20891</v>
      </c>
      <c r="R92" s="101">
        <v>261251.31</v>
      </c>
      <c r="S92" s="101">
        <v>110768.836</v>
      </c>
      <c r="T92" s="169">
        <v>0.98</v>
      </c>
      <c r="U92" s="101">
        <f t="shared" si="6"/>
        <v>533.12</v>
      </c>
      <c r="V92" s="101">
        <f t="shared" si="7"/>
        <v>6748.28</v>
      </c>
      <c r="W92" s="101">
        <v>21517.73</v>
      </c>
      <c r="X92" s="101">
        <f t="shared" si="9"/>
        <v>256026.2838</v>
      </c>
      <c r="Y92" s="101">
        <f t="shared" si="10"/>
        <v>108553.45928</v>
      </c>
      <c r="AA92" s="101">
        <v>341</v>
      </c>
      <c r="AB92" s="101">
        <v>5778</v>
      </c>
      <c r="AC92" s="101">
        <v>25039</v>
      </c>
      <c r="AD92" s="101">
        <v>164807</v>
      </c>
      <c r="AE92" s="101">
        <v>83497</v>
      </c>
    </row>
    <row r="93" spans="1:31" ht="11.25" hidden="1" customHeight="1" x14ac:dyDescent="0.3">
      <c r="A93" s="126" t="s">
        <v>171</v>
      </c>
      <c r="B93" s="126">
        <v>4</v>
      </c>
      <c r="C93" s="126">
        <v>25</v>
      </c>
      <c r="D93" s="126" t="str">
        <f t="shared" si="5"/>
        <v>425</v>
      </c>
      <c r="E93" s="101">
        <v>765</v>
      </c>
      <c r="F93" s="101">
        <v>6192</v>
      </c>
      <c r="G93" s="101">
        <v>34662</v>
      </c>
      <c r="H93" s="101">
        <v>301827.62</v>
      </c>
      <c r="I93" s="101">
        <v>142955.06</v>
      </c>
      <c r="J93" s="101">
        <v>763</v>
      </c>
      <c r="K93" s="101">
        <v>7521</v>
      </c>
      <c r="L93" s="101">
        <v>44926</v>
      </c>
      <c r="M93" s="101">
        <v>511666</v>
      </c>
      <c r="N93" s="101">
        <v>231948</v>
      </c>
      <c r="O93" s="101">
        <v>802</v>
      </c>
      <c r="P93" s="101">
        <v>9018</v>
      </c>
      <c r="Q93" s="101">
        <v>42366</v>
      </c>
      <c r="R93" s="101">
        <v>502648.55</v>
      </c>
      <c r="S93" s="101">
        <v>252562.43299999999</v>
      </c>
      <c r="T93" s="169">
        <v>1.02</v>
      </c>
      <c r="U93" s="101">
        <f t="shared" si="6"/>
        <v>818.04</v>
      </c>
      <c r="V93" s="101">
        <f t="shared" si="7"/>
        <v>9198.36</v>
      </c>
      <c r="W93" s="101">
        <f t="shared" si="8"/>
        <v>43213.32</v>
      </c>
      <c r="X93" s="101">
        <f t="shared" si="9"/>
        <v>512701.52100000001</v>
      </c>
      <c r="Y93" s="101">
        <f t="shared" si="10"/>
        <v>257613.68166</v>
      </c>
      <c r="AA93" s="101">
        <v>778</v>
      </c>
      <c r="AB93" s="101">
        <v>6417</v>
      </c>
      <c r="AC93" s="101">
        <v>42338</v>
      </c>
      <c r="AD93" s="101">
        <v>301522</v>
      </c>
      <c r="AE93" s="101">
        <v>217627</v>
      </c>
    </row>
    <row r="94" spans="1:31" s="174" customFormat="1" ht="11.25" hidden="1" customHeight="1" x14ac:dyDescent="0.3">
      <c r="A94" s="126" t="s">
        <v>171</v>
      </c>
      <c r="B94" s="126">
        <v>4</v>
      </c>
      <c r="C94" s="126">
        <v>26</v>
      </c>
      <c r="D94" s="126" t="str">
        <f t="shared" si="5"/>
        <v>426</v>
      </c>
      <c r="E94" s="173"/>
      <c r="F94" s="134">
        <v>0</v>
      </c>
      <c r="G94" s="173">
        <v>0</v>
      </c>
      <c r="H94" s="173"/>
      <c r="I94" s="173"/>
      <c r="J94" s="101">
        <v>19</v>
      </c>
      <c r="K94" s="101">
        <v>20</v>
      </c>
      <c r="L94" s="101">
        <v>117</v>
      </c>
      <c r="M94" s="101">
        <v>4792</v>
      </c>
      <c r="N94" s="101">
        <v>989</v>
      </c>
      <c r="O94" s="101">
        <v>14</v>
      </c>
      <c r="P94" s="101">
        <v>25</v>
      </c>
      <c r="Q94" s="101">
        <v>142</v>
      </c>
      <c r="R94" s="101">
        <v>2175.12</v>
      </c>
      <c r="S94" s="101">
        <v>679.88900000000001</v>
      </c>
      <c r="T94" s="169">
        <v>1.02</v>
      </c>
      <c r="U94" s="101">
        <f t="shared" si="6"/>
        <v>14.280000000000001</v>
      </c>
      <c r="V94" s="101">
        <f t="shared" si="7"/>
        <v>25.5</v>
      </c>
      <c r="W94" s="101">
        <f t="shared" si="8"/>
        <v>144.84</v>
      </c>
      <c r="X94" s="101">
        <f t="shared" si="9"/>
        <v>2218.6223999999997</v>
      </c>
      <c r="Y94" s="101">
        <f t="shared" si="10"/>
        <v>693.48678000000007</v>
      </c>
      <c r="AA94" s="101">
        <v>4</v>
      </c>
      <c r="AB94" s="101">
        <v>37</v>
      </c>
      <c r="AC94" s="101">
        <v>384</v>
      </c>
      <c r="AD94" s="101">
        <v>4178</v>
      </c>
      <c r="AE94" s="101">
        <v>1747</v>
      </c>
    </row>
    <row r="95" spans="1:31" ht="11.25" hidden="1" customHeight="1" x14ac:dyDescent="0.3">
      <c r="A95" s="126" t="s">
        <v>171</v>
      </c>
      <c r="B95" s="126">
        <v>4</v>
      </c>
      <c r="C95" s="126">
        <v>27</v>
      </c>
      <c r="D95" s="126" t="str">
        <f t="shared" si="5"/>
        <v>427</v>
      </c>
      <c r="E95" s="101">
        <v>79</v>
      </c>
      <c r="F95" s="101">
        <v>1138</v>
      </c>
      <c r="G95" s="101">
        <v>4327</v>
      </c>
      <c r="H95" s="101">
        <v>35792.39</v>
      </c>
      <c r="I95" s="101">
        <v>9195.987000000001</v>
      </c>
      <c r="J95" s="101">
        <v>74</v>
      </c>
      <c r="K95" s="101">
        <v>2082</v>
      </c>
      <c r="L95" s="101">
        <v>10117</v>
      </c>
      <c r="M95" s="101">
        <v>156916</v>
      </c>
      <c r="N95" s="101">
        <v>53211</v>
      </c>
      <c r="O95" s="101">
        <v>70</v>
      </c>
      <c r="P95" s="101">
        <v>2520</v>
      </c>
      <c r="Q95" s="101">
        <v>12187</v>
      </c>
      <c r="R95" s="101">
        <v>128718.26</v>
      </c>
      <c r="S95" s="101">
        <v>44919.737000000001</v>
      </c>
      <c r="T95" s="169">
        <v>1.02</v>
      </c>
      <c r="U95" s="101">
        <f t="shared" si="6"/>
        <v>71.400000000000006</v>
      </c>
      <c r="V95" s="101">
        <f t="shared" si="7"/>
        <v>2570.4</v>
      </c>
      <c r="W95" s="101">
        <f t="shared" si="8"/>
        <v>12430.74</v>
      </c>
      <c r="X95" s="101">
        <f t="shared" si="9"/>
        <v>131292.62520000001</v>
      </c>
      <c r="Y95" s="101">
        <f t="shared" si="10"/>
        <v>45818.131740000004</v>
      </c>
      <c r="AA95" s="101">
        <v>99</v>
      </c>
      <c r="AB95" s="101">
        <v>2064</v>
      </c>
      <c r="AC95" s="101">
        <v>14301</v>
      </c>
      <c r="AD95" s="101">
        <v>92934</v>
      </c>
      <c r="AE95" s="101">
        <v>43254</v>
      </c>
    </row>
    <row r="96" spans="1:31" s="135" customFormat="1" ht="11.25" hidden="1" customHeight="1" x14ac:dyDescent="0.3">
      <c r="A96" s="126" t="s">
        <v>171</v>
      </c>
      <c r="B96" s="126">
        <v>4</v>
      </c>
      <c r="C96" s="126">
        <v>91</v>
      </c>
      <c r="D96" s="126" t="str">
        <f t="shared" si="5"/>
        <v>491</v>
      </c>
      <c r="E96" s="134"/>
      <c r="F96" s="134">
        <v>0</v>
      </c>
      <c r="G96" s="134">
        <v>0</v>
      </c>
      <c r="H96" s="134"/>
      <c r="I96" s="134"/>
      <c r="J96" s="101">
        <v>122</v>
      </c>
      <c r="K96" s="101">
        <v>1257</v>
      </c>
      <c r="L96" s="101">
        <v>7383</v>
      </c>
      <c r="M96" s="101">
        <v>43170</v>
      </c>
      <c r="N96" s="101">
        <v>16070</v>
      </c>
      <c r="O96" s="101">
        <v>69</v>
      </c>
      <c r="P96" s="101">
        <v>622</v>
      </c>
      <c r="Q96" s="101">
        <v>3731</v>
      </c>
      <c r="R96" s="101">
        <v>22103.84</v>
      </c>
      <c r="S96" s="101">
        <v>9325.241</v>
      </c>
      <c r="T96" s="169">
        <v>1.02</v>
      </c>
      <c r="U96" s="101">
        <f t="shared" si="6"/>
        <v>70.38</v>
      </c>
      <c r="V96" s="101">
        <f t="shared" si="7"/>
        <v>634.44000000000005</v>
      </c>
      <c r="W96" s="101">
        <f t="shared" si="8"/>
        <v>3805.62</v>
      </c>
      <c r="X96" s="101">
        <f t="shared" si="9"/>
        <v>22545.916799999999</v>
      </c>
      <c r="Y96" s="101">
        <f t="shared" si="10"/>
        <v>9511.7458200000001</v>
      </c>
      <c r="AA96" s="101">
        <v>73</v>
      </c>
      <c r="AB96" s="101">
        <v>891</v>
      </c>
      <c r="AC96" s="101">
        <v>5058</v>
      </c>
      <c r="AD96" s="101">
        <v>29348</v>
      </c>
      <c r="AE96" s="101">
        <v>13645</v>
      </c>
    </row>
    <row r="97" spans="1:31" s="135" customFormat="1" ht="11.25" hidden="1" customHeight="1" x14ac:dyDescent="0.3">
      <c r="A97" s="126" t="s">
        <v>171</v>
      </c>
      <c r="B97" s="126">
        <v>4</v>
      </c>
      <c r="C97" s="126">
        <v>41</v>
      </c>
      <c r="D97" s="126" t="str">
        <f t="shared" si="5"/>
        <v>441</v>
      </c>
      <c r="E97" s="134"/>
      <c r="F97" s="134"/>
      <c r="G97" s="134"/>
      <c r="H97" s="134"/>
      <c r="I97" s="134"/>
      <c r="J97" s="101"/>
      <c r="K97" s="101"/>
      <c r="L97" s="101"/>
      <c r="M97" s="101"/>
      <c r="N97" s="101"/>
      <c r="O97" s="101">
        <v>5</v>
      </c>
      <c r="P97" s="101">
        <v>14</v>
      </c>
      <c r="Q97" s="101">
        <v>123</v>
      </c>
      <c r="R97" s="101">
        <v>681.34</v>
      </c>
      <c r="S97" s="101">
        <v>229.143</v>
      </c>
      <c r="T97" s="169">
        <v>1.02</v>
      </c>
      <c r="U97" s="101">
        <f t="shared" si="6"/>
        <v>5.0999999999999996</v>
      </c>
      <c r="V97" s="101">
        <f t="shared" si="7"/>
        <v>14.280000000000001</v>
      </c>
      <c r="W97" s="101">
        <f t="shared" si="8"/>
        <v>125.46000000000001</v>
      </c>
      <c r="X97" s="101">
        <f t="shared" si="9"/>
        <v>694.96680000000003</v>
      </c>
      <c r="Y97" s="101">
        <f t="shared" si="10"/>
        <v>233.72586000000001</v>
      </c>
      <c r="AA97" s="101">
        <v>4</v>
      </c>
      <c r="AB97" s="101">
        <v>8</v>
      </c>
      <c r="AC97" s="101">
        <v>56</v>
      </c>
      <c r="AD97" s="101">
        <v>716</v>
      </c>
      <c r="AE97" s="101">
        <v>160</v>
      </c>
    </row>
    <row r="98" spans="1:31" s="135" customFormat="1" ht="11.25" hidden="1" customHeight="1" x14ac:dyDescent="0.3">
      <c r="A98" s="126" t="s">
        <v>171</v>
      </c>
      <c r="B98" s="126">
        <v>4</v>
      </c>
      <c r="C98" s="126">
        <v>34</v>
      </c>
      <c r="D98" s="126" t="str">
        <f t="shared" si="5"/>
        <v>434</v>
      </c>
      <c r="E98" s="134"/>
      <c r="F98" s="134"/>
      <c r="G98" s="134"/>
      <c r="H98" s="134"/>
      <c r="I98" s="134"/>
      <c r="J98" s="101"/>
      <c r="K98" s="101"/>
      <c r="L98" s="101"/>
      <c r="M98" s="101"/>
      <c r="N98" s="101"/>
      <c r="O98" s="101">
        <v>1</v>
      </c>
      <c r="P98" s="101">
        <v>1</v>
      </c>
      <c r="Q98" s="101">
        <v>2</v>
      </c>
      <c r="R98" s="101">
        <v>71.86</v>
      </c>
      <c r="S98" s="101">
        <v>1.327</v>
      </c>
      <c r="T98" s="169">
        <v>1.02</v>
      </c>
      <c r="U98" s="101">
        <f t="shared" si="6"/>
        <v>1.02</v>
      </c>
      <c r="V98" s="101">
        <f t="shared" si="7"/>
        <v>1.02</v>
      </c>
      <c r="W98" s="101">
        <f t="shared" si="8"/>
        <v>2.04</v>
      </c>
      <c r="X98" s="101">
        <f t="shared" si="9"/>
        <v>73.297200000000004</v>
      </c>
      <c r="Y98" s="101">
        <f t="shared" si="10"/>
        <v>1.35354</v>
      </c>
      <c r="AA98" s="101">
        <v>0</v>
      </c>
      <c r="AB98" s="101">
        <v>0</v>
      </c>
      <c r="AC98" s="101">
        <v>0</v>
      </c>
      <c r="AD98" s="101">
        <v>0</v>
      </c>
      <c r="AE98" s="101">
        <v>0</v>
      </c>
    </row>
    <row r="99" spans="1:31" s="135" customFormat="1" ht="11.25" customHeight="1" x14ac:dyDescent="0.3">
      <c r="A99" s="126" t="s">
        <v>171</v>
      </c>
      <c r="B99" s="126">
        <v>4</v>
      </c>
      <c r="C99" s="126" t="s">
        <v>172</v>
      </c>
      <c r="D99" s="126" t="str">
        <f t="shared" si="5"/>
        <v>4Uml</v>
      </c>
      <c r="E99" s="134"/>
      <c r="F99" s="134"/>
      <c r="G99" s="134"/>
      <c r="H99" s="134"/>
      <c r="I99" s="134"/>
      <c r="J99" s="101">
        <v>306</v>
      </c>
      <c r="K99" s="101">
        <v>306</v>
      </c>
      <c r="L99" s="101">
        <v>107118</v>
      </c>
      <c r="M99" s="101"/>
      <c r="N99" s="101">
        <v>416001</v>
      </c>
      <c r="O99" s="101">
        <v>260</v>
      </c>
      <c r="P99" s="101">
        <v>261</v>
      </c>
      <c r="Q99" s="101">
        <v>92979</v>
      </c>
      <c r="R99" s="101"/>
      <c r="S99" s="101">
        <v>275906</v>
      </c>
      <c r="T99" s="169">
        <v>1.02</v>
      </c>
      <c r="U99" s="101">
        <f t="shared" si="6"/>
        <v>265.2</v>
      </c>
      <c r="V99" s="101">
        <f t="shared" si="7"/>
        <v>266.22000000000003</v>
      </c>
      <c r="W99" s="101">
        <f t="shared" si="8"/>
        <v>94838.58</v>
      </c>
      <c r="X99" s="101">
        <f t="shared" si="9"/>
        <v>0</v>
      </c>
      <c r="Y99" s="101">
        <f t="shared" si="10"/>
        <v>281424.12</v>
      </c>
      <c r="AA99" s="101">
        <v>342</v>
      </c>
      <c r="AB99" s="101">
        <v>349</v>
      </c>
      <c r="AC99" s="101">
        <v>95198</v>
      </c>
      <c r="AD99" s="101"/>
      <c r="AE99" s="101">
        <v>329542.18599999999</v>
      </c>
    </row>
    <row r="100" spans="1:31" ht="11.25" hidden="1" customHeight="1" x14ac:dyDescent="0.3">
      <c r="A100" s="126" t="s">
        <v>171</v>
      </c>
      <c r="B100" s="126">
        <v>4</v>
      </c>
      <c r="C100" s="126">
        <v>37</v>
      </c>
      <c r="D100" s="126" t="str">
        <f t="shared" si="5"/>
        <v>437</v>
      </c>
      <c r="E100" s="101">
        <v>16</v>
      </c>
      <c r="F100" s="101">
        <v>29.5</v>
      </c>
      <c r="G100" s="101">
        <v>554.5</v>
      </c>
      <c r="H100" s="101">
        <v>2834.0875000000001</v>
      </c>
      <c r="I100" s="101">
        <v>1093.222</v>
      </c>
      <c r="J100" s="101">
        <v>28</v>
      </c>
      <c r="K100" s="101">
        <v>62</v>
      </c>
      <c r="L100" s="101">
        <v>878</v>
      </c>
      <c r="M100" s="101">
        <v>4284</v>
      </c>
      <c r="N100" s="101">
        <v>1938</v>
      </c>
      <c r="O100" s="101">
        <v>38</v>
      </c>
      <c r="P100" s="101">
        <v>95</v>
      </c>
      <c r="Q100" s="101">
        <v>2260</v>
      </c>
      <c r="R100" s="101">
        <v>14109.82</v>
      </c>
      <c r="S100" s="101">
        <v>9125.7019999999993</v>
      </c>
      <c r="T100" s="169">
        <v>1.02</v>
      </c>
      <c r="U100" s="101">
        <f t="shared" si="6"/>
        <v>38.76</v>
      </c>
      <c r="V100" s="101">
        <f t="shared" si="7"/>
        <v>96.9</v>
      </c>
      <c r="W100" s="101">
        <f t="shared" si="8"/>
        <v>2305.1999999999998</v>
      </c>
      <c r="X100" s="101">
        <f t="shared" si="9"/>
        <v>14392.0164</v>
      </c>
      <c r="Y100" s="101">
        <f t="shared" si="10"/>
        <v>9308.2160399999993</v>
      </c>
      <c r="AA100" s="101">
        <v>48</v>
      </c>
      <c r="AB100" s="101">
        <v>116</v>
      </c>
      <c r="AC100" s="101">
        <v>5779</v>
      </c>
      <c r="AD100" s="101">
        <v>20825</v>
      </c>
      <c r="AE100" s="101">
        <v>11592</v>
      </c>
    </row>
    <row r="101" spans="1:31" ht="11.25" hidden="1" customHeight="1" x14ac:dyDescent="0.3">
      <c r="A101" s="126" t="s">
        <v>171</v>
      </c>
      <c r="B101" s="126">
        <v>5</v>
      </c>
      <c r="C101" s="126">
        <v>12</v>
      </c>
      <c r="D101" s="126" t="str">
        <f t="shared" si="5"/>
        <v>512</v>
      </c>
      <c r="E101" s="101">
        <v>58</v>
      </c>
      <c r="F101" s="101">
        <v>98</v>
      </c>
      <c r="G101" s="101">
        <v>136</v>
      </c>
      <c r="H101" s="101">
        <v>3021.0400000000004</v>
      </c>
      <c r="I101" s="101">
        <v>584.42300000000012</v>
      </c>
      <c r="J101" s="101">
        <v>30</v>
      </c>
      <c r="K101" s="101">
        <v>45</v>
      </c>
      <c r="L101" s="101">
        <v>55</v>
      </c>
      <c r="M101" s="101">
        <v>1063</v>
      </c>
      <c r="N101" s="101">
        <v>302</v>
      </c>
      <c r="O101" s="101">
        <v>24</v>
      </c>
      <c r="P101" s="101">
        <v>33</v>
      </c>
      <c r="Q101" s="101">
        <v>45</v>
      </c>
      <c r="R101" s="101">
        <v>1230.8399999999999</v>
      </c>
      <c r="S101" s="101">
        <v>216.48399999999998</v>
      </c>
      <c r="T101" s="169">
        <v>1.02</v>
      </c>
      <c r="U101" s="101">
        <f t="shared" si="6"/>
        <v>24.48</v>
      </c>
      <c r="V101" s="101">
        <f t="shared" si="7"/>
        <v>33.660000000000004</v>
      </c>
      <c r="W101" s="101">
        <f t="shared" si="8"/>
        <v>45.9</v>
      </c>
      <c r="X101" s="101">
        <f t="shared" si="9"/>
        <v>1255.4567999999999</v>
      </c>
      <c r="Y101" s="101">
        <f t="shared" si="10"/>
        <v>220.81367999999998</v>
      </c>
      <c r="AA101" s="101">
        <v>18</v>
      </c>
      <c r="AB101" s="101">
        <v>28</v>
      </c>
      <c r="AC101" s="101">
        <v>43</v>
      </c>
      <c r="AD101" s="101">
        <v>1065</v>
      </c>
      <c r="AE101" s="101">
        <v>183</v>
      </c>
    </row>
    <row r="102" spans="1:31" ht="11.25" hidden="1" customHeight="1" x14ac:dyDescent="0.3">
      <c r="A102" s="126" t="s">
        <v>171</v>
      </c>
      <c r="B102" s="126">
        <v>5</v>
      </c>
      <c r="C102" s="126">
        <v>17</v>
      </c>
      <c r="D102" s="126" t="str">
        <f t="shared" si="5"/>
        <v>517</v>
      </c>
      <c r="E102" s="101">
        <v>2110</v>
      </c>
      <c r="F102" s="101">
        <v>3136</v>
      </c>
      <c r="G102" s="101">
        <v>4409</v>
      </c>
      <c r="H102" s="101">
        <v>137841.31</v>
      </c>
      <c r="I102" s="101">
        <v>23041.279999999999</v>
      </c>
      <c r="J102" s="101">
        <v>3147</v>
      </c>
      <c r="K102" s="101">
        <v>4290</v>
      </c>
      <c r="L102" s="101">
        <v>5639</v>
      </c>
      <c r="M102" s="101">
        <v>220131</v>
      </c>
      <c r="N102" s="101">
        <v>44774</v>
      </c>
      <c r="O102" s="101">
        <v>1026</v>
      </c>
      <c r="P102" s="101">
        <v>1567</v>
      </c>
      <c r="Q102" s="101">
        <v>2250</v>
      </c>
      <c r="R102" s="101">
        <v>76820.540000000008</v>
      </c>
      <c r="S102" s="101">
        <v>12204.275999999998</v>
      </c>
      <c r="T102" s="169">
        <v>1.02</v>
      </c>
      <c r="U102" s="101">
        <v>1058</v>
      </c>
      <c r="V102" s="101">
        <v>2080</v>
      </c>
      <c r="W102" s="101">
        <v>2992</v>
      </c>
      <c r="X102" s="144">
        <f t="shared" si="9"/>
        <v>78356.950800000006</v>
      </c>
      <c r="Y102" s="101">
        <v>15000</v>
      </c>
      <c r="AA102" s="101">
        <v>1705</v>
      </c>
      <c r="AB102" s="101">
        <v>2715</v>
      </c>
      <c r="AC102" s="101">
        <v>4228</v>
      </c>
      <c r="AD102" s="101">
        <v>126661</v>
      </c>
      <c r="AE102" s="101">
        <v>22710</v>
      </c>
    </row>
    <row r="103" spans="1:31" ht="11.25" hidden="1" customHeight="1" x14ac:dyDescent="0.3">
      <c r="A103" s="126" t="s">
        <v>171</v>
      </c>
      <c r="B103" s="126">
        <v>5</v>
      </c>
      <c r="C103" s="126">
        <v>18</v>
      </c>
      <c r="D103" s="126" t="str">
        <f t="shared" si="5"/>
        <v>518</v>
      </c>
      <c r="E103" s="101">
        <v>227</v>
      </c>
      <c r="F103" s="101">
        <v>312</v>
      </c>
      <c r="G103" s="101">
        <v>493</v>
      </c>
      <c r="H103" s="101">
        <v>15925.579999999998</v>
      </c>
      <c r="I103" s="101">
        <v>2648.335</v>
      </c>
      <c r="J103" s="101">
        <v>406</v>
      </c>
      <c r="K103" s="101">
        <v>572</v>
      </c>
      <c r="L103" s="101">
        <v>789</v>
      </c>
      <c r="M103" s="101">
        <v>33640</v>
      </c>
      <c r="N103" s="101">
        <v>5573</v>
      </c>
      <c r="O103" s="101">
        <v>2948</v>
      </c>
      <c r="P103" s="101">
        <v>3272</v>
      </c>
      <c r="Q103" s="101">
        <v>3624</v>
      </c>
      <c r="R103" s="101">
        <v>155606.03</v>
      </c>
      <c r="S103" s="101">
        <v>36544.027000000002</v>
      </c>
      <c r="T103" s="169">
        <v>1.02</v>
      </c>
      <c r="U103" s="101">
        <f t="shared" si="6"/>
        <v>3006.96</v>
      </c>
      <c r="V103" s="101">
        <f t="shared" si="7"/>
        <v>3337.44</v>
      </c>
      <c r="W103" s="101">
        <f t="shared" si="8"/>
        <v>3696.48</v>
      </c>
      <c r="X103" s="101">
        <f t="shared" si="9"/>
        <v>158718.15059999999</v>
      </c>
      <c r="Y103" s="101">
        <f t="shared" si="10"/>
        <v>37274.90754</v>
      </c>
      <c r="AA103" s="101">
        <v>2137</v>
      </c>
      <c r="AB103" s="101">
        <v>2365</v>
      </c>
      <c r="AC103" s="101">
        <v>3293</v>
      </c>
      <c r="AD103" s="101">
        <v>122857</v>
      </c>
      <c r="AE103" s="101">
        <v>57318</v>
      </c>
    </row>
    <row r="104" spans="1:31" ht="11.25" hidden="1" customHeight="1" x14ac:dyDescent="0.3">
      <c r="A104" s="126" t="s">
        <v>171</v>
      </c>
      <c r="B104" s="126">
        <v>5</v>
      </c>
      <c r="C104" s="126">
        <v>28</v>
      </c>
      <c r="D104" s="126" t="str">
        <f t="shared" si="5"/>
        <v>528</v>
      </c>
      <c r="E104" s="101">
        <v>359</v>
      </c>
      <c r="F104" s="101">
        <v>3625</v>
      </c>
      <c r="G104" s="101">
        <v>33386</v>
      </c>
      <c r="H104" s="101">
        <v>551983.65</v>
      </c>
      <c r="I104" s="101">
        <v>118379.21100000001</v>
      </c>
      <c r="J104" s="101">
        <v>293</v>
      </c>
      <c r="K104" s="101">
        <v>3464</v>
      </c>
      <c r="L104" s="101">
        <v>20590</v>
      </c>
      <c r="M104" s="101">
        <v>348680</v>
      </c>
      <c r="N104" s="101">
        <v>84036</v>
      </c>
      <c r="O104" s="101">
        <v>273</v>
      </c>
      <c r="P104" s="101">
        <v>3288</v>
      </c>
      <c r="Q104" s="101">
        <v>24006</v>
      </c>
      <c r="R104" s="101">
        <v>499283.37999999995</v>
      </c>
      <c r="S104" s="101">
        <v>126783.25599999999</v>
      </c>
      <c r="T104" s="169">
        <v>1.02</v>
      </c>
      <c r="U104" s="101">
        <f t="shared" si="6"/>
        <v>278.45999999999998</v>
      </c>
      <c r="V104" s="101">
        <f t="shared" si="7"/>
        <v>3353.76</v>
      </c>
      <c r="W104" s="101">
        <f t="shared" si="8"/>
        <v>24486.12</v>
      </c>
      <c r="X104" s="101">
        <f t="shared" si="9"/>
        <v>509269.04759999993</v>
      </c>
      <c r="Y104" s="101">
        <f t="shared" si="10"/>
        <v>129318.92112</v>
      </c>
      <c r="AA104" s="101">
        <v>258</v>
      </c>
      <c r="AB104" s="101">
        <v>3238</v>
      </c>
      <c r="AC104" s="101">
        <v>16963</v>
      </c>
      <c r="AD104" s="101">
        <v>317936</v>
      </c>
      <c r="AE104" s="101">
        <v>80690</v>
      </c>
    </row>
    <row r="105" spans="1:31" ht="11.25" hidden="1" customHeight="1" x14ac:dyDescent="0.3">
      <c r="A105" s="126" t="s">
        <v>171</v>
      </c>
      <c r="B105" s="126">
        <v>5</v>
      </c>
      <c r="C105" s="126">
        <v>46</v>
      </c>
      <c r="D105" s="126" t="str">
        <f t="shared" si="5"/>
        <v>546</v>
      </c>
      <c r="E105" s="101">
        <v>277</v>
      </c>
      <c r="F105" s="101">
        <v>611</v>
      </c>
      <c r="G105" s="101">
        <v>51641</v>
      </c>
      <c r="H105" s="101">
        <v>333325.75999999995</v>
      </c>
      <c r="I105" s="101">
        <v>72583.84199999999</v>
      </c>
      <c r="J105" s="101">
        <v>178</v>
      </c>
      <c r="K105" s="101">
        <v>425</v>
      </c>
      <c r="L105" s="101">
        <v>9744</v>
      </c>
      <c r="M105" s="101">
        <v>171443</v>
      </c>
      <c r="N105" s="101">
        <v>45930</v>
      </c>
      <c r="O105" s="101">
        <v>243</v>
      </c>
      <c r="P105" s="101">
        <v>518</v>
      </c>
      <c r="Q105" s="101">
        <v>6113</v>
      </c>
      <c r="R105" s="101">
        <v>129899.68</v>
      </c>
      <c r="S105" s="101">
        <v>42611.591</v>
      </c>
      <c r="T105" s="169">
        <v>1.02</v>
      </c>
      <c r="U105" s="101">
        <f t="shared" si="6"/>
        <v>247.86</v>
      </c>
      <c r="V105" s="101">
        <f t="shared" si="7"/>
        <v>528.36</v>
      </c>
      <c r="W105" s="101">
        <f t="shared" si="8"/>
        <v>6235.26</v>
      </c>
      <c r="X105" s="101">
        <f t="shared" si="9"/>
        <v>132497.67360000001</v>
      </c>
      <c r="Y105" s="101">
        <f t="shared" si="10"/>
        <v>43463.822820000001</v>
      </c>
      <c r="AA105" s="101">
        <v>239</v>
      </c>
      <c r="AB105" s="101">
        <v>496</v>
      </c>
      <c r="AC105" s="101">
        <v>13408</v>
      </c>
      <c r="AD105" s="101">
        <v>157601</v>
      </c>
      <c r="AE105" s="101">
        <v>50523</v>
      </c>
    </row>
    <row r="106" spans="1:31" ht="11.25" hidden="1" customHeight="1" x14ac:dyDescent="0.3">
      <c r="A106" s="126" t="s">
        <v>171</v>
      </c>
      <c r="B106" s="126">
        <v>5</v>
      </c>
      <c r="C106" s="126">
        <v>37</v>
      </c>
      <c r="D106" s="126" t="str">
        <f t="shared" si="5"/>
        <v>537</v>
      </c>
      <c r="E106" s="101">
        <v>13.25</v>
      </c>
      <c r="F106" s="101">
        <v>33</v>
      </c>
      <c r="G106" s="101">
        <v>859.5</v>
      </c>
      <c r="H106" s="101">
        <v>3379.26</v>
      </c>
      <c r="I106" s="101">
        <v>1988.9449999999999</v>
      </c>
      <c r="J106" s="101">
        <v>29</v>
      </c>
      <c r="K106" s="101">
        <v>159</v>
      </c>
      <c r="L106" s="101">
        <v>944</v>
      </c>
      <c r="M106" s="101">
        <v>11289</v>
      </c>
      <c r="N106" s="101">
        <v>5675</v>
      </c>
      <c r="O106" s="101">
        <v>23</v>
      </c>
      <c r="P106" s="101">
        <v>229</v>
      </c>
      <c r="Q106" s="101">
        <v>4899</v>
      </c>
      <c r="R106" s="101">
        <v>32500.300000000003</v>
      </c>
      <c r="S106" s="101">
        <v>14498.919</v>
      </c>
      <c r="T106" s="169">
        <v>1.02</v>
      </c>
      <c r="U106" s="101">
        <f t="shared" si="6"/>
        <v>23.46</v>
      </c>
      <c r="V106" s="101">
        <f t="shared" si="7"/>
        <v>233.58</v>
      </c>
      <c r="W106" s="101">
        <f t="shared" si="8"/>
        <v>4996.9800000000005</v>
      </c>
      <c r="X106" s="101">
        <f t="shared" si="9"/>
        <v>33150.306000000004</v>
      </c>
      <c r="Y106" s="101">
        <f t="shared" si="10"/>
        <v>14788.89738</v>
      </c>
      <c r="AA106" s="101">
        <v>48</v>
      </c>
      <c r="AB106" s="101">
        <v>147</v>
      </c>
      <c r="AC106" s="101">
        <v>2517</v>
      </c>
      <c r="AD106" s="101">
        <v>13367</v>
      </c>
      <c r="AE106" s="101">
        <v>7356</v>
      </c>
    </row>
    <row r="107" spans="1:31" ht="11.25" hidden="1" customHeight="1" x14ac:dyDescent="0.3">
      <c r="A107" s="126" t="s">
        <v>171</v>
      </c>
      <c r="B107" s="126">
        <v>5</v>
      </c>
      <c r="C107" s="126">
        <v>30</v>
      </c>
      <c r="D107" s="126" t="str">
        <f t="shared" si="5"/>
        <v>530</v>
      </c>
      <c r="E107" s="101">
        <v>308.5</v>
      </c>
      <c r="F107" s="101">
        <v>4021.5</v>
      </c>
      <c r="G107" s="101">
        <v>17871.5</v>
      </c>
      <c r="H107" s="101">
        <v>471084.79</v>
      </c>
      <c r="I107" s="101">
        <v>194501.87000000002</v>
      </c>
      <c r="J107" s="101">
        <v>357</v>
      </c>
      <c r="K107" s="101">
        <v>5678</v>
      </c>
      <c r="L107" s="101">
        <v>17694</v>
      </c>
      <c r="M107" s="101">
        <v>379973</v>
      </c>
      <c r="N107" s="101">
        <v>99572</v>
      </c>
      <c r="O107" s="138"/>
      <c r="P107" s="138"/>
      <c r="Q107" s="138"/>
      <c r="R107" s="138"/>
      <c r="S107" s="138"/>
      <c r="T107" s="169">
        <v>1.02</v>
      </c>
      <c r="U107" s="101">
        <f t="shared" si="6"/>
        <v>0</v>
      </c>
      <c r="V107" s="101">
        <f t="shared" si="7"/>
        <v>0</v>
      </c>
      <c r="W107" s="101">
        <f t="shared" si="8"/>
        <v>0</v>
      </c>
      <c r="X107" s="101">
        <f t="shared" si="9"/>
        <v>0</v>
      </c>
      <c r="Y107" s="101">
        <f t="shared" si="10"/>
        <v>0</v>
      </c>
      <c r="AA107" s="101">
        <v>72</v>
      </c>
      <c r="AB107" s="101">
        <v>104</v>
      </c>
      <c r="AC107" s="101">
        <v>1534</v>
      </c>
      <c r="AD107" s="101">
        <v>88121</v>
      </c>
      <c r="AE107" s="101">
        <v>45408</v>
      </c>
    </row>
    <row r="108" spans="1:31" ht="11.25" hidden="1" customHeight="1" x14ac:dyDescent="0.3">
      <c r="A108" s="126" t="s">
        <v>171</v>
      </c>
      <c r="B108" s="126">
        <v>5</v>
      </c>
      <c r="C108" s="126">
        <v>14</v>
      </c>
      <c r="D108" s="126" t="str">
        <f t="shared" si="5"/>
        <v>514</v>
      </c>
      <c r="J108" s="101">
        <v>0</v>
      </c>
      <c r="K108" s="101">
        <v>0</v>
      </c>
      <c r="L108" s="101">
        <v>0</v>
      </c>
      <c r="M108" s="101">
        <v>0</v>
      </c>
      <c r="N108" s="101">
        <v>0</v>
      </c>
      <c r="O108" s="101">
        <v>43</v>
      </c>
      <c r="P108" s="101">
        <v>82</v>
      </c>
      <c r="Q108" s="101">
        <v>99</v>
      </c>
      <c r="R108" s="101">
        <v>9273.4399999999987</v>
      </c>
      <c r="S108" s="101">
        <v>1393.671</v>
      </c>
      <c r="T108" s="169">
        <v>1.02</v>
      </c>
      <c r="U108" s="101">
        <f t="shared" si="6"/>
        <v>43.86</v>
      </c>
      <c r="V108" s="101">
        <f t="shared" si="7"/>
        <v>83.64</v>
      </c>
      <c r="W108" s="101">
        <f t="shared" si="8"/>
        <v>100.98</v>
      </c>
      <c r="X108" s="101">
        <f t="shared" si="9"/>
        <v>9458.9087999999992</v>
      </c>
      <c r="Y108" s="101">
        <f t="shared" si="10"/>
        <v>1421.5444200000002</v>
      </c>
      <c r="AA108" s="101">
        <v>70</v>
      </c>
      <c r="AB108" s="101">
        <v>88</v>
      </c>
      <c r="AC108" s="101">
        <v>150</v>
      </c>
      <c r="AD108" s="101">
        <v>7978</v>
      </c>
      <c r="AE108" s="101">
        <v>1369</v>
      </c>
    </row>
    <row r="109" spans="1:31" ht="11.25" hidden="1" customHeight="1" x14ac:dyDescent="0.3">
      <c r="A109" s="126" t="s">
        <v>171</v>
      </c>
      <c r="B109" s="126">
        <v>5</v>
      </c>
      <c r="C109" s="126">
        <v>43</v>
      </c>
      <c r="D109" s="126" t="str">
        <f t="shared" si="5"/>
        <v>543</v>
      </c>
      <c r="J109" s="101">
        <v>0</v>
      </c>
      <c r="K109" s="101">
        <v>0</v>
      </c>
      <c r="L109" s="101">
        <v>0</v>
      </c>
      <c r="M109" s="101">
        <v>0</v>
      </c>
      <c r="N109" s="101">
        <v>0</v>
      </c>
      <c r="O109" s="101">
        <v>0</v>
      </c>
      <c r="P109" s="101">
        <v>0</v>
      </c>
      <c r="Q109" s="101">
        <v>0</v>
      </c>
      <c r="R109" s="101">
        <v>0</v>
      </c>
      <c r="S109" s="101">
        <v>0</v>
      </c>
      <c r="T109" s="169">
        <v>1.02</v>
      </c>
      <c r="U109" s="101">
        <f t="shared" si="6"/>
        <v>0</v>
      </c>
      <c r="V109" s="101">
        <f t="shared" si="7"/>
        <v>0</v>
      </c>
      <c r="W109" s="101">
        <f t="shared" si="8"/>
        <v>0</v>
      </c>
      <c r="X109" s="101">
        <f t="shared" si="9"/>
        <v>0</v>
      </c>
      <c r="Y109" s="101">
        <f t="shared" si="10"/>
        <v>0</v>
      </c>
      <c r="AA109" s="101">
        <v>0</v>
      </c>
      <c r="AB109" s="101">
        <v>0</v>
      </c>
      <c r="AC109" s="101">
        <v>0</v>
      </c>
      <c r="AD109" s="101">
        <v>0</v>
      </c>
      <c r="AE109" s="101">
        <v>0</v>
      </c>
    </row>
    <row r="110" spans="1:31" ht="11.25" hidden="1" customHeight="1" x14ac:dyDescent="0.3">
      <c r="A110" s="126" t="s">
        <v>171</v>
      </c>
      <c r="B110" s="126">
        <v>5</v>
      </c>
      <c r="C110" s="126">
        <v>44</v>
      </c>
      <c r="D110" s="126" t="str">
        <f t="shared" si="5"/>
        <v>544</v>
      </c>
      <c r="J110" s="101">
        <v>1</v>
      </c>
      <c r="K110" s="101">
        <v>1</v>
      </c>
      <c r="L110" s="101">
        <v>24</v>
      </c>
      <c r="M110" s="101">
        <v>0</v>
      </c>
      <c r="N110" s="101">
        <v>15</v>
      </c>
      <c r="O110" s="101">
        <v>0</v>
      </c>
      <c r="P110" s="101">
        <v>0</v>
      </c>
      <c r="Q110" s="101">
        <v>0</v>
      </c>
      <c r="R110" s="101">
        <v>0</v>
      </c>
      <c r="S110" s="101">
        <v>0</v>
      </c>
      <c r="T110" s="169">
        <v>1.02</v>
      </c>
      <c r="U110" s="101">
        <f t="shared" si="6"/>
        <v>0</v>
      </c>
      <c r="V110" s="101">
        <f t="shared" si="7"/>
        <v>0</v>
      </c>
      <c r="W110" s="101">
        <f t="shared" si="8"/>
        <v>0</v>
      </c>
      <c r="X110" s="101">
        <f t="shared" si="9"/>
        <v>0</v>
      </c>
      <c r="Y110" s="101">
        <f t="shared" si="10"/>
        <v>0</v>
      </c>
      <c r="AA110" s="101">
        <v>0</v>
      </c>
      <c r="AB110" s="101">
        <v>0</v>
      </c>
      <c r="AC110" s="101">
        <v>0</v>
      </c>
      <c r="AD110" s="101">
        <v>0</v>
      </c>
      <c r="AE110" s="101">
        <v>0</v>
      </c>
    </row>
    <row r="111" spans="1:31" ht="11.25" hidden="1" customHeight="1" x14ac:dyDescent="0.3">
      <c r="A111" s="126" t="s">
        <v>171</v>
      </c>
      <c r="B111" s="126">
        <v>5</v>
      </c>
      <c r="C111" s="126">
        <v>45</v>
      </c>
      <c r="D111" s="126" t="str">
        <f t="shared" si="5"/>
        <v>545</v>
      </c>
      <c r="J111" s="101">
        <v>0</v>
      </c>
      <c r="K111" s="101">
        <v>0</v>
      </c>
      <c r="L111" s="101">
        <v>0</v>
      </c>
      <c r="M111" s="101">
        <v>0</v>
      </c>
      <c r="N111" s="101">
        <v>0</v>
      </c>
      <c r="O111" s="101">
        <v>0</v>
      </c>
      <c r="P111" s="101">
        <v>0</v>
      </c>
      <c r="Q111" s="101">
        <v>0</v>
      </c>
      <c r="R111" s="101">
        <v>0</v>
      </c>
      <c r="S111" s="101">
        <v>0</v>
      </c>
      <c r="T111" s="169">
        <v>1.02</v>
      </c>
      <c r="U111" s="101">
        <f t="shared" si="6"/>
        <v>0</v>
      </c>
      <c r="V111" s="101">
        <f t="shared" si="7"/>
        <v>0</v>
      </c>
      <c r="W111" s="101">
        <f t="shared" si="8"/>
        <v>0</v>
      </c>
      <c r="X111" s="101">
        <f t="shared" si="9"/>
        <v>0</v>
      </c>
      <c r="Y111" s="101">
        <f t="shared" si="10"/>
        <v>0</v>
      </c>
      <c r="AA111" s="101">
        <v>0</v>
      </c>
      <c r="AB111" s="101">
        <v>0</v>
      </c>
      <c r="AC111" s="101">
        <v>0</v>
      </c>
      <c r="AD111" s="101">
        <v>0</v>
      </c>
      <c r="AE111" s="101">
        <v>0</v>
      </c>
    </row>
    <row r="112" spans="1:31" ht="11.25" hidden="1" customHeight="1" x14ac:dyDescent="0.3">
      <c r="A112" s="126" t="s">
        <v>171</v>
      </c>
      <c r="B112" s="126">
        <v>5</v>
      </c>
      <c r="C112" s="126">
        <v>47</v>
      </c>
      <c r="D112" s="126" t="str">
        <f t="shared" si="5"/>
        <v>547</v>
      </c>
      <c r="J112" s="101">
        <v>0</v>
      </c>
      <c r="K112" s="101">
        <v>0</v>
      </c>
      <c r="L112" s="101">
        <v>0</v>
      </c>
      <c r="M112" s="101">
        <v>0</v>
      </c>
      <c r="N112" s="101">
        <v>0</v>
      </c>
      <c r="O112" s="101">
        <v>0</v>
      </c>
      <c r="P112" s="101">
        <v>0</v>
      </c>
      <c r="Q112" s="101">
        <v>0</v>
      </c>
      <c r="R112" s="101">
        <v>0</v>
      </c>
      <c r="S112" s="101">
        <v>0</v>
      </c>
      <c r="T112" s="169">
        <v>1.02</v>
      </c>
      <c r="U112" s="101">
        <f t="shared" si="6"/>
        <v>0</v>
      </c>
      <c r="V112" s="101">
        <f t="shared" si="7"/>
        <v>0</v>
      </c>
      <c r="W112" s="101">
        <f t="shared" si="8"/>
        <v>0</v>
      </c>
      <c r="X112" s="101">
        <f t="shared" si="9"/>
        <v>0</v>
      </c>
      <c r="Y112" s="101">
        <f t="shared" si="10"/>
        <v>0</v>
      </c>
      <c r="AA112" s="101">
        <v>6</v>
      </c>
      <c r="AB112" s="101">
        <v>10</v>
      </c>
      <c r="AC112" s="101">
        <v>1913</v>
      </c>
      <c r="AD112" s="101">
        <v>16405</v>
      </c>
      <c r="AE112" s="101">
        <v>3350</v>
      </c>
    </row>
    <row r="113" spans="1:31" ht="11.25" hidden="1" customHeight="1" x14ac:dyDescent="0.3">
      <c r="A113" s="126" t="s">
        <v>171</v>
      </c>
      <c r="B113" s="126">
        <v>5</v>
      </c>
      <c r="C113" s="126">
        <v>48</v>
      </c>
      <c r="D113" s="126" t="str">
        <f t="shared" si="5"/>
        <v>548</v>
      </c>
      <c r="J113" s="101">
        <v>0</v>
      </c>
      <c r="K113" s="101">
        <v>0</v>
      </c>
      <c r="L113" s="101">
        <v>0</v>
      </c>
      <c r="M113" s="101">
        <v>0</v>
      </c>
      <c r="N113" s="101">
        <v>0</v>
      </c>
      <c r="O113" s="101">
        <v>1</v>
      </c>
      <c r="P113" s="101">
        <v>1</v>
      </c>
      <c r="Q113" s="101">
        <v>500</v>
      </c>
      <c r="R113" s="101">
        <v>2230</v>
      </c>
      <c r="S113" s="101">
        <v>633.75</v>
      </c>
      <c r="T113" s="169">
        <v>1.02</v>
      </c>
      <c r="U113" s="101">
        <f t="shared" si="6"/>
        <v>1.02</v>
      </c>
      <c r="V113" s="101">
        <f t="shared" si="7"/>
        <v>1.02</v>
      </c>
      <c r="W113" s="101">
        <f t="shared" si="8"/>
        <v>510</v>
      </c>
      <c r="X113" s="101">
        <f t="shared" si="9"/>
        <v>2274.6</v>
      </c>
      <c r="Y113" s="101">
        <f t="shared" si="10"/>
        <v>646.42499999999995</v>
      </c>
      <c r="AA113" s="101">
        <v>0</v>
      </c>
      <c r="AB113" s="101">
        <v>0</v>
      </c>
      <c r="AC113" s="101">
        <v>0</v>
      </c>
      <c r="AD113" s="101">
        <v>0</v>
      </c>
      <c r="AE113" s="101">
        <v>0</v>
      </c>
    </row>
    <row r="114" spans="1:31" ht="11.25" hidden="1" customHeight="1" x14ac:dyDescent="0.3">
      <c r="A114" s="126" t="s">
        <v>171</v>
      </c>
      <c r="B114" s="126">
        <v>5</v>
      </c>
      <c r="C114" s="126">
        <v>32</v>
      </c>
      <c r="D114" s="126" t="str">
        <f t="shared" si="5"/>
        <v>532</v>
      </c>
      <c r="F114" s="101">
        <v>0</v>
      </c>
      <c r="G114" s="101">
        <v>0</v>
      </c>
      <c r="J114" s="101">
        <v>83</v>
      </c>
      <c r="K114" s="101">
        <v>127</v>
      </c>
      <c r="L114" s="101">
        <v>1722</v>
      </c>
      <c r="M114" s="101">
        <v>22774</v>
      </c>
      <c r="N114" s="101">
        <v>28415</v>
      </c>
      <c r="O114" s="101">
        <v>47</v>
      </c>
      <c r="P114" s="101">
        <v>116</v>
      </c>
      <c r="Q114" s="101">
        <v>4515</v>
      </c>
      <c r="R114" s="101">
        <v>76599.08</v>
      </c>
      <c r="S114" s="101">
        <v>53530.278000000006</v>
      </c>
      <c r="T114" s="169">
        <v>1.02</v>
      </c>
      <c r="U114" s="101">
        <f t="shared" si="6"/>
        <v>47.94</v>
      </c>
      <c r="V114" s="101">
        <f t="shared" si="7"/>
        <v>118.32000000000001</v>
      </c>
      <c r="W114" s="101">
        <f t="shared" si="8"/>
        <v>4605.3</v>
      </c>
      <c r="X114" s="101">
        <f t="shared" si="9"/>
        <v>78131.061600000001</v>
      </c>
      <c r="Y114" s="101">
        <f t="shared" si="10"/>
        <v>54600.883560000009</v>
      </c>
      <c r="AA114" s="101">
        <v>47</v>
      </c>
      <c r="AB114" s="101">
        <v>119</v>
      </c>
      <c r="AC114" s="101">
        <v>4573</v>
      </c>
      <c r="AD114" s="101">
        <v>42910</v>
      </c>
      <c r="AE114" s="101">
        <v>12352</v>
      </c>
    </row>
    <row r="115" spans="1:31" ht="11.25" hidden="1" customHeight="1" x14ac:dyDescent="0.3">
      <c r="A115" s="126" t="s">
        <v>171</v>
      </c>
      <c r="B115" s="126">
        <v>5</v>
      </c>
      <c r="C115" s="126">
        <v>21</v>
      </c>
      <c r="D115" s="126" t="str">
        <f t="shared" si="5"/>
        <v>521</v>
      </c>
      <c r="E115" s="101">
        <v>1377.5</v>
      </c>
      <c r="F115" s="101">
        <v>8599.5</v>
      </c>
      <c r="G115" s="101">
        <v>41608</v>
      </c>
      <c r="H115" s="101">
        <v>665560.44500000007</v>
      </c>
      <c r="I115" s="101">
        <v>210834.43350000001</v>
      </c>
      <c r="J115" s="101">
        <v>1019</v>
      </c>
      <c r="K115" s="101">
        <v>6256</v>
      </c>
      <c r="L115" s="101">
        <v>32695</v>
      </c>
      <c r="M115" s="101">
        <v>398971</v>
      </c>
      <c r="N115" s="101">
        <v>97921</v>
      </c>
      <c r="O115" s="138">
        <v>1206</v>
      </c>
      <c r="P115" s="138">
        <v>9377</v>
      </c>
      <c r="Q115" s="138">
        <v>56920</v>
      </c>
      <c r="R115" s="138">
        <v>545249.52</v>
      </c>
      <c r="S115" s="138">
        <v>173806.92099999997</v>
      </c>
      <c r="T115" s="169">
        <v>1.02</v>
      </c>
      <c r="U115" s="101">
        <f t="shared" si="6"/>
        <v>1230.1200000000001</v>
      </c>
      <c r="V115" s="101">
        <f t="shared" si="7"/>
        <v>9564.5400000000009</v>
      </c>
      <c r="W115" s="101">
        <f t="shared" si="8"/>
        <v>58058.400000000001</v>
      </c>
      <c r="X115" s="101">
        <f t="shared" si="9"/>
        <v>556154.51040000003</v>
      </c>
      <c r="Y115" s="101">
        <f t="shared" si="10"/>
        <v>177283.05941999998</v>
      </c>
      <c r="AA115" s="101">
        <v>1080</v>
      </c>
      <c r="AB115" s="101">
        <v>8767</v>
      </c>
      <c r="AC115" s="101">
        <v>49377</v>
      </c>
      <c r="AD115" s="101">
        <v>590199</v>
      </c>
      <c r="AE115" s="101">
        <v>203426</v>
      </c>
    </row>
    <row r="116" spans="1:31" s="174" customFormat="1" ht="11.25" hidden="1" customHeight="1" x14ac:dyDescent="0.3">
      <c r="A116" s="126" t="s">
        <v>171</v>
      </c>
      <c r="B116" s="126">
        <v>5</v>
      </c>
      <c r="C116" s="126">
        <v>22</v>
      </c>
      <c r="D116" s="126" t="str">
        <f t="shared" si="5"/>
        <v>522</v>
      </c>
      <c r="E116" s="173"/>
      <c r="F116" s="136">
        <v>0</v>
      </c>
      <c r="G116" s="173">
        <v>0</v>
      </c>
      <c r="H116" s="173"/>
      <c r="I116" s="173"/>
      <c r="J116" s="101">
        <v>7</v>
      </c>
      <c r="K116" s="101">
        <v>9</v>
      </c>
      <c r="L116" s="101">
        <v>525</v>
      </c>
      <c r="M116" s="101">
        <v>8870</v>
      </c>
      <c r="N116" s="101">
        <v>4568</v>
      </c>
      <c r="O116" s="101">
        <v>12</v>
      </c>
      <c r="P116" s="101">
        <v>21</v>
      </c>
      <c r="Q116" s="101">
        <v>65</v>
      </c>
      <c r="R116" s="101">
        <v>486.41</v>
      </c>
      <c r="S116" s="101">
        <v>213.14</v>
      </c>
      <c r="T116" s="169">
        <v>1.02</v>
      </c>
      <c r="U116" s="101">
        <f t="shared" si="6"/>
        <v>12.24</v>
      </c>
      <c r="V116" s="101">
        <f t="shared" si="7"/>
        <v>21.42</v>
      </c>
      <c r="W116" s="101">
        <f t="shared" si="8"/>
        <v>66.3</v>
      </c>
      <c r="X116" s="101">
        <f t="shared" si="9"/>
        <v>496.13820000000004</v>
      </c>
      <c r="Y116" s="101">
        <f t="shared" si="10"/>
        <v>217.40279999999998</v>
      </c>
      <c r="AA116" s="101">
        <v>0</v>
      </c>
      <c r="AB116" s="101">
        <v>0</v>
      </c>
      <c r="AC116" s="101">
        <v>0</v>
      </c>
      <c r="AD116" s="101">
        <v>0</v>
      </c>
      <c r="AE116" s="101">
        <v>0</v>
      </c>
    </row>
    <row r="117" spans="1:31" ht="11.25" hidden="1" customHeight="1" x14ac:dyDescent="0.3">
      <c r="A117" s="126" t="s">
        <v>171</v>
      </c>
      <c r="B117" s="126">
        <v>5</v>
      </c>
      <c r="C117" s="126">
        <v>71</v>
      </c>
      <c r="D117" s="126" t="str">
        <f t="shared" si="5"/>
        <v>571</v>
      </c>
      <c r="E117" s="101">
        <v>906</v>
      </c>
      <c r="F117" s="101">
        <v>6623.5</v>
      </c>
      <c r="G117" s="101">
        <v>16809.5</v>
      </c>
      <c r="H117" s="101">
        <v>182672.505</v>
      </c>
      <c r="I117" s="101">
        <v>85984.66</v>
      </c>
      <c r="J117" s="101">
        <v>768</v>
      </c>
      <c r="K117" s="101">
        <v>6054</v>
      </c>
      <c r="L117" s="101">
        <v>18716</v>
      </c>
      <c r="M117" s="101">
        <v>234043</v>
      </c>
      <c r="N117" s="101">
        <v>100331</v>
      </c>
      <c r="O117" s="101">
        <v>589</v>
      </c>
      <c r="P117" s="101">
        <v>6136</v>
      </c>
      <c r="Q117" s="101">
        <v>22741</v>
      </c>
      <c r="R117" s="101">
        <v>161282.63999999998</v>
      </c>
      <c r="S117" s="101">
        <v>96996.305999999997</v>
      </c>
      <c r="T117" s="169">
        <v>0.98</v>
      </c>
      <c r="U117" s="101">
        <f t="shared" si="6"/>
        <v>577.22</v>
      </c>
      <c r="V117" s="101">
        <f t="shared" si="7"/>
        <v>6013.28</v>
      </c>
      <c r="W117" s="101">
        <v>23423.23</v>
      </c>
      <c r="X117" s="101">
        <f t="shared" si="9"/>
        <v>158056.98719999997</v>
      </c>
      <c r="Y117" s="101">
        <f t="shared" si="10"/>
        <v>95056.379879999993</v>
      </c>
      <c r="AA117" s="101">
        <v>332</v>
      </c>
      <c r="AB117" s="101">
        <v>6383</v>
      </c>
      <c r="AC117" s="101">
        <v>30084</v>
      </c>
      <c r="AD117" s="101">
        <v>210003</v>
      </c>
      <c r="AE117" s="101">
        <v>108326</v>
      </c>
    </row>
    <row r="118" spans="1:31" ht="11.25" hidden="1" customHeight="1" x14ac:dyDescent="0.3">
      <c r="A118" s="126" t="s">
        <v>171</v>
      </c>
      <c r="B118" s="126">
        <v>5</v>
      </c>
      <c r="C118" s="126">
        <v>91</v>
      </c>
      <c r="D118" s="126" t="str">
        <f t="shared" si="5"/>
        <v>591</v>
      </c>
      <c r="F118" s="101">
        <v>0</v>
      </c>
      <c r="G118" s="101">
        <v>0</v>
      </c>
      <c r="J118" s="101">
        <v>66</v>
      </c>
      <c r="K118" s="101">
        <v>177</v>
      </c>
      <c r="L118" s="101">
        <v>2397</v>
      </c>
      <c r="M118" s="101">
        <v>7073</v>
      </c>
      <c r="N118" s="101">
        <v>4446</v>
      </c>
      <c r="O118" s="101">
        <v>37</v>
      </c>
      <c r="P118" s="101">
        <v>92</v>
      </c>
      <c r="Q118" s="101">
        <v>917</v>
      </c>
      <c r="R118" s="101">
        <v>4665.33</v>
      </c>
      <c r="S118" s="101">
        <v>3440.549</v>
      </c>
      <c r="T118" s="169">
        <v>1.02</v>
      </c>
      <c r="U118" s="101">
        <f t="shared" si="6"/>
        <v>37.74</v>
      </c>
      <c r="V118" s="101">
        <f t="shared" si="7"/>
        <v>93.84</v>
      </c>
      <c r="W118" s="101">
        <f t="shared" si="8"/>
        <v>935.34</v>
      </c>
      <c r="X118" s="101">
        <f t="shared" si="9"/>
        <v>4758.6365999999998</v>
      </c>
      <c r="Y118" s="101">
        <f t="shared" si="10"/>
        <v>3509.3599800000002</v>
      </c>
      <c r="AA118" s="101">
        <v>55</v>
      </c>
      <c r="AB118" s="101">
        <v>111</v>
      </c>
      <c r="AC118" s="101">
        <v>1330</v>
      </c>
      <c r="AD118" s="101">
        <v>4125</v>
      </c>
      <c r="AE118" s="101">
        <v>2682</v>
      </c>
    </row>
    <row r="119" spans="1:31" ht="11.25" hidden="1" customHeight="1" x14ac:dyDescent="0.3">
      <c r="A119" s="126" t="s">
        <v>171</v>
      </c>
      <c r="B119" s="126">
        <v>5</v>
      </c>
      <c r="C119" s="126">
        <v>25</v>
      </c>
      <c r="D119" s="126" t="str">
        <f t="shared" si="5"/>
        <v>525</v>
      </c>
      <c r="E119" s="101">
        <v>799</v>
      </c>
      <c r="F119" s="101">
        <v>5745</v>
      </c>
      <c r="G119" s="101">
        <v>41493</v>
      </c>
      <c r="H119" s="101">
        <v>627058.59</v>
      </c>
      <c r="I119" s="101">
        <v>294375.02400000003</v>
      </c>
      <c r="J119" s="101">
        <v>797</v>
      </c>
      <c r="K119" s="101">
        <v>6733</v>
      </c>
      <c r="L119" s="101">
        <v>32609</v>
      </c>
      <c r="M119" s="101">
        <v>335188</v>
      </c>
      <c r="N119" s="101">
        <v>159826</v>
      </c>
      <c r="O119" s="101">
        <v>738</v>
      </c>
      <c r="P119" s="101">
        <v>8003</v>
      </c>
      <c r="Q119" s="101">
        <v>43261</v>
      </c>
      <c r="R119" s="101">
        <v>476722.24</v>
      </c>
      <c r="S119" s="101">
        <v>215619.27600000001</v>
      </c>
      <c r="T119" s="169">
        <v>1.02</v>
      </c>
      <c r="U119" s="101">
        <f t="shared" si="6"/>
        <v>752.76</v>
      </c>
      <c r="V119" s="101">
        <f t="shared" si="7"/>
        <v>8163.06</v>
      </c>
      <c r="W119" s="101">
        <f t="shared" si="8"/>
        <v>44126.22</v>
      </c>
      <c r="X119" s="101">
        <f t="shared" si="9"/>
        <v>486256.68479999999</v>
      </c>
      <c r="Y119" s="101">
        <f t="shared" si="10"/>
        <v>219931.66152000002</v>
      </c>
      <c r="AA119" s="101">
        <v>824</v>
      </c>
      <c r="AB119" s="101">
        <v>7186</v>
      </c>
      <c r="AC119" s="101">
        <v>30554</v>
      </c>
      <c r="AD119" s="101">
        <v>361332</v>
      </c>
      <c r="AE119" s="101">
        <v>209299</v>
      </c>
    </row>
    <row r="120" spans="1:31" s="174" customFormat="1" ht="11.25" hidden="1" customHeight="1" x14ac:dyDescent="0.3">
      <c r="A120" s="126" t="s">
        <v>171</v>
      </c>
      <c r="B120" s="126">
        <v>5</v>
      </c>
      <c r="C120" s="126">
        <v>26</v>
      </c>
      <c r="D120" s="126" t="str">
        <f t="shared" si="5"/>
        <v>526</v>
      </c>
      <c r="E120" s="173"/>
      <c r="F120" s="136">
        <v>0</v>
      </c>
      <c r="G120" s="173">
        <v>0</v>
      </c>
      <c r="H120" s="173"/>
      <c r="I120" s="173"/>
      <c r="J120" s="101">
        <v>13</v>
      </c>
      <c r="K120" s="101">
        <v>17</v>
      </c>
      <c r="L120" s="101">
        <v>198</v>
      </c>
      <c r="M120" s="101">
        <v>13092</v>
      </c>
      <c r="N120" s="101">
        <v>7540</v>
      </c>
      <c r="O120" s="101">
        <v>8</v>
      </c>
      <c r="P120" s="101">
        <v>12</v>
      </c>
      <c r="Q120" s="101">
        <v>74</v>
      </c>
      <c r="R120" s="101">
        <v>5876.12</v>
      </c>
      <c r="S120" s="101">
        <v>1773.5509999999999</v>
      </c>
      <c r="T120" s="169">
        <v>1.02</v>
      </c>
      <c r="U120" s="101">
        <f t="shared" si="6"/>
        <v>8.16</v>
      </c>
      <c r="V120" s="101">
        <f t="shared" si="7"/>
        <v>12.24</v>
      </c>
      <c r="W120" s="101">
        <f t="shared" si="8"/>
        <v>75.48</v>
      </c>
      <c r="X120" s="101">
        <f t="shared" si="9"/>
        <v>5993.6423999999997</v>
      </c>
      <c r="Y120" s="101">
        <f t="shared" si="10"/>
        <v>1809.0220199999999</v>
      </c>
      <c r="AA120" s="101">
        <v>2</v>
      </c>
      <c r="AB120" s="101">
        <v>13</v>
      </c>
      <c r="AC120" s="101">
        <v>79</v>
      </c>
      <c r="AD120" s="101">
        <v>1663</v>
      </c>
      <c r="AE120" s="101">
        <v>790</v>
      </c>
    </row>
    <row r="121" spans="1:31" ht="11.25" hidden="1" customHeight="1" x14ac:dyDescent="0.3">
      <c r="A121" s="126" t="s">
        <v>171</v>
      </c>
      <c r="B121" s="126">
        <v>5</v>
      </c>
      <c r="C121" s="126">
        <v>27</v>
      </c>
      <c r="D121" s="126" t="str">
        <f t="shared" si="5"/>
        <v>527</v>
      </c>
      <c r="E121" s="101">
        <v>67</v>
      </c>
      <c r="F121" s="101">
        <v>1208</v>
      </c>
      <c r="G121" s="101">
        <v>4029</v>
      </c>
      <c r="H121" s="101">
        <v>46963.479999999996</v>
      </c>
      <c r="I121" s="101">
        <v>16503.423999999999</v>
      </c>
      <c r="J121" s="101">
        <v>57</v>
      </c>
      <c r="K121" s="101">
        <v>1646</v>
      </c>
      <c r="L121" s="101">
        <v>6917</v>
      </c>
      <c r="M121" s="101">
        <v>102619</v>
      </c>
      <c r="N121" s="101">
        <v>34508</v>
      </c>
      <c r="O121" s="101">
        <v>84</v>
      </c>
      <c r="P121" s="101">
        <v>2140</v>
      </c>
      <c r="Q121" s="101">
        <v>12581</v>
      </c>
      <c r="R121" s="101">
        <v>109166.73</v>
      </c>
      <c r="S121" s="101">
        <v>52477.715000000004</v>
      </c>
      <c r="T121" s="169">
        <v>1.02</v>
      </c>
      <c r="U121" s="101">
        <f t="shared" si="6"/>
        <v>85.68</v>
      </c>
      <c r="V121" s="101">
        <f t="shared" si="7"/>
        <v>2182.8000000000002</v>
      </c>
      <c r="W121" s="101">
        <f t="shared" si="8"/>
        <v>12832.62</v>
      </c>
      <c r="X121" s="101">
        <f t="shared" si="9"/>
        <v>111350.0646</v>
      </c>
      <c r="Y121" s="101">
        <f t="shared" si="10"/>
        <v>53527.269300000007</v>
      </c>
      <c r="AA121" s="101">
        <v>82</v>
      </c>
      <c r="AB121" s="101">
        <v>2186</v>
      </c>
      <c r="AC121" s="101">
        <v>10868</v>
      </c>
      <c r="AD121" s="101">
        <v>93107</v>
      </c>
      <c r="AE121" s="101">
        <v>40691</v>
      </c>
    </row>
    <row r="122" spans="1:31" ht="11.25" hidden="1" customHeight="1" x14ac:dyDescent="0.3">
      <c r="A122" s="126" t="s">
        <v>171</v>
      </c>
      <c r="B122" s="126">
        <v>5</v>
      </c>
      <c r="C122" s="126">
        <v>41</v>
      </c>
      <c r="D122" s="126" t="str">
        <f t="shared" si="5"/>
        <v>541</v>
      </c>
      <c r="O122" s="101">
        <v>4</v>
      </c>
      <c r="P122" s="101">
        <v>15</v>
      </c>
      <c r="Q122" s="101">
        <v>161</v>
      </c>
      <c r="R122" s="101">
        <v>1014.1500000000001</v>
      </c>
      <c r="S122" s="101">
        <v>231.49199999999996</v>
      </c>
      <c r="T122" s="169">
        <v>1.02</v>
      </c>
      <c r="U122" s="101">
        <f t="shared" si="6"/>
        <v>4.08</v>
      </c>
      <c r="V122" s="101">
        <f t="shared" si="7"/>
        <v>15.3</v>
      </c>
      <c r="W122" s="101">
        <f t="shared" si="8"/>
        <v>164.22</v>
      </c>
      <c r="X122" s="101">
        <f t="shared" si="9"/>
        <v>1034.4330000000002</v>
      </c>
      <c r="Y122" s="101">
        <f t="shared" si="10"/>
        <v>236.12183999999996</v>
      </c>
      <c r="AA122" s="101">
        <v>3</v>
      </c>
      <c r="AB122" s="101">
        <v>7</v>
      </c>
      <c r="AC122" s="101">
        <v>122</v>
      </c>
      <c r="AD122" s="101">
        <v>743</v>
      </c>
      <c r="AE122" s="101">
        <v>301</v>
      </c>
    </row>
    <row r="123" spans="1:31" ht="11.25" customHeight="1" x14ac:dyDescent="0.3">
      <c r="A123" s="126" t="s">
        <v>171</v>
      </c>
      <c r="B123" s="126">
        <v>5</v>
      </c>
      <c r="C123" s="126" t="s">
        <v>172</v>
      </c>
      <c r="D123" s="126" t="str">
        <f t="shared" si="5"/>
        <v>5Uml</v>
      </c>
      <c r="J123" s="101">
        <v>260</v>
      </c>
      <c r="K123" s="101">
        <v>260</v>
      </c>
      <c r="L123" s="101">
        <v>64392</v>
      </c>
      <c r="N123" s="101">
        <v>535597</v>
      </c>
      <c r="O123" s="175">
        <v>498</v>
      </c>
      <c r="P123" s="175">
        <v>506</v>
      </c>
      <c r="Q123" s="175">
        <v>95911</v>
      </c>
      <c r="R123" s="175"/>
      <c r="S123" s="175">
        <v>247198.117</v>
      </c>
      <c r="T123" s="169">
        <v>1.02</v>
      </c>
      <c r="U123" s="101">
        <f t="shared" si="6"/>
        <v>507.96000000000004</v>
      </c>
      <c r="V123" s="101">
        <f t="shared" si="7"/>
        <v>516.12</v>
      </c>
      <c r="W123" s="101">
        <f t="shared" si="8"/>
        <v>97829.22</v>
      </c>
      <c r="X123" s="101">
        <f t="shared" si="9"/>
        <v>0</v>
      </c>
      <c r="Y123" s="101">
        <f t="shared" si="10"/>
        <v>252142.07934</v>
      </c>
      <c r="AA123" s="101">
        <v>384</v>
      </c>
      <c r="AB123" s="101">
        <v>384</v>
      </c>
      <c r="AC123" s="101">
        <v>66713</v>
      </c>
      <c r="AE123" s="101">
        <v>301804.152</v>
      </c>
    </row>
    <row r="124" spans="1:31" ht="11.25" hidden="1" customHeight="1" x14ac:dyDescent="0.3">
      <c r="A124" s="126" t="s">
        <v>171</v>
      </c>
      <c r="B124" s="126">
        <v>5</v>
      </c>
      <c r="C124" s="126">
        <v>66</v>
      </c>
      <c r="D124" s="126" t="str">
        <f t="shared" si="5"/>
        <v>566</v>
      </c>
      <c r="E124" s="101">
        <v>698</v>
      </c>
      <c r="F124" s="101">
        <v>1826</v>
      </c>
      <c r="G124" s="101">
        <v>26758</v>
      </c>
      <c r="H124" s="101">
        <v>184033.95</v>
      </c>
      <c r="I124" s="101">
        <v>86611.066999999995</v>
      </c>
      <c r="J124" s="101">
        <v>455</v>
      </c>
      <c r="K124" s="101">
        <v>1626</v>
      </c>
      <c r="L124" s="101">
        <v>24763</v>
      </c>
      <c r="M124" s="101">
        <v>157956</v>
      </c>
      <c r="N124" s="101">
        <v>76877</v>
      </c>
      <c r="O124" s="101">
        <v>326</v>
      </c>
      <c r="P124" s="101">
        <v>1905</v>
      </c>
      <c r="Q124" s="101">
        <v>29536</v>
      </c>
      <c r="R124" s="101">
        <v>201669.02000000002</v>
      </c>
      <c r="S124" s="101">
        <v>110404.85399999999</v>
      </c>
      <c r="T124" s="169">
        <v>1.02</v>
      </c>
      <c r="U124" s="101">
        <f t="shared" si="6"/>
        <v>332.52</v>
      </c>
      <c r="V124" s="101">
        <f t="shared" si="7"/>
        <v>1943.1000000000001</v>
      </c>
      <c r="W124" s="101">
        <f t="shared" si="8"/>
        <v>30126.720000000001</v>
      </c>
      <c r="X124" s="101">
        <f t="shared" si="9"/>
        <v>205702.40040000001</v>
      </c>
      <c r="Y124" s="101">
        <f t="shared" si="10"/>
        <v>112612.95108</v>
      </c>
      <c r="AA124" s="101">
        <v>175</v>
      </c>
      <c r="AB124" s="101">
        <v>940</v>
      </c>
      <c r="AC124" s="101">
        <v>22377</v>
      </c>
      <c r="AD124" s="101">
        <v>86039</v>
      </c>
      <c r="AE124" s="101">
        <v>39070</v>
      </c>
    </row>
    <row r="125" spans="1:31" ht="11.25" hidden="1" customHeight="1" x14ac:dyDescent="0.3">
      <c r="A125" s="126" t="s">
        <v>173</v>
      </c>
      <c r="B125" s="126">
        <v>6</v>
      </c>
      <c r="C125" s="126">
        <v>12</v>
      </c>
      <c r="D125" s="126" t="str">
        <f t="shared" si="5"/>
        <v>612</v>
      </c>
      <c r="E125" s="101">
        <v>53</v>
      </c>
      <c r="F125" s="101">
        <v>81</v>
      </c>
      <c r="G125" s="101">
        <v>88</v>
      </c>
      <c r="H125" s="101">
        <v>2519.0699999999997</v>
      </c>
      <c r="I125" s="101">
        <v>443.44000000000005</v>
      </c>
      <c r="J125" s="101">
        <v>29</v>
      </c>
      <c r="K125" s="101">
        <v>39</v>
      </c>
      <c r="L125" s="101">
        <v>62</v>
      </c>
      <c r="M125" s="101">
        <v>1562</v>
      </c>
      <c r="N125" s="101">
        <v>202</v>
      </c>
      <c r="O125" s="101">
        <v>14</v>
      </c>
      <c r="P125" s="101">
        <v>23</v>
      </c>
      <c r="Q125" s="101">
        <v>23</v>
      </c>
      <c r="R125" s="101">
        <v>724.05</v>
      </c>
      <c r="S125" s="101">
        <v>132.94200000000001</v>
      </c>
      <c r="T125" s="169">
        <v>1.02</v>
      </c>
      <c r="U125" s="101">
        <f t="shared" si="6"/>
        <v>14.280000000000001</v>
      </c>
      <c r="V125" s="101">
        <f t="shared" si="7"/>
        <v>23.46</v>
      </c>
      <c r="W125" s="101">
        <f t="shared" si="8"/>
        <v>23.46</v>
      </c>
      <c r="X125" s="101">
        <f t="shared" si="9"/>
        <v>738.53099999999995</v>
      </c>
      <c r="Y125" s="101">
        <f t="shared" si="10"/>
        <v>135.60084000000001</v>
      </c>
      <c r="AA125" s="101">
        <v>18</v>
      </c>
      <c r="AB125" s="101">
        <v>26</v>
      </c>
      <c r="AC125" s="101">
        <v>29</v>
      </c>
      <c r="AD125" s="101">
        <v>1234</v>
      </c>
      <c r="AE125" s="101">
        <v>239</v>
      </c>
    </row>
    <row r="126" spans="1:31" s="137" customFormat="1" ht="11.25" hidden="1" customHeight="1" x14ac:dyDescent="0.3">
      <c r="A126" s="126" t="s">
        <v>173</v>
      </c>
      <c r="B126" s="126">
        <v>6</v>
      </c>
      <c r="C126" s="126">
        <v>14</v>
      </c>
      <c r="D126" s="126" t="str">
        <f t="shared" si="5"/>
        <v>614</v>
      </c>
      <c r="E126" s="136"/>
      <c r="F126" s="136">
        <v>0</v>
      </c>
      <c r="G126" s="136">
        <v>0</v>
      </c>
      <c r="H126" s="136"/>
      <c r="I126" s="136"/>
      <c r="J126" s="101">
        <v>0</v>
      </c>
      <c r="K126" s="101">
        <v>0</v>
      </c>
      <c r="L126" s="101">
        <v>0</v>
      </c>
      <c r="M126" s="101">
        <v>0</v>
      </c>
      <c r="N126" s="101">
        <v>0</v>
      </c>
      <c r="O126" s="101">
        <v>39</v>
      </c>
      <c r="P126" s="101">
        <v>53</v>
      </c>
      <c r="Q126" s="101">
        <v>102</v>
      </c>
      <c r="R126" s="101">
        <v>4352.99</v>
      </c>
      <c r="S126" s="101">
        <v>688.85299999999995</v>
      </c>
      <c r="T126" s="169">
        <v>1.02</v>
      </c>
      <c r="U126" s="101">
        <f t="shared" si="6"/>
        <v>39.78</v>
      </c>
      <c r="V126" s="101">
        <f t="shared" si="7"/>
        <v>54.06</v>
      </c>
      <c r="W126" s="101">
        <f t="shared" si="8"/>
        <v>104.04</v>
      </c>
      <c r="X126" s="101">
        <f t="shared" si="9"/>
        <v>4440.0497999999998</v>
      </c>
      <c r="Y126" s="101">
        <f t="shared" si="10"/>
        <v>702.63005999999996</v>
      </c>
      <c r="AA126" s="101">
        <v>56</v>
      </c>
      <c r="AB126" s="101">
        <v>86</v>
      </c>
      <c r="AC126" s="101">
        <v>130</v>
      </c>
      <c r="AD126" s="101">
        <v>4843</v>
      </c>
      <c r="AE126" s="101">
        <v>510</v>
      </c>
    </row>
    <row r="127" spans="1:31" ht="11.25" hidden="1" customHeight="1" x14ac:dyDescent="0.3">
      <c r="A127" s="126" t="s">
        <v>173</v>
      </c>
      <c r="B127" s="126">
        <v>6</v>
      </c>
      <c r="C127" s="126">
        <v>17</v>
      </c>
      <c r="D127" s="126" t="str">
        <f t="shared" si="5"/>
        <v>617</v>
      </c>
      <c r="E127" s="101">
        <v>2286</v>
      </c>
      <c r="F127" s="101">
        <v>3363</v>
      </c>
      <c r="G127" s="101">
        <v>4890</v>
      </c>
      <c r="H127" s="101">
        <v>124296.26</v>
      </c>
      <c r="I127" s="101">
        <v>21827.454999999998</v>
      </c>
      <c r="J127" s="101">
        <v>2832</v>
      </c>
      <c r="K127" s="101">
        <v>3688</v>
      </c>
      <c r="L127" s="101">
        <v>4994</v>
      </c>
      <c r="M127" s="101">
        <v>183304</v>
      </c>
      <c r="N127" s="101">
        <v>38641</v>
      </c>
      <c r="O127" s="101">
        <v>997</v>
      </c>
      <c r="P127" s="101">
        <v>1615</v>
      </c>
      <c r="Q127" s="101">
        <v>2382</v>
      </c>
      <c r="R127" s="101">
        <v>71538.31</v>
      </c>
      <c r="S127" s="101">
        <v>11396.782000000001</v>
      </c>
      <c r="T127" s="169">
        <v>1.02</v>
      </c>
      <c r="U127" s="101">
        <v>1245</v>
      </c>
      <c r="V127" s="101">
        <v>2448</v>
      </c>
      <c r="W127" s="101">
        <v>3532</v>
      </c>
      <c r="X127" s="144">
        <f t="shared" si="9"/>
        <v>72969.076199999996</v>
      </c>
      <c r="Y127" s="101">
        <v>18000</v>
      </c>
      <c r="AA127" s="101">
        <v>1556</v>
      </c>
      <c r="AB127" s="101">
        <v>2440</v>
      </c>
      <c r="AC127" s="101">
        <v>3413</v>
      </c>
      <c r="AD127" s="101">
        <v>108514</v>
      </c>
      <c r="AE127" s="101">
        <v>19508</v>
      </c>
    </row>
    <row r="128" spans="1:31" ht="11.25" hidden="1" customHeight="1" x14ac:dyDescent="0.3">
      <c r="A128" s="126" t="s">
        <v>173</v>
      </c>
      <c r="B128" s="126">
        <v>6</v>
      </c>
      <c r="C128" s="126">
        <v>18</v>
      </c>
      <c r="D128" s="126" t="str">
        <f t="shared" si="5"/>
        <v>618</v>
      </c>
      <c r="E128" s="101">
        <v>192</v>
      </c>
      <c r="F128" s="101">
        <v>270</v>
      </c>
      <c r="G128" s="101">
        <v>394</v>
      </c>
      <c r="H128" s="101">
        <v>12372.18</v>
      </c>
      <c r="I128" s="101">
        <v>1959.6179999999999</v>
      </c>
      <c r="J128" s="101">
        <v>315</v>
      </c>
      <c r="K128" s="101">
        <v>436</v>
      </c>
      <c r="L128" s="101">
        <v>592</v>
      </c>
      <c r="M128" s="101">
        <v>24646</v>
      </c>
      <c r="N128" s="101">
        <v>4059</v>
      </c>
      <c r="O128" s="101">
        <v>2218</v>
      </c>
      <c r="P128" s="101">
        <v>2444</v>
      </c>
      <c r="Q128" s="101">
        <v>7477</v>
      </c>
      <c r="R128" s="101">
        <v>100994.81</v>
      </c>
      <c r="S128" s="101">
        <v>96997.698999999993</v>
      </c>
      <c r="T128" s="169">
        <v>0.5</v>
      </c>
      <c r="U128" s="101">
        <f t="shared" si="6"/>
        <v>1109</v>
      </c>
      <c r="V128" s="101">
        <f t="shared" si="7"/>
        <v>1222</v>
      </c>
      <c r="W128" s="101">
        <f t="shared" si="8"/>
        <v>3738.5</v>
      </c>
      <c r="X128" s="101">
        <f t="shared" si="9"/>
        <v>50497.404999999999</v>
      </c>
      <c r="Y128" s="101">
        <f t="shared" si="10"/>
        <v>48498.849499999997</v>
      </c>
      <c r="AA128" s="101">
        <v>2040</v>
      </c>
      <c r="AB128" s="101">
        <v>2242</v>
      </c>
      <c r="AC128" s="101">
        <v>3275</v>
      </c>
      <c r="AD128" s="101">
        <v>114199</v>
      </c>
      <c r="AE128" s="101">
        <v>59608</v>
      </c>
    </row>
    <row r="129" spans="1:31" ht="11.25" hidden="1" customHeight="1" x14ac:dyDescent="0.3">
      <c r="A129" s="126" t="s">
        <v>173</v>
      </c>
      <c r="B129" s="126">
        <v>6</v>
      </c>
      <c r="C129" s="126">
        <v>28</v>
      </c>
      <c r="D129" s="126" t="str">
        <f t="shared" ref="D129:D246" si="11">CONCATENATE(B129,C129)</f>
        <v>628</v>
      </c>
      <c r="E129" s="101">
        <v>286</v>
      </c>
      <c r="F129" s="101">
        <v>2890</v>
      </c>
      <c r="G129" s="101">
        <v>24654</v>
      </c>
      <c r="H129" s="101">
        <v>743820.99</v>
      </c>
      <c r="I129" s="101">
        <v>184389.36800000002</v>
      </c>
      <c r="J129" s="101">
        <v>298</v>
      </c>
      <c r="K129" s="101">
        <v>3238</v>
      </c>
      <c r="L129" s="101">
        <v>24057</v>
      </c>
      <c r="M129" s="101">
        <v>447754</v>
      </c>
      <c r="N129" s="101">
        <v>206528</v>
      </c>
      <c r="O129" s="101">
        <v>212</v>
      </c>
      <c r="P129" s="101">
        <v>2854</v>
      </c>
      <c r="Q129" s="101">
        <v>17107</v>
      </c>
      <c r="R129" s="101">
        <v>265081.88</v>
      </c>
      <c r="S129" s="101">
        <v>64956.31</v>
      </c>
      <c r="T129" s="169">
        <v>1.02</v>
      </c>
      <c r="U129" s="101">
        <f t="shared" si="6"/>
        <v>216.24</v>
      </c>
      <c r="V129" s="101">
        <f t="shared" si="7"/>
        <v>2911.08</v>
      </c>
      <c r="W129" s="101">
        <f t="shared" si="8"/>
        <v>17449.14</v>
      </c>
      <c r="X129" s="101">
        <f t="shared" si="9"/>
        <v>270383.51760000002</v>
      </c>
      <c r="Y129" s="101">
        <f t="shared" si="10"/>
        <v>66255.436199999996</v>
      </c>
      <c r="AA129" s="101">
        <v>388</v>
      </c>
      <c r="AB129" s="101">
        <v>6041</v>
      </c>
      <c r="AC129" s="101">
        <v>51350</v>
      </c>
      <c r="AD129" s="101">
        <v>1072639</v>
      </c>
      <c r="AE129" s="101">
        <v>299341</v>
      </c>
    </row>
    <row r="130" spans="1:31" s="137" customFormat="1" ht="11.25" hidden="1" customHeight="1" x14ac:dyDescent="0.3">
      <c r="A130" s="126" t="s">
        <v>173</v>
      </c>
      <c r="B130" s="126">
        <v>6</v>
      </c>
      <c r="C130" s="126">
        <v>44</v>
      </c>
      <c r="D130" s="126" t="str">
        <f t="shared" si="11"/>
        <v>644</v>
      </c>
      <c r="E130" s="136"/>
      <c r="F130" s="136">
        <v>0</v>
      </c>
      <c r="G130" s="136">
        <v>0</v>
      </c>
      <c r="H130" s="136"/>
      <c r="I130" s="136"/>
      <c r="J130" s="101">
        <v>1</v>
      </c>
      <c r="K130" s="101">
        <v>1</v>
      </c>
      <c r="L130" s="101">
        <v>40</v>
      </c>
      <c r="M130" s="101">
        <v>0</v>
      </c>
      <c r="N130" s="101">
        <v>137</v>
      </c>
      <c r="O130" s="101">
        <v>0</v>
      </c>
      <c r="P130" s="101">
        <v>0</v>
      </c>
      <c r="Q130" s="101">
        <v>0</v>
      </c>
      <c r="R130" s="101">
        <v>0</v>
      </c>
      <c r="S130" s="101">
        <v>0</v>
      </c>
      <c r="T130" s="169">
        <v>1.02</v>
      </c>
      <c r="U130" s="101">
        <f t="shared" si="6"/>
        <v>0</v>
      </c>
      <c r="V130" s="101">
        <f t="shared" si="7"/>
        <v>0</v>
      </c>
      <c r="W130" s="101">
        <f t="shared" si="8"/>
        <v>0</v>
      </c>
      <c r="X130" s="101">
        <f t="shared" si="9"/>
        <v>0</v>
      </c>
      <c r="Y130" s="101">
        <f t="shared" si="10"/>
        <v>0</v>
      </c>
      <c r="AA130" s="101">
        <v>0</v>
      </c>
      <c r="AB130" s="101">
        <v>0</v>
      </c>
      <c r="AC130" s="101">
        <v>0</v>
      </c>
      <c r="AD130" s="101">
        <v>0</v>
      </c>
      <c r="AE130" s="101">
        <v>0</v>
      </c>
    </row>
    <row r="131" spans="1:31" ht="11.25" hidden="1" customHeight="1" x14ac:dyDescent="0.3">
      <c r="A131" s="126" t="s">
        <v>173</v>
      </c>
      <c r="B131" s="126">
        <v>6</v>
      </c>
      <c r="C131" s="126">
        <v>46</v>
      </c>
      <c r="D131" s="126" t="str">
        <f t="shared" si="11"/>
        <v>646</v>
      </c>
      <c r="E131" s="101">
        <v>310</v>
      </c>
      <c r="F131" s="101">
        <v>749</v>
      </c>
      <c r="G131" s="101">
        <v>19671</v>
      </c>
      <c r="H131" s="101">
        <v>272972.44</v>
      </c>
      <c r="I131" s="101">
        <v>102195.83900000001</v>
      </c>
      <c r="J131" s="101">
        <v>179</v>
      </c>
      <c r="K131" s="101">
        <v>420</v>
      </c>
      <c r="L131" s="101">
        <v>18121</v>
      </c>
      <c r="M131" s="101">
        <v>296871</v>
      </c>
      <c r="N131" s="101">
        <v>78577</v>
      </c>
      <c r="O131" s="101">
        <v>198</v>
      </c>
      <c r="P131" s="101">
        <v>376</v>
      </c>
      <c r="Q131" s="101">
        <v>43796</v>
      </c>
      <c r="R131" s="101">
        <v>268743.49</v>
      </c>
      <c r="S131" s="101">
        <v>87550.732000000004</v>
      </c>
      <c r="T131" s="169">
        <v>1.02</v>
      </c>
      <c r="U131" s="101">
        <f t="shared" si="6"/>
        <v>201.96</v>
      </c>
      <c r="V131" s="101">
        <f t="shared" si="7"/>
        <v>383.52</v>
      </c>
      <c r="W131" s="101">
        <f t="shared" si="8"/>
        <v>44671.92</v>
      </c>
      <c r="X131" s="101">
        <f t="shared" si="9"/>
        <v>274118.35979999998</v>
      </c>
      <c r="Y131" s="101">
        <f t="shared" si="10"/>
        <v>89301.746640000012</v>
      </c>
      <c r="AA131" s="101">
        <v>235</v>
      </c>
      <c r="AB131" s="101">
        <v>454</v>
      </c>
      <c r="AC131" s="101">
        <v>23122</v>
      </c>
      <c r="AD131" s="101">
        <v>338983</v>
      </c>
      <c r="AE131" s="101">
        <v>132589</v>
      </c>
    </row>
    <row r="132" spans="1:31" ht="11.25" hidden="1" customHeight="1" x14ac:dyDescent="0.3">
      <c r="A132" s="126" t="s">
        <v>173</v>
      </c>
      <c r="B132" s="126">
        <v>6</v>
      </c>
      <c r="C132" s="126">
        <v>47</v>
      </c>
      <c r="D132" s="126" t="str">
        <f t="shared" si="11"/>
        <v>647</v>
      </c>
      <c r="E132" s="101">
        <v>1</v>
      </c>
      <c r="F132" s="101">
        <v>1</v>
      </c>
      <c r="G132" s="101">
        <v>1</v>
      </c>
      <c r="H132" s="101">
        <v>11.9</v>
      </c>
      <c r="I132" s="101">
        <v>0.58899999999999997</v>
      </c>
      <c r="J132" s="101">
        <v>0</v>
      </c>
      <c r="K132" s="101">
        <v>0</v>
      </c>
      <c r="L132" s="101">
        <v>0</v>
      </c>
      <c r="M132" s="101">
        <v>0</v>
      </c>
      <c r="N132" s="101">
        <v>0</v>
      </c>
      <c r="O132" s="101">
        <v>2</v>
      </c>
      <c r="P132" s="101">
        <v>6</v>
      </c>
      <c r="Q132" s="101">
        <v>250</v>
      </c>
      <c r="R132" s="101">
        <v>3388</v>
      </c>
      <c r="S132" s="101">
        <v>1422.9</v>
      </c>
      <c r="T132" s="169">
        <v>1.02</v>
      </c>
      <c r="U132" s="101">
        <f t="shared" si="6"/>
        <v>2.04</v>
      </c>
      <c r="V132" s="101">
        <f t="shared" si="7"/>
        <v>6.12</v>
      </c>
      <c r="W132" s="101">
        <f t="shared" si="8"/>
        <v>255</v>
      </c>
      <c r="X132" s="101">
        <f t="shared" si="9"/>
        <v>3455.76</v>
      </c>
      <c r="Y132" s="101">
        <f t="shared" si="10"/>
        <v>1451.3580000000002</v>
      </c>
      <c r="AA132" s="101">
        <v>7</v>
      </c>
      <c r="AB132" s="101">
        <v>22</v>
      </c>
      <c r="AC132" s="101">
        <v>1408</v>
      </c>
      <c r="AD132" s="101">
        <v>43029</v>
      </c>
      <c r="AE132" s="101">
        <v>12906</v>
      </c>
    </row>
    <row r="133" spans="1:31" ht="11.25" hidden="1" customHeight="1" x14ac:dyDescent="0.3">
      <c r="A133" s="126" t="s">
        <v>173</v>
      </c>
      <c r="B133" s="126">
        <v>6</v>
      </c>
      <c r="C133" s="126">
        <v>43</v>
      </c>
      <c r="D133" s="126" t="str">
        <f t="shared" si="11"/>
        <v>643</v>
      </c>
      <c r="J133" s="101">
        <v>0</v>
      </c>
      <c r="K133" s="101">
        <v>0</v>
      </c>
      <c r="L133" s="101">
        <v>0</v>
      </c>
      <c r="M133" s="101">
        <v>0</v>
      </c>
      <c r="N133" s="101">
        <v>0</v>
      </c>
      <c r="O133" s="101">
        <v>0</v>
      </c>
      <c r="P133" s="101">
        <v>0</v>
      </c>
      <c r="Q133" s="101">
        <v>0</v>
      </c>
      <c r="R133" s="101">
        <v>0</v>
      </c>
      <c r="S133" s="101">
        <v>0</v>
      </c>
      <c r="T133" s="169">
        <v>1.02</v>
      </c>
      <c r="U133" s="101">
        <f t="shared" si="6"/>
        <v>0</v>
      </c>
      <c r="V133" s="101">
        <f t="shared" si="7"/>
        <v>0</v>
      </c>
      <c r="W133" s="101">
        <f t="shared" si="8"/>
        <v>0</v>
      </c>
      <c r="X133" s="101">
        <f t="shared" si="9"/>
        <v>0</v>
      </c>
      <c r="Y133" s="101">
        <f t="shared" si="10"/>
        <v>0</v>
      </c>
      <c r="AA133" s="101">
        <v>0</v>
      </c>
      <c r="AB133" s="101">
        <v>0</v>
      </c>
      <c r="AC133" s="101">
        <v>0</v>
      </c>
      <c r="AD133" s="101">
        <v>0</v>
      </c>
      <c r="AE133" s="101">
        <v>0</v>
      </c>
    </row>
    <row r="134" spans="1:31" ht="11.25" hidden="1" customHeight="1" x14ac:dyDescent="0.3">
      <c r="A134" s="126" t="s">
        <v>173</v>
      </c>
      <c r="B134" s="126">
        <v>6</v>
      </c>
      <c r="C134" s="126">
        <v>45</v>
      </c>
      <c r="D134" s="126" t="str">
        <f t="shared" si="11"/>
        <v>645</v>
      </c>
      <c r="J134" s="101">
        <v>0</v>
      </c>
      <c r="K134" s="101">
        <v>0</v>
      </c>
      <c r="L134" s="101">
        <v>0</v>
      </c>
      <c r="M134" s="101">
        <v>0</v>
      </c>
      <c r="N134" s="101">
        <v>0</v>
      </c>
      <c r="O134" s="101">
        <v>0</v>
      </c>
      <c r="P134" s="101">
        <v>0</v>
      </c>
      <c r="Q134" s="101">
        <v>0</v>
      </c>
      <c r="R134" s="101">
        <v>0</v>
      </c>
      <c r="S134" s="101">
        <v>0</v>
      </c>
      <c r="T134" s="169">
        <v>1.02</v>
      </c>
      <c r="U134" s="101">
        <f t="shared" ref="U134:U196" si="12">O134*T134</f>
        <v>0</v>
      </c>
      <c r="V134" s="101">
        <f t="shared" ref="V134:V196" si="13">P134*T134</f>
        <v>0</v>
      </c>
      <c r="W134" s="101">
        <f t="shared" ref="W134:W196" si="14">Q134*T134</f>
        <v>0</v>
      </c>
      <c r="X134" s="101">
        <f t="shared" ref="X134:X197" si="15">R134*T134</f>
        <v>0</v>
      </c>
      <c r="Y134" s="101">
        <f t="shared" ref="Y134:Y196" si="16">S134*T134</f>
        <v>0</v>
      </c>
      <c r="AA134" s="101">
        <v>0</v>
      </c>
      <c r="AB134" s="101">
        <v>0</v>
      </c>
      <c r="AC134" s="101">
        <v>0</v>
      </c>
      <c r="AD134" s="101">
        <v>0</v>
      </c>
      <c r="AE134" s="101">
        <v>0</v>
      </c>
    </row>
    <row r="135" spans="1:31" ht="11.25" hidden="1" customHeight="1" x14ac:dyDescent="0.3">
      <c r="A135" s="126" t="s">
        <v>173</v>
      </c>
      <c r="B135" s="126">
        <v>6</v>
      </c>
      <c r="C135" s="126">
        <v>48</v>
      </c>
      <c r="D135" s="126" t="str">
        <f t="shared" si="11"/>
        <v>648</v>
      </c>
      <c r="J135" s="101">
        <v>0</v>
      </c>
      <c r="K135" s="101">
        <v>0</v>
      </c>
      <c r="L135" s="101">
        <v>0</v>
      </c>
      <c r="M135" s="101">
        <v>0</v>
      </c>
      <c r="N135" s="101">
        <v>0</v>
      </c>
      <c r="O135" s="101">
        <v>0</v>
      </c>
      <c r="P135" s="101">
        <v>0</v>
      </c>
      <c r="Q135" s="101">
        <v>0</v>
      </c>
      <c r="R135" s="101">
        <v>0</v>
      </c>
      <c r="S135" s="101">
        <v>0</v>
      </c>
      <c r="T135" s="169">
        <v>1.02</v>
      </c>
      <c r="U135" s="101">
        <f t="shared" si="12"/>
        <v>0</v>
      </c>
      <c r="V135" s="101">
        <f t="shared" si="13"/>
        <v>0</v>
      </c>
      <c r="W135" s="101">
        <f t="shared" si="14"/>
        <v>0</v>
      </c>
      <c r="X135" s="101">
        <f t="shared" si="15"/>
        <v>0</v>
      </c>
      <c r="Y135" s="101">
        <f t="shared" si="16"/>
        <v>0</v>
      </c>
      <c r="AA135" s="101">
        <v>0</v>
      </c>
      <c r="AB135" s="101">
        <v>0</v>
      </c>
      <c r="AC135" s="101">
        <v>0</v>
      </c>
      <c r="AD135" s="101">
        <v>0</v>
      </c>
      <c r="AE135" s="101">
        <v>0</v>
      </c>
    </row>
    <row r="136" spans="1:31" ht="11.25" hidden="1" customHeight="1" x14ac:dyDescent="0.3">
      <c r="A136" s="126" t="s">
        <v>173</v>
      </c>
      <c r="B136" s="126">
        <v>6</v>
      </c>
      <c r="C136" s="126">
        <v>66</v>
      </c>
      <c r="D136" s="126" t="str">
        <f t="shared" si="11"/>
        <v>666</v>
      </c>
      <c r="E136" s="101">
        <v>693</v>
      </c>
      <c r="F136" s="101">
        <v>1602</v>
      </c>
      <c r="G136" s="101">
        <v>22578</v>
      </c>
      <c r="H136" s="101">
        <v>144306.25</v>
      </c>
      <c r="I136" s="101">
        <v>72268.51400000001</v>
      </c>
      <c r="J136" s="101">
        <v>396</v>
      </c>
      <c r="K136" s="101">
        <v>1525</v>
      </c>
      <c r="L136" s="101">
        <v>59544</v>
      </c>
      <c r="M136" s="101">
        <v>176515</v>
      </c>
      <c r="N136" s="101">
        <v>76946</v>
      </c>
      <c r="O136" s="101">
        <v>213</v>
      </c>
      <c r="P136" s="101">
        <v>1187</v>
      </c>
      <c r="Q136" s="101">
        <v>19911</v>
      </c>
      <c r="R136" s="101">
        <v>113580.60000000002</v>
      </c>
      <c r="S136" s="101">
        <v>60203.12999999999</v>
      </c>
      <c r="T136" s="169">
        <v>1.02</v>
      </c>
      <c r="U136" s="101">
        <f t="shared" si="12"/>
        <v>217.26</v>
      </c>
      <c r="V136" s="101">
        <f t="shared" si="13"/>
        <v>1210.74</v>
      </c>
      <c r="W136" s="101">
        <f t="shared" si="14"/>
        <v>20309.22</v>
      </c>
      <c r="X136" s="101">
        <f t="shared" si="15"/>
        <v>115852.21200000003</v>
      </c>
      <c r="Y136" s="101">
        <f t="shared" si="16"/>
        <v>61407.192599999988</v>
      </c>
      <c r="AA136" s="101">
        <v>156</v>
      </c>
      <c r="AB136" s="101">
        <v>1149</v>
      </c>
      <c r="AC136" s="101">
        <v>17387</v>
      </c>
      <c r="AD136" s="101">
        <v>131007</v>
      </c>
      <c r="AE136" s="101">
        <v>59149</v>
      </c>
    </row>
    <row r="137" spans="1:31" ht="11.25" hidden="1" customHeight="1" x14ac:dyDescent="0.3">
      <c r="A137" s="126" t="s">
        <v>173</v>
      </c>
      <c r="B137" s="126">
        <v>6</v>
      </c>
      <c r="C137" s="126">
        <v>30</v>
      </c>
      <c r="D137" s="126" t="str">
        <f t="shared" si="11"/>
        <v>630</v>
      </c>
      <c r="E137" s="101">
        <v>305.5</v>
      </c>
      <c r="F137" s="101">
        <v>3336.5</v>
      </c>
      <c r="G137" s="101">
        <v>15428</v>
      </c>
      <c r="H137" s="101">
        <v>439881.41499999992</v>
      </c>
      <c r="I137" s="101">
        <v>132258.57699999999</v>
      </c>
      <c r="J137" s="101">
        <v>251</v>
      </c>
      <c r="K137" s="101">
        <v>4727</v>
      </c>
      <c r="L137" s="101">
        <v>18443</v>
      </c>
      <c r="M137" s="101">
        <v>420271</v>
      </c>
      <c r="N137" s="101">
        <v>126740</v>
      </c>
      <c r="O137" s="138"/>
      <c r="P137" s="138"/>
      <c r="Q137" s="138"/>
      <c r="R137" s="138"/>
      <c r="S137" s="138"/>
      <c r="T137" s="169">
        <v>1.02</v>
      </c>
      <c r="U137" s="101">
        <f t="shared" si="12"/>
        <v>0</v>
      </c>
      <c r="V137" s="101">
        <f t="shared" si="13"/>
        <v>0</v>
      </c>
      <c r="W137" s="101">
        <f t="shared" si="14"/>
        <v>0</v>
      </c>
      <c r="X137" s="101">
        <f t="shared" si="15"/>
        <v>0</v>
      </c>
      <c r="Y137" s="101">
        <f t="shared" si="16"/>
        <v>0</v>
      </c>
      <c r="AA137" s="101">
        <v>44</v>
      </c>
      <c r="AB137" s="101">
        <v>54</v>
      </c>
      <c r="AC137" s="101">
        <v>1003</v>
      </c>
      <c r="AD137" s="101">
        <v>51938</v>
      </c>
      <c r="AE137" s="101">
        <v>22722</v>
      </c>
    </row>
    <row r="138" spans="1:31" s="174" customFormat="1" ht="11.25" hidden="1" customHeight="1" x14ac:dyDescent="0.3">
      <c r="A138" s="126" t="s">
        <v>173</v>
      </c>
      <c r="B138" s="126">
        <v>6</v>
      </c>
      <c r="C138" s="126">
        <v>32</v>
      </c>
      <c r="D138" s="126" t="str">
        <f t="shared" si="11"/>
        <v>632</v>
      </c>
      <c r="E138" s="173"/>
      <c r="F138" s="136">
        <v>0</v>
      </c>
      <c r="G138" s="173">
        <v>0</v>
      </c>
      <c r="H138" s="173"/>
      <c r="I138" s="173"/>
      <c r="J138" s="101">
        <v>93</v>
      </c>
      <c r="K138" s="101">
        <v>126</v>
      </c>
      <c r="L138" s="101">
        <v>1883</v>
      </c>
      <c r="M138" s="101">
        <v>14111</v>
      </c>
      <c r="N138" s="101">
        <v>27097</v>
      </c>
      <c r="O138" s="101">
        <v>117</v>
      </c>
      <c r="P138" s="101">
        <v>180</v>
      </c>
      <c r="Q138" s="101">
        <v>3252</v>
      </c>
      <c r="R138" s="101">
        <v>25542.04</v>
      </c>
      <c r="S138" s="101">
        <v>16961.922999999999</v>
      </c>
      <c r="T138" s="169">
        <v>1.02</v>
      </c>
      <c r="U138" s="101">
        <f t="shared" si="12"/>
        <v>119.34</v>
      </c>
      <c r="V138" s="101">
        <f t="shared" si="13"/>
        <v>183.6</v>
      </c>
      <c r="W138" s="101">
        <f t="shared" si="14"/>
        <v>3317.04</v>
      </c>
      <c r="X138" s="101">
        <f t="shared" si="15"/>
        <v>26052.880800000003</v>
      </c>
      <c r="Y138" s="101">
        <f t="shared" si="16"/>
        <v>17301.161459999999</v>
      </c>
      <c r="AA138" s="101">
        <v>33</v>
      </c>
      <c r="AB138" s="101">
        <v>341</v>
      </c>
      <c r="AC138" s="101">
        <v>8678</v>
      </c>
      <c r="AD138" s="101">
        <v>101567</v>
      </c>
      <c r="AE138" s="101">
        <v>35680</v>
      </c>
    </row>
    <row r="139" spans="1:31" ht="11.25" hidden="1" customHeight="1" x14ac:dyDescent="0.3">
      <c r="A139" s="126" t="s">
        <v>173</v>
      </c>
      <c r="B139" s="126">
        <v>6</v>
      </c>
      <c r="C139" s="126">
        <v>21</v>
      </c>
      <c r="D139" s="126" t="str">
        <f t="shared" si="11"/>
        <v>621</v>
      </c>
      <c r="E139" s="101">
        <v>2377</v>
      </c>
      <c r="F139" s="101">
        <v>9807</v>
      </c>
      <c r="G139" s="101">
        <v>88305</v>
      </c>
      <c r="H139" s="101">
        <v>764473.84500000009</v>
      </c>
      <c r="I139" s="101">
        <v>222078.573</v>
      </c>
      <c r="J139" s="101">
        <v>936</v>
      </c>
      <c r="K139" s="101">
        <v>5652</v>
      </c>
      <c r="L139" s="101">
        <v>29680</v>
      </c>
      <c r="M139" s="101">
        <v>393609</v>
      </c>
      <c r="N139" s="101">
        <v>102637</v>
      </c>
      <c r="O139" s="138">
        <v>1207</v>
      </c>
      <c r="P139" s="138">
        <v>8457</v>
      </c>
      <c r="Q139" s="138">
        <v>49725</v>
      </c>
      <c r="R139" s="138">
        <v>526691.49</v>
      </c>
      <c r="S139" s="138">
        <v>175328.29</v>
      </c>
      <c r="T139" s="169">
        <v>1.02</v>
      </c>
      <c r="U139" s="101">
        <f t="shared" si="12"/>
        <v>1231.1400000000001</v>
      </c>
      <c r="V139" s="101">
        <f t="shared" si="13"/>
        <v>8626.14</v>
      </c>
      <c r="W139" s="101">
        <f t="shared" si="14"/>
        <v>50719.5</v>
      </c>
      <c r="X139" s="101">
        <f t="shared" si="15"/>
        <v>537225.31980000006</v>
      </c>
      <c r="Y139" s="101">
        <f t="shared" si="16"/>
        <v>178834.85580000002</v>
      </c>
      <c r="AA139" s="101">
        <v>978</v>
      </c>
      <c r="AB139" s="101">
        <v>7929</v>
      </c>
      <c r="AC139" s="101">
        <v>44471</v>
      </c>
      <c r="AD139" s="101">
        <v>451564</v>
      </c>
      <c r="AE139" s="101">
        <v>145209</v>
      </c>
    </row>
    <row r="140" spans="1:31" s="174" customFormat="1" ht="11.25" hidden="1" customHeight="1" x14ac:dyDescent="0.3">
      <c r="A140" s="126" t="s">
        <v>173</v>
      </c>
      <c r="B140" s="126">
        <v>6</v>
      </c>
      <c r="C140" s="126">
        <v>22</v>
      </c>
      <c r="D140" s="126" t="str">
        <f t="shared" si="11"/>
        <v>622</v>
      </c>
      <c r="E140" s="173"/>
      <c r="F140" s="136">
        <v>0</v>
      </c>
      <c r="G140" s="173">
        <v>0</v>
      </c>
      <c r="H140" s="173"/>
      <c r="I140" s="173"/>
      <c r="J140" s="101">
        <v>7</v>
      </c>
      <c r="K140" s="101">
        <v>7</v>
      </c>
      <c r="L140" s="101">
        <v>13</v>
      </c>
      <c r="M140" s="101">
        <v>575</v>
      </c>
      <c r="N140" s="101">
        <v>148</v>
      </c>
      <c r="O140" s="101">
        <v>8</v>
      </c>
      <c r="P140" s="101">
        <v>9</v>
      </c>
      <c r="Q140" s="101">
        <v>89</v>
      </c>
      <c r="R140" s="101">
        <v>736.83999999999992</v>
      </c>
      <c r="S140" s="101">
        <v>455.78899999999999</v>
      </c>
      <c r="T140" s="169">
        <v>1.02</v>
      </c>
      <c r="U140" s="101">
        <f t="shared" si="12"/>
        <v>8.16</v>
      </c>
      <c r="V140" s="101">
        <f t="shared" si="13"/>
        <v>9.18</v>
      </c>
      <c r="W140" s="101">
        <f t="shared" si="14"/>
        <v>90.78</v>
      </c>
      <c r="X140" s="101">
        <f t="shared" si="15"/>
        <v>751.57679999999993</v>
      </c>
      <c r="Y140" s="101">
        <f t="shared" si="16"/>
        <v>464.90478000000002</v>
      </c>
      <c r="AA140" s="101">
        <v>0</v>
      </c>
      <c r="AB140" s="101">
        <v>0</v>
      </c>
      <c r="AC140" s="101">
        <v>0</v>
      </c>
      <c r="AD140" s="101">
        <v>0</v>
      </c>
      <c r="AE140" s="101">
        <v>0</v>
      </c>
    </row>
    <row r="141" spans="1:31" ht="11.25" hidden="1" customHeight="1" x14ac:dyDescent="0.3">
      <c r="A141" s="126" t="s">
        <v>173</v>
      </c>
      <c r="B141" s="126">
        <v>6</v>
      </c>
      <c r="C141" s="126">
        <v>71</v>
      </c>
      <c r="D141" s="126" t="str">
        <f t="shared" si="11"/>
        <v>671</v>
      </c>
      <c r="E141" s="101">
        <v>721</v>
      </c>
      <c r="F141" s="101">
        <v>6055</v>
      </c>
      <c r="G141" s="101">
        <v>15491</v>
      </c>
      <c r="H141" s="101">
        <v>119222.44</v>
      </c>
      <c r="I141" s="101">
        <v>50058.6535</v>
      </c>
      <c r="J141" s="101">
        <v>466</v>
      </c>
      <c r="K141" s="101">
        <v>5190</v>
      </c>
      <c r="L141" s="101">
        <v>19404</v>
      </c>
      <c r="M141" s="101">
        <v>185147</v>
      </c>
      <c r="N141" s="101">
        <v>102764</v>
      </c>
      <c r="O141" s="101">
        <v>383</v>
      </c>
      <c r="P141" s="101">
        <v>4729</v>
      </c>
      <c r="Q141" s="101">
        <v>14698</v>
      </c>
      <c r="R141" s="101">
        <v>119260.65000000001</v>
      </c>
      <c r="S141" s="101">
        <v>60897.659000000007</v>
      </c>
      <c r="T141" s="169">
        <v>0.98</v>
      </c>
      <c r="U141" s="101">
        <f t="shared" si="12"/>
        <v>375.34</v>
      </c>
      <c r="V141" s="101">
        <f t="shared" si="13"/>
        <v>4634.42</v>
      </c>
      <c r="W141" s="101">
        <v>15138.94</v>
      </c>
      <c r="X141" s="101">
        <f t="shared" si="15"/>
        <v>116875.43700000001</v>
      </c>
      <c r="Y141" s="101">
        <f t="shared" si="16"/>
        <v>59679.705820000003</v>
      </c>
      <c r="AA141" s="101">
        <v>238</v>
      </c>
      <c r="AB141" s="101">
        <v>5133</v>
      </c>
      <c r="AC141" s="101">
        <v>17382</v>
      </c>
      <c r="AD141" s="101">
        <v>129219</v>
      </c>
      <c r="AE141" s="101">
        <v>71883</v>
      </c>
    </row>
    <row r="142" spans="1:31" s="137" customFormat="1" ht="11.25" hidden="1" customHeight="1" x14ac:dyDescent="0.3">
      <c r="A142" s="126" t="s">
        <v>173</v>
      </c>
      <c r="B142" s="126">
        <v>6</v>
      </c>
      <c r="C142" s="126">
        <v>91</v>
      </c>
      <c r="D142" s="126" t="str">
        <f t="shared" si="11"/>
        <v>691</v>
      </c>
      <c r="E142" s="136"/>
      <c r="F142" s="136">
        <v>0</v>
      </c>
      <c r="G142" s="136">
        <v>0</v>
      </c>
      <c r="H142" s="136"/>
      <c r="I142" s="136"/>
      <c r="J142" s="101">
        <v>73</v>
      </c>
      <c r="K142" s="101">
        <v>155</v>
      </c>
      <c r="L142" s="101">
        <v>935</v>
      </c>
      <c r="M142" s="101">
        <v>8340</v>
      </c>
      <c r="N142" s="101">
        <v>3289</v>
      </c>
      <c r="O142" s="101">
        <v>33</v>
      </c>
      <c r="P142" s="101">
        <v>50</v>
      </c>
      <c r="Q142" s="101">
        <v>368</v>
      </c>
      <c r="R142" s="101">
        <v>5203.55</v>
      </c>
      <c r="S142" s="101">
        <v>1008.054</v>
      </c>
      <c r="T142" s="169">
        <v>1.02</v>
      </c>
      <c r="U142" s="101">
        <f t="shared" si="12"/>
        <v>33.660000000000004</v>
      </c>
      <c r="V142" s="101">
        <f t="shared" si="13"/>
        <v>51</v>
      </c>
      <c r="W142" s="101">
        <f t="shared" si="14"/>
        <v>375.36</v>
      </c>
      <c r="X142" s="101">
        <f t="shared" si="15"/>
        <v>5307.6210000000001</v>
      </c>
      <c r="Y142" s="101">
        <f t="shared" si="16"/>
        <v>1028.2150799999999</v>
      </c>
      <c r="AA142" s="101">
        <v>21</v>
      </c>
      <c r="AB142" s="101">
        <v>46</v>
      </c>
      <c r="AC142" s="101">
        <v>258</v>
      </c>
      <c r="AD142" s="101">
        <v>4255</v>
      </c>
      <c r="AE142" s="101">
        <v>1082</v>
      </c>
    </row>
    <row r="143" spans="1:31" ht="11.25" hidden="1" customHeight="1" x14ac:dyDescent="0.3">
      <c r="A143" s="126" t="s">
        <v>173</v>
      </c>
      <c r="B143" s="126">
        <v>6</v>
      </c>
      <c r="C143" s="126">
        <v>25</v>
      </c>
      <c r="D143" s="126" t="str">
        <f t="shared" si="11"/>
        <v>625</v>
      </c>
      <c r="E143" s="101">
        <v>916</v>
      </c>
      <c r="F143" s="101">
        <v>5934</v>
      </c>
      <c r="G143" s="101">
        <v>31262</v>
      </c>
      <c r="H143" s="101">
        <v>631801.23</v>
      </c>
      <c r="I143" s="101">
        <v>309493.47899999999</v>
      </c>
      <c r="J143" s="101">
        <v>706</v>
      </c>
      <c r="K143" s="101">
        <v>6739</v>
      </c>
      <c r="L143" s="101">
        <v>36283</v>
      </c>
      <c r="M143" s="101">
        <v>468850</v>
      </c>
      <c r="N143" s="101">
        <v>192185</v>
      </c>
      <c r="O143" s="101">
        <v>869</v>
      </c>
      <c r="P143" s="101">
        <v>9716</v>
      </c>
      <c r="Q143" s="101">
        <v>58102</v>
      </c>
      <c r="R143" s="101">
        <v>592701.66999999993</v>
      </c>
      <c r="S143" s="101">
        <v>326635.17599999998</v>
      </c>
      <c r="T143" s="169">
        <v>1.02</v>
      </c>
      <c r="U143" s="101">
        <f t="shared" si="12"/>
        <v>886.38</v>
      </c>
      <c r="V143" s="101">
        <f t="shared" si="13"/>
        <v>9910.32</v>
      </c>
      <c r="W143" s="101">
        <f t="shared" si="14"/>
        <v>59264.04</v>
      </c>
      <c r="X143" s="101">
        <f t="shared" si="15"/>
        <v>604555.70339999988</v>
      </c>
      <c r="Y143" s="101">
        <f t="shared" si="16"/>
        <v>333167.87951999996</v>
      </c>
      <c r="AA143" s="101">
        <v>784</v>
      </c>
      <c r="AB143" s="101">
        <v>6780</v>
      </c>
      <c r="AC143" s="101">
        <v>34055</v>
      </c>
      <c r="AD143" s="101">
        <v>277277</v>
      </c>
      <c r="AE143" s="101">
        <v>228434</v>
      </c>
    </row>
    <row r="144" spans="1:31" s="137" customFormat="1" ht="11.25" hidden="1" customHeight="1" x14ac:dyDescent="0.3">
      <c r="A144" s="126" t="s">
        <v>173</v>
      </c>
      <c r="B144" s="126">
        <v>6</v>
      </c>
      <c r="C144" s="126">
        <v>26</v>
      </c>
      <c r="D144" s="126" t="str">
        <f t="shared" si="11"/>
        <v>626</v>
      </c>
      <c r="E144" s="136"/>
      <c r="F144" s="136">
        <v>0</v>
      </c>
      <c r="G144" s="136">
        <v>0</v>
      </c>
      <c r="H144" s="136"/>
      <c r="I144" s="136"/>
      <c r="J144" s="101">
        <v>10</v>
      </c>
      <c r="K144" s="101">
        <v>40</v>
      </c>
      <c r="L144" s="101">
        <v>237</v>
      </c>
      <c r="M144" s="101">
        <v>4945</v>
      </c>
      <c r="N144" s="101">
        <v>2207</v>
      </c>
      <c r="O144" s="101">
        <v>9</v>
      </c>
      <c r="P144" s="101">
        <v>16</v>
      </c>
      <c r="Q144" s="101">
        <v>691</v>
      </c>
      <c r="R144" s="101">
        <v>3355.35</v>
      </c>
      <c r="S144" s="101">
        <v>2022.884</v>
      </c>
      <c r="T144" s="169">
        <v>1.02</v>
      </c>
      <c r="U144" s="101">
        <f t="shared" si="12"/>
        <v>9.18</v>
      </c>
      <c r="V144" s="101">
        <f t="shared" si="13"/>
        <v>16.32</v>
      </c>
      <c r="W144" s="101">
        <f t="shared" si="14"/>
        <v>704.82</v>
      </c>
      <c r="X144" s="101">
        <f t="shared" si="15"/>
        <v>3422.4569999999999</v>
      </c>
      <c r="Y144" s="101">
        <f t="shared" si="16"/>
        <v>2063.34168</v>
      </c>
      <c r="AA144" s="101">
        <v>4</v>
      </c>
      <c r="AB144" s="101">
        <v>21</v>
      </c>
      <c r="AC144" s="101">
        <v>205</v>
      </c>
      <c r="AD144" s="101">
        <v>2536</v>
      </c>
      <c r="AE144" s="101">
        <v>1308</v>
      </c>
    </row>
    <row r="145" spans="1:31" ht="11.25" hidden="1" customHeight="1" x14ac:dyDescent="0.3">
      <c r="A145" s="126" t="s">
        <v>173</v>
      </c>
      <c r="B145" s="126">
        <v>6</v>
      </c>
      <c r="C145" s="126">
        <v>27</v>
      </c>
      <c r="D145" s="126" t="str">
        <f t="shared" si="11"/>
        <v>627</v>
      </c>
      <c r="E145" s="101">
        <v>69</v>
      </c>
      <c r="F145" s="101">
        <v>1717</v>
      </c>
      <c r="G145" s="101">
        <v>5214</v>
      </c>
      <c r="H145" s="101">
        <v>82842.740000000005</v>
      </c>
      <c r="I145" s="101">
        <v>23515.684000000005</v>
      </c>
      <c r="J145" s="101">
        <v>60</v>
      </c>
      <c r="K145" s="101">
        <v>1658</v>
      </c>
      <c r="L145" s="101">
        <v>8728</v>
      </c>
      <c r="M145" s="101">
        <v>111501</v>
      </c>
      <c r="N145" s="101">
        <v>48267</v>
      </c>
      <c r="O145" s="101">
        <v>67</v>
      </c>
      <c r="P145" s="101">
        <v>1418</v>
      </c>
      <c r="Q145" s="101">
        <v>7795</v>
      </c>
      <c r="R145" s="101">
        <v>59269.89</v>
      </c>
      <c r="S145" s="101">
        <v>24357.881999999998</v>
      </c>
      <c r="T145" s="169">
        <v>1.02</v>
      </c>
      <c r="U145" s="101">
        <f t="shared" si="12"/>
        <v>68.34</v>
      </c>
      <c r="V145" s="101">
        <f t="shared" si="13"/>
        <v>1446.3600000000001</v>
      </c>
      <c r="W145" s="101">
        <f t="shared" si="14"/>
        <v>7950.9000000000005</v>
      </c>
      <c r="X145" s="101">
        <f t="shared" si="15"/>
        <v>60455.287799999998</v>
      </c>
      <c r="Y145" s="101">
        <f t="shared" si="16"/>
        <v>24845.039639999999</v>
      </c>
      <c r="AA145" s="101">
        <v>66</v>
      </c>
      <c r="AB145" s="101">
        <v>1594</v>
      </c>
      <c r="AC145" s="101">
        <v>7949</v>
      </c>
      <c r="AD145" s="101">
        <v>72324</v>
      </c>
      <c r="AE145" s="101">
        <v>32810</v>
      </c>
    </row>
    <row r="146" spans="1:31" ht="11.25" customHeight="1" x14ac:dyDescent="0.3">
      <c r="A146" s="126" t="s">
        <v>173</v>
      </c>
      <c r="B146" s="126">
        <v>6</v>
      </c>
      <c r="C146" s="126" t="s">
        <v>172</v>
      </c>
      <c r="D146" s="126" t="str">
        <f t="shared" si="11"/>
        <v>6Uml</v>
      </c>
      <c r="J146" s="101">
        <v>212</v>
      </c>
      <c r="K146" s="101">
        <v>212</v>
      </c>
      <c r="L146" s="101">
        <v>73752</v>
      </c>
      <c r="N146" s="101">
        <v>411275</v>
      </c>
      <c r="O146" s="101">
        <v>321</v>
      </c>
      <c r="P146" s="101">
        <v>336</v>
      </c>
      <c r="Q146" s="101">
        <v>71989</v>
      </c>
      <c r="S146" s="101">
        <v>266503</v>
      </c>
      <c r="T146" s="169">
        <v>1.02</v>
      </c>
      <c r="U146" s="101">
        <f t="shared" si="12"/>
        <v>327.42</v>
      </c>
      <c r="V146" s="101">
        <f t="shared" si="13"/>
        <v>342.72</v>
      </c>
      <c r="W146" s="101">
        <f t="shared" si="14"/>
        <v>73428.78</v>
      </c>
      <c r="X146" s="101">
        <f t="shared" si="15"/>
        <v>0</v>
      </c>
      <c r="Y146" s="101">
        <f t="shared" si="16"/>
        <v>271833.06</v>
      </c>
      <c r="AA146" s="101">
        <v>354</v>
      </c>
      <c r="AB146" s="101">
        <v>365</v>
      </c>
      <c r="AC146" s="101">
        <v>210813</v>
      </c>
      <c r="AE146" s="101">
        <v>318054.96999999997</v>
      </c>
    </row>
    <row r="147" spans="1:31" ht="11.25" hidden="1" customHeight="1" x14ac:dyDescent="0.3">
      <c r="A147" s="126" t="s">
        <v>173</v>
      </c>
      <c r="B147" s="126">
        <v>6</v>
      </c>
      <c r="C147" s="126">
        <v>37</v>
      </c>
      <c r="D147" s="126" t="str">
        <f t="shared" si="11"/>
        <v>637</v>
      </c>
      <c r="E147" s="101">
        <v>9</v>
      </c>
      <c r="F147" s="101">
        <v>17.25</v>
      </c>
      <c r="G147" s="101">
        <v>518.5</v>
      </c>
      <c r="H147" s="101">
        <v>4813.7950000000001</v>
      </c>
      <c r="I147" s="101">
        <v>4000.9372499999999</v>
      </c>
      <c r="J147" s="101">
        <v>29</v>
      </c>
      <c r="K147" s="101">
        <v>113</v>
      </c>
      <c r="L147" s="101">
        <v>2463</v>
      </c>
      <c r="M147" s="101">
        <v>16590</v>
      </c>
      <c r="N147" s="101">
        <v>8794</v>
      </c>
      <c r="O147" s="101">
        <v>25</v>
      </c>
      <c r="P147" s="101">
        <v>64</v>
      </c>
      <c r="Q147" s="101">
        <v>697</v>
      </c>
      <c r="R147" s="101">
        <v>5383.67</v>
      </c>
      <c r="S147" s="101">
        <v>1748.6549999999997</v>
      </c>
      <c r="T147" s="169">
        <v>1.02</v>
      </c>
      <c r="U147" s="101">
        <f t="shared" si="12"/>
        <v>25.5</v>
      </c>
      <c r="V147" s="101">
        <f t="shared" si="13"/>
        <v>65.28</v>
      </c>
      <c r="W147" s="101">
        <f t="shared" si="14"/>
        <v>710.94</v>
      </c>
      <c r="X147" s="101">
        <f t="shared" si="15"/>
        <v>5491.3433999999997</v>
      </c>
      <c r="Y147" s="101">
        <f t="shared" si="16"/>
        <v>1783.6280999999997</v>
      </c>
      <c r="AA147" s="101">
        <v>45</v>
      </c>
      <c r="AB147" s="101">
        <v>129</v>
      </c>
      <c r="AC147" s="101">
        <v>1950</v>
      </c>
      <c r="AD147" s="101">
        <v>12666</v>
      </c>
      <c r="AE147" s="101">
        <v>8339</v>
      </c>
    </row>
    <row r="148" spans="1:31" ht="11.25" hidden="1" customHeight="1" x14ac:dyDescent="0.3">
      <c r="A148" s="126" t="s">
        <v>173</v>
      </c>
      <c r="B148" s="126">
        <v>7</v>
      </c>
      <c r="C148" s="126">
        <v>12</v>
      </c>
      <c r="D148" s="126" t="str">
        <f t="shared" si="11"/>
        <v>712</v>
      </c>
      <c r="E148" s="101">
        <v>48</v>
      </c>
      <c r="F148" s="101">
        <v>70</v>
      </c>
      <c r="G148" s="101">
        <v>97</v>
      </c>
      <c r="H148" s="101">
        <v>1966.0100000000002</v>
      </c>
      <c r="I148" s="101">
        <v>269.07100000000003</v>
      </c>
      <c r="J148" s="101">
        <v>20</v>
      </c>
      <c r="K148" s="101">
        <v>27</v>
      </c>
      <c r="L148" s="101">
        <v>74</v>
      </c>
      <c r="M148" s="101">
        <v>715</v>
      </c>
      <c r="N148" s="101">
        <v>120</v>
      </c>
      <c r="O148" s="101">
        <v>15</v>
      </c>
      <c r="P148" s="101">
        <v>20</v>
      </c>
      <c r="Q148" s="101">
        <v>40</v>
      </c>
      <c r="R148" s="101">
        <v>1087.6100000000001</v>
      </c>
      <c r="S148" s="101">
        <v>161.756</v>
      </c>
      <c r="T148" s="169">
        <v>1.02</v>
      </c>
      <c r="U148" s="101">
        <f t="shared" si="12"/>
        <v>15.3</v>
      </c>
      <c r="V148" s="101">
        <f t="shared" si="13"/>
        <v>20.399999999999999</v>
      </c>
      <c r="W148" s="101">
        <f t="shared" si="14"/>
        <v>40.799999999999997</v>
      </c>
      <c r="X148" s="101">
        <f t="shared" si="15"/>
        <v>1109.3622000000003</v>
      </c>
      <c r="Y148" s="101">
        <f t="shared" si="16"/>
        <v>164.99112</v>
      </c>
      <c r="AA148" s="101">
        <v>18</v>
      </c>
      <c r="AB148" s="101">
        <v>24</v>
      </c>
      <c r="AC148" s="101">
        <v>31</v>
      </c>
      <c r="AD148" s="101">
        <v>874</v>
      </c>
      <c r="AE148" s="101">
        <v>171</v>
      </c>
    </row>
    <row r="149" spans="1:31" ht="11.25" hidden="1" customHeight="1" x14ac:dyDescent="0.3">
      <c r="A149" s="126" t="s">
        <v>173</v>
      </c>
      <c r="B149" s="126">
        <v>7</v>
      </c>
      <c r="C149" s="126">
        <v>17</v>
      </c>
      <c r="D149" s="126" t="str">
        <f t="shared" si="11"/>
        <v>717</v>
      </c>
      <c r="E149" s="101">
        <v>2056</v>
      </c>
      <c r="F149" s="101">
        <v>3146</v>
      </c>
      <c r="G149" s="101">
        <v>4812</v>
      </c>
      <c r="H149" s="101">
        <v>103788.51000000002</v>
      </c>
      <c r="I149" s="101">
        <v>18563.101999999999</v>
      </c>
      <c r="J149" s="101">
        <v>2218</v>
      </c>
      <c r="K149" s="101">
        <v>2914</v>
      </c>
      <c r="L149" s="101">
        <v>4406</v>
      </c>
      <c r="M149" s="101">
        <v>155564</v>
      </c>
      <c r="N149" s="101">
        <v>29872</v>
      </c>
      <c r="O149" s="101">
        <v>924</v>
      </c>
      <c r="P149" s="101">
        <v>1683</v>
      </c>
      <c r="Q149" s="101">
        <v>2346</v>
      </c>
      <c r="R149" s="101">
        <v>66158.880000000005</v>
      </c>
      <c r="S149" s="101">
        <v>9499.2109999999993</v>
      </c>
      <c r="T149" s="169">
        <v>1.02</v>
      </c>
      <c r="U149" s="101">
        <v>1245</v>
      </c>
      <c r="V149" s="101">
        <v>2448</v>
      </c>
      <c r="W149" s="101">
        <v>3532</v>
      </c>
      <c r="X149" s="144">
        <f t="shared" si="15"/>
        <v>67482.0576</v>
      </c>
      <c r="Y149" s="101">
        <v>18000</v>
      </c>
      <c r="AA149" s="101">
        <v>1329</v>
      </c>
      <c r="AB149" s="101">
        <v>2086</v>
      </c>
      <c r="AC149" s="101">
        <v>3203</v>
      </c>
      <c r="AD149" s="101">
        <v>93829</v>
      </c>
      <c r="AE149" s="101">
        <v>17139</v>
      </c>
    </row>
    <row r="150" spans="1:31" ht="11.25" hidden="1" customHeight="1" x14ac:dyDescent="0.3">
      <c r="A150" s="126" t="s">
        <v>173</v>
      </c>
      <c r="B150" s="126">
        <v>7</v>
      </c>
      <c r="C150" s="126">
        <v>18</v>
      </c>
      <c r="D150" s="126" t="str">
        <f t="shared" si="11"/>
        <v>718</v>
      </c>
      <c r="E150" s="101">
        <v>176</v>
      </c>
      <c r="F150" s="101">
        <v>309</v>
      </c>
      <c r="G150" s="101">
        <v>478</v>
      </c>
      <c r="H150" s="101">
        <v>11599.32</v>
      </c>
      <c r="I150" s="101">
        <v>1732.8249999999998</v>
      </c>
      <c r="J150" s="101">
        <v>221</v>
      </c>
      <c r="K150" s="101">
        <v>276</v>
      </c>
      <c r="L150" s="101">
        <v>416</v>
      </c>
      <c r="M150" s="101">
        <v>15314</v>
      </c>
      <c r="N150" s="101">
        <v>2823</v>
      </c>
      <c r="O150" s="101">
        <v>2160</v>
      </c>
      <c r="P150" s="101">
        <v>2309</v>
      </c>
      <c r="Q150" s="101">
        <v>2581</v>
      </c>
      <c r="R150" s="101">
        <v>93942.15</v>
      </c>
      <c r="S150" s="101">
        <v>22212.671999999999</v>
      </c>
      <c r="T150" s="169">
        <v>0.5</v>
      </c>
      <c r="U150" s="101">
        <f t="shared" si="12"/>
        <v>1080</v>
      </c>
      <c r="V150" s="101">
        <f t="shared" si="13"/>
        <v>1154.5</v>
      </c>
      <c r="W150" s="101">
        <f t="shared" si="14"/>
        <v>1290.5</v>
      </c>
      <c r="X150" s="101">
        <f t="shared" si="15"/>
        <v>46971.074999999997</v>
      </c>
      <c r="Y150" s="101">
        <f t="shared" si="16"/>
        <v>11106.335999999999</v>
      </c>
      <c r="AA150" s="101">
        <v>1741</v>
      </c>
      <c r="AB150" s="101">
        <v>1961</v>
      </c>
      <c r="AC150" s="101">
        <v>2297</v>
      </c>
      <c r="AD150" s="101">
        <v>112929</v>
      </c>
      <c r="AE150" s="101">
        <v>27042</v>
      </c>
    </row>
    <row r="151" spans="1:31" ht="11.25" hidden="1" customHeight="1" x14ac:dyDescent="0.3">
      <c r="A151" s="126" t="s">
        <v>173</v>
      </c>
      <c r="B151" s="126">
        <v>7</v>
      </c>
      <c r="C151" s="126">
        <v>28</v>
      </c>
      <c r="D151" s="126" t="str">
        <f t="shared" si="11"/>
        <v>728</v>
      </c>
      <c r="E151" s="101">
        <v>253</v>
      </c>
      <c r="F151" s="101">
        <v>2276</v>
      </c>
      <c r="G151" s="101">
        <v>16870</v>
      </c>
      <c r="H151" s="101">
        <v>421794.52</v>
      </c>
      <c r="I151" s="101">
        <v>97019.641999999993</v>
      </c>
      <c r="J151" s="101">
        <v>251</v>
      </c>
      <c r="K151" s="101">
        <v>3028</v>
      </c>
      <c r="L151" s="101">
        <v>21474</v>
      </c>
      <c r="M151" s="101">
        <v>445944</v>
      </c>
      <c r="N151" s="101">
        <v>103707</v>
      </c>
      <c r="O151" s="101">
        <v>220</v>
      </c>
      <c r="P151" s="101">
        <v>3226</v>
      </c>
      <c r="Q151" s="101">
        <v>25602</v>
      </c>
      <c r="R151" s="101">
        <v>327256.37</v>
      </c>
      <c r="S151" s="101">
        <v>82689.196999999986</v>
      </c>
      <c r="T151" s="169">
        <v>1.02</v>
      </c>
      <c r="U151" s="101">
        <f t="shared" si="12"/>
        <v>224.4</v>
      </c>
      <c r="V151" s="101">
        <f t="shared" si="13"/>
        <v>3290.52</v>
      </c>
      <c r="W151" s="101">
        <f t="shared" si="14"/>
        <v>26114.04</v>
      </c>
      <c r="X151" s="101">
        <f t="shared" si="15"/>
        <v>333801.49739999999</v>
      </c>
      <c r="Y151" s="101">
        <f t="shared" si="16"/>
        <v>84342.980939999994</v>
      </c>
      <c r="AA151" s="101">
        <v>335</v>
      </c>
      <c r="AB151" s="101">
        <v>4565</v>
      </c>
      <c r="AC151" s="101">
        <v>25160</v>
      </c>
      <c r="AD151" s="101">
        <v>499068</v>
      </c>
      <c r="AE151" s="101">
        <v>124634</v>
      </c>
    </row>
    <row r="152" spans="1:31" ht="11.25" hidden="1" customHeight="1" x14ac:dyDescent="0.3">
      <c r="A152" s="126" t="s">
        <v>173</v>
      </c>
      <c r="B152" s="126">
        <v>7</v>
      </c>
      <c r="C152" s="126">
        <v>46</v>
      </c>
      <c r="D152" s="126" t="str">
        <f t="shared" si="11"/>
        <v>746</v>
      </c>
      <c r="E152" s="101">
        <v>308</v>
      </c>
      <c r="F152" s="101">
        <v>566</v>
      </c>
      <c r="G152" s="101">
        <v>12673</v>
      </c>
      <c r="H152" s="101">
        <v>267276.99</v>
      </c>
      <c r="I152" s="101">
        <v>80273.489000000001</v>
      </c>
      <c r="J152" s="101">
        <v>218</v>
      </c>
      <c r="K152" s="101">
        <v>477</v>
      </c>
      <c r="L152" s="101">
        <v>11864</v>
      </c>
      <c r="M152" s="101">
        <v>178960</v>
      </c>
      <c r="N152" s="101">
        <v>43338</v>
      </c>
      <c r="O152" s="101">
        <v>182</v>
      </c>
      <c r="P152" s="101">
        <v>444</v>
      </c>
      <c r="Q152" s="101">
        <v>10063</v>
      </c>
      <c r="R152" s="101">
        <v>182632.24000000002</v>
      </c>
      <c r="S152" s="101">
        <v>49275.915999999997</v>
      </c>
      <c r="T152" s="169">
        <v>1.02</v>
      </c>
      <c r="U152" s="101">
        <f t="shared" si="12"/>
        <v>185.64000000000001</v>
      </c>
      <c r="V152" s="101">
        <f t="shared" si="13"/>
        <v>452.88</v>
      </c>
      <c r="W152" s="101">
        <f t="shared" si="14"/>
        <v>10264.26</v>
      </c>
      <c r="X152" s="101">
        <f t="shared" si="15"/>
        <v>186284.88480000003</v>
      </c>
      <c r="Y152" s="101">
        <f t="shared" si="16"/>
        <v>50261.43432</v>
      </c>
      <c r="AA152" s="101">
        <v>270</v>
      </c>
      <c r="AB152" s="101">
        <v>593</v>
      </c>
      <c r="AC152" s="101">
        <v>12398</v>
      </c>
      <c r="AD152" s="101">
        <v>280240</v>
      </c>
      <c r="AE152" s="101">
        <v>75784</v>
      </c>
    </row>
    <row r="153" spans="1:31" ht="11.25" hidden="1" customHeight="1" x14ac:dyDescent="0.3">
      <c r="A153" s="126" t="s">
        <v>173</v>
      </c>
      <c r="B153" s="126">
        <v>7</v>
      </c>
      <c r="C153" s="126">
        <v>66</v>
      </c>
      <c r="D153" s="126" t="str">
        <f t="shared" si="11"/>
        <v>766</v>
      </c>
      <c r="E153" s="101">
        <v>611</v>
      </c>
      <c r="F153" s="101">
        <v>1634</v>
      </c>
      <c r="G153" s="101">
        <v>33534</v>
      </c>
      <c r="H153" s="101">
        <v>235891.88999999998</v>
      </c>
      <c r="I153" s="101">
        <v>106531.545</v>
      </c>
      <c r="J153" s="101">
        <v>392</v>
      </c>
      <c r="K153" s="101">
        <v>1190</v>
      </c>
      <c r="L153" s="101">
        <v>58854</v>
      </c>
      <c r="M153" s="101">
        <v>113988</v>
      </c>
      <c r="N153" s="101">
        <v>50817</v>
      </c>
      <c r="O153" s="101">
        <v>379</v>
      </c>
      <c r="P153" s="101">
        <v>1504</v>
      </c>
      <c r="Q153" s="101">
        <v>24949</v>
      </c>
      <c r="R153" s="101">
        <v>191027.01</v>
      </c>
      <c r="S153" s="101">
        <v>78844.905999999988</v>
      </c>
      <c r="T153" s="169">
        <v>1.02</v>
      </c>
      <c r="U153" s="101">
        <f t="shared" si="12"/>
        <v>386.58</v>
      </c>
      <c r="V153" s="101">
        <f t="shared" si="13"/>
        <v>1534.08</v>
      </c>
      <c r="W153" s="101">
        <f t="shared" si="14"/>
        <v>25447.98</v>
      </c>
      <c r="X153" s="101">
        <f t="shared" si="15"/>
        <v>194847.55020000003</v>
      </c>
      <c r="Y153" s="101">
        <f t="shared" si="16"/>
        <v>80421.804119999986</v>
      </c>
      <c r="AA153" s="101">
        <v>174</v>
      </c>
      <c r="AB153" s="101">
        <v>1141</v>
      </c>
      <c r="AC153" s="101">
        <v>21319</v>
      </c>
      <c r="AD153" s="101">
        <v>144633</v>
      </c>
      <c r="AE153" s="101">
        <v>72325</v>
      </c>
    </row>
    <row r="154" spans="1:31" ht="11.25" hidden="1" customHeight="1" x14ac:dyDescent="0.3">
      <c r="A154" s="126" t="s">
        <v>173</v>
      </c>
      <c r="B154" s="126">
        <v>7</v>
      </c>
      <c r="C154" s="126">
        <v>30</v>
      </c>
      <c r="D154" s="126" t="str">
        <f t="shared" si="11"/>
        <v>730</v>
      </c>
      <c r="E154" s="101">
        <v>329</v>
      </c>
      <c r="F154" s="101">
        <v>3297.5</v>
      </c>
      <c r="G154" s="101">
        <v>17286.5</v>
      </c>
      <c r="H154" s="101">
        <v>555922.32500000007</v>
      </c>
      <c r="I154" s="101">
        <v>209328</v>
      </c>
      <c r="J154" s="101">
        <v>272</v>
      </c>
      <c r="K154" s="101">
        <v>3796</v>
      </c>
      <c r="L154" s="101">
        <v>14864</v>
      </c>
      <c r="M154" s="101">
        <v>340045</v>
      </c>
      <c r="N154" s="101">
        <v>104713</v>
      </c>
      <c r="O154" s="138"/>
      <c r="P154" s="138"/>
      <c r="Q154" s="138"/>
      <c r="R154" s="138"/>
      <c r="S154" s="138"/>
      <c r="T154" s="169">
        <v>1.02</v>
      </c>
      <c r="U154" s="101">
        <f t="shared" si="12"/>
        <v>0</v>
      </c>
      <c r="V154" s="101">
        <f t="shared" si="13"/>
        <v>0</v>
      </c>
      <c r="W154" s="101">
        <f t="shared" si="14"/>
        <v>0</v>
      </c>
      <c r="X154" s="101">
        <f t="shared" si="15"/>
        <v>0</v>
      </c>
      <c r="Y154" s="101">
        <f t="shared" si="16"/>
        <v>0</v>
      </c>
      <c r="AA154" s="101">
        <v>110</v>
      </c>
      <c r="AB154" s="101">
        <v>141</v>
      </c>
      <c r="AC154" s="101">
        <v>2354</v>
      </c>
      <c r="AD154" s="101">
        <v>37387</v>
      </c>
      <c r="AE154" s="101">
        <v>18692</v>
      </c>
    </row>
    <row r="155" spans="1:31" ht="11.25" hidden="1" customHeight="1" x14ac:dyDescent="0.3">
      <c r="A155" s="126" t="s">
        <v>173</v>
      </c>
      <c r="B155" s="126">
        <v>7</v>
      </c>
      <c r="C155" s="126">
        <v>21</v>
      </c>
      <c r="D155" s="126" t="str">
        <f t="shared" si="11"/>
        <v>721</v>
      </c>
      <c r="E155" s="101">
        <v>2034.5</v>
      </c>
      <c r="F155" s="101">
        <v>7391.5</v>
      </c>
      <c r="G155" s="101">
        <v>61194.5</v>
      </c>
      <c r="H155" s="101">
        <v>722167</v>
      </c>
      <c r="I155" s="101">
        <v>235450.14799999999</v>
      </c>
      <c r="J155" s="101">
        <v>892</v>
      </c>
      <c r="K155" s="101">
        <v>6272</v>
      </c>
      <c r="L155" s="101">
        <v>39665</v>
      </c>
      <c r="M155" s="101">
        <v>449702</v>
      </c>
      <c r="N155" s="101">
        <v>126715</v>
      </c>
      <c r="O155" s="138">
        <v>1157</v>
      </c>
      <c r="P155" s="138">
        <v>8320</v>
      </c>
      <c r="Q155" s="138">
        <v>41579</v>
      </c>
      <c r="R155" s="138">
        <v>566604.80999999994</v>
      </c>
      <c r="S155" s="138">
        <v>155953.07799999998</v>
      </c>
      <c r="T155" s="169">
        <v>1.02</v>
      </c>
      <c r="U155" s="101">
        <f t="shared" si="12"/>
        <v>1180.1400000000001</v>
      </c>
      <c r="V155" s="101">
        <f t="shared" si="13"/>
        <v>8486.4</v>
      </c>
      <c r="W155" s="101">
        <f t="shared" si="14"/>
        <v>42410.58</v>
      </c>
      <c r="X155" s="101">
        <f t="shared" si="15"/>
        <v>577936.90619999997</v>
      </c>
      <c r="Y155" s="101">
        <f t="shared" si="16"/>
        <v>159072.13955999998</v>
      </c>
      <c r="AA155" s="101">
        <v>1072</v>
      </c>
      <c r="AB155" s="101">
        <v>8663</v>
      </c>
      <c r="AC155" s="101">
        <v>55366</v>
      </c>
      <c r="AD155" s="101">
        <v>564969</v>
      </c>
      <c r="AE155" s="101">
        <v>187711</v>
      </c>
    </row>
    <row r="156" spans="1:31" ht="11.25" hidden="1" customHeight="1" x14ac:dyDescent="0.3">
      <c r="A156" s="126" t="s">
        <v>173</v>
      </c>
      <c r="B156" s="126">
        <v>7</v>
      </c>
      <c r="C156" s="126">
        <v>71</v>
      </c>
      <c r="D156" s="126" t="str">
        <f t="shared" si="11"/>
        <v>771</v>
      </c>
      <c r="E156" s="101">
        <v>875</v>
      </c>
      <c r="F156" s="101">
        <v>6106.5</v>
      </c>
      <c r="G156" s="101">
        <v>19877</v>
      </c>
      <c r="H156" s="101">
        <v>149079.99</v>
      </c>
      <c r="I156" s="101">
        <v>89834.8505</v>
      </c>
      <c r="J156" s="101">
        <v>576</v>
      </c>
      <c r="K156" s="101">
        <v>5004</v>
      </c>
      <c r="L156" s="101">
        <v>14712</v>
      </c>
      <c r="M156" s="101">
        <v>115517</v>
      </c>
      <c r="N156" s="101">
        <v>119856</v>
      </c>
      <c r="O156" s="101">
        <v>491</v>
      </c>
      <c r="P156" s="101">
        <v>6118</v>
      </c>
      <c r="Q156" s="101">
        <v>16332</v>
      </c>
      <c r="R156" s="101">
        <v>156659.01</v>
      </c>
      <c r="S156" s="101">
        <v>86397.827000000019</v>
      </c>
      <c r="T156" s="169">
        <v>0.98</v>
      </c>
      <c r="U156" s="101">
        <f t="shared" si="12"/>
        <v>481.18</v>
      </c>
      <c r="V156" s="101">
        <f t="shared" si="13"/>
        <v>5995.64</v>
      </c>
      <c r="W156" s="101">
        <v>16821.96</v>
      </c>
      <c r="X156" s="101">
        <f t="shared" si="15"/>
        <v>153525.82980000001</v>
      </c>
      <c r="Y156" s="101">
        <f t="shared" si="16"/>
        <v>84669.87046000002</v>
      </c>
      <c r="AA156" s="101">
        <v>244</v>
      </c>
      <c r="AB156" s="101">
        <v>5278</v>
      </c>
      <c r="AC156" s="101">
        <v>17143</v>
      </c>
      <c r="AD156" s="101">
        <v>116256</v>
      </c>
      <c r="AE156" s="101">
        <v>58934</v>
      </c>
    </row>
    <row r="157" spans="1:31" ht="11.25" hidden="1" customHeight="1" x14ac:dyDescent="0.3">
      <c r="A157" s="126" t="s">
        <v>173</v>
      </c>
      <c r="B157" s="126">
        <v>7</v>
      </c>
      <c r="C157" s="126">
        <v>25</v>
      </c>
      <c r="D157" s="126" t="str">
        <f t="shared" si="11"/>
        <v>725</v>
      </c>
      <c r="E157" s="101">
        <v>942</v>
      </c>
      <c r="F157" s="101">
        <v>4757</v>
      </c>
      <c r="G157" s="101">
        <v>26333</v>
      </c>
      <c r="H157" s="101">
        <v>373524.52999999997</v>
      </c>
      <c r="I157" s="101">
        <v>170355.16700000002</v>
      </c>
      <c r="J157" s="101">
        <v>656</v>
      </c>
      <c r="K157" s="101">
        <v>6782</v>
      </c>
      <c r="L157" s="101">
        <v>37840</v>
      </c>
      <c r="M157" s="101">
        <v>576652</v>
      </c>
      <c r="N157" s="101">
        <v>254660</v>
      </c>
      <c r="O157" s="101">
        <v>677</v>
      </c>
      <c r="P157" s="101">
        <v>6898</v>
      </c>
      <c r="Q157" s="101">
        <v>30524</v>
      </c>
      <c r="R157" s="101">
        <v>306279.10000000003</v>
      </c>
      <c r="S157" s="101">
        <v>167148.90099999998</v>
      </c>
      <c r="T157" s="169">
        <v>1.02</v>
      </c>
      <c r="U157" s="101">
        <f t="shared" si="12"/>
        <v>690.54</v>
      </c>
      <c r="V157" s="101">
        <f t="shared" si="13"/>
        <v>7035.96</v>
      </c>
      <c r="W157" s="101">
        <f t="shared" si="14"/>
        <v>31134.48</v>
      </c>
      <c r="X157" s="101">
        <f t="shared" si="15"/>
        <v>312404.68200000003</v>
      </c>
      <c r="Y157" s="101">
        <f t="shared" si="16"/>
        <v>170491.87901999999</v>
      </c>
      <c r="AA157" s="101">
        <v>772</v>
      </c>
      <c r="AB157" s="101">
        <v>5626</v>
      </c>
      <c r="AC157" s="101">
        <v>20985</v>
      </c>
      <c r="AD157" s="101">
        <v>222932</v>
      </c>
      <c r="AE157" s="101">
        <v>130228</v>
      </c>
    </row>
    <row r="158" spans="1:31" ht="11.25" hidden="1" customHeight="1" x14ac:dyDescent="0.3">
      <c r="A158" s="126" t="s">
        <v>173</v>
      </c>
      <c r="B158" s="126">
        <v>7</v>
      </c>
      <c r="C158" s="126">
        <v>27</v>
      </c>
      <c r="D158" s="126" t="str">
        <f t="shared" si="11"/>
        <v>727</v>
      </c>
      <c r="E158" s="101">
        <v>72</v>
      </c>
      <c r="F158" s="101">
        <v>502</v>
      </c>
      <c r="G158" s="101">
        <v>3266</v>
      </c>
      <c r="H158" s="101">
        <v>40672.119999999995</v>
      </c>
      <c r="I158" s="101">
        <v>15230.606999999998</v>
      </c>
      <c r="J158" s="101">
        <v>58</v>
      </c>
      <c r="K158" s="101">
        <v>1614</v>
      </c>
      <c r="L158" s="101">
        <v>5879</v>
      </c>
      <c r="M158" s="101">
        <v>72429</v>
      </c>
      <c r="N158" s="101">
        <v>24679</v>
      </c>
      <c r="O158" s="101">
        <v>68</v>
      </c>
      <c r="P158" s="101">
        <v>2210</v>
      </c>
      <c r="Q158" s="101">
        <v>11282</v>
      </c>
      <c r="R158" s="101">
        <v>99467.209999999992</v>
      </c>
      <c r="S158" s="101">
        <v>46453.165999999997</v>
      </c>
      <c r="T158" s="169">
        <v>1.02</v>
      </c>
      <c r="U158" s="101">
        <f t="shared" si="12"/>
        <v>69.36</v>
      </c>
      <c r="V158" s="101">
        <f t="shared" si="13"/>
        <v>2254.1999999999998</v>
      </c>
      <c r="W158" s="101">
        <f t="shared" si="14"/>
        <v>11507.64</v>
      </c>
      <c r="X158" s="101">
        <f t="shared" si="15"/>
        <v>101456.5542</v>
      </c>
      <c r="Y158" s="101">
        <f t="shared" si="16"/>
        <v>47382.229319999999</v>
      </c>
      <c r="AA158" s="101">
        <v>66</v>
      </c>
      <c r="AB158" s="101">
        <v>1916</v>
      </c>
      <c r="AC158" s="101">
        <v>11587</v>
      </c>
      <c r="AD158" s="101">
        <v>94068</v>
      </c>
      <c r="AE158" s="101">
        <v>40969</v>
      </c>
    </row>
    <row r="159" spans="1:31" ht="11.25" hidden="1" customHeight="1" x14ac:dyDescent="0.3">
      <c r="A159" s="126" t="s">
        <v>173</v>
      </c>
      <c r="B159" s="126">
        <v>7</v>
      </c>
      <c r="C159" s="126">
        <v>14</v>
      </c>
      <c r="D159" s="126" t="str">
        <f t="shared" si="11"/>
        <v>714</v>
      </c>
      <c r="E159" s="101">
        <v>0</v>
      </c>
      <c r="F159" s="101">
        <v>0</v>
      </c>
      <c r="G159" s="101">
        <v>0</v>
      </c>
      <c r="H159" s="101">
        <v>0</v>
      </c>
      <c r="I159" s="101">
        <v>0</v>
      </c>
      <c r="J159" s="101">
        <v>0</v>
      </c>
      <c r="K159" s="101">
        <v>0</v>
      </c>
      <c r="L159" s="101">
        <v>0</v>
      </c>
      <c r="M159" s="101">
        <v>0</v>
      </c>
      <c r="N159" s="101">
        <v>0</v>
      </c>
      <c r="O159" s="101">
        <v>34</v>
      </c>
      <c r="P159" s="101">
        <v>54</v>
      </c>
      <c r="Q159" s="101">
        <v>99</v>
      </c>
      <c r="R159" s="101">
        <v>2597.42</v>
      </c>
      <c r="S159" s="101">
        <v>302.92</v>
      </c>
      <c r="T159" s="169">
        <v>1.02</v>
      </c>
      <c r="U159" s="101">
        <f t="shared" si="12"/>
        <v>34.68</v>
      </c>
      <c r="V159" s="101">
        <f t="shared" si="13"/>
        <v>55.08</v>
      </c>
      <c r="W159" s="101">
        <f t="shared" si="14"/>
        <v>100.98</v>
      </c>
      <c r="X159" s="101">
        <f t="shared" si="15"/>
        <v>2649.3684000000003</v>
      </c>
      <c r="Y159" s="101">
        <f t="shared" si="16"/>
        <v>308.97840000000002</v>
      </c>
      <c r="AA159" s="101">
        <v>70</v>
      </c>
      <c r="AB159" s="101">
        <v>111</v>
      </c>
      <c r="AC159" s="101">
        <v>240</v>
      </c>
      <c r="AD159" s="101">
        <v>6148</v>
      </c>
      <c r="AE159" s="101">
        <v>1100</v>
      </c>
    </row>
    <row r="160" spans="1:31" ht="11.25" hidden="1" customHeight="1" x14ac:dyDescent="0.3">
      <c r="A160" s="126" t="s">
        <v>173</v>
      </c>
      <c r="B160" s="126">
        <v>7</v>
      </c>
      <c r="C160" s="126">
        <v>22</v>
      </c>
      <c r="D160" s="126" t="str">
        <f t="shared" si="11"/>
        <v>722</v>
      </c>
      <c r="E160" s="101">
        <v>0</v>
      </c>
      <c r="F160" s="101">
        <v>0</v>
      </c>
      <c r="G160" s="101">
        <v>0</v>
      </c>
      <c r="H160" s="101">
        <v>0</v>
      </c>
      <c r="I160" s="101">
        <v>0</v>
      </c>
      <c r="J160" s="101">
        <v>9</v>
      </c>
      <c r="K160" s="101">
        <v>16</v>
      </c>
      <c r="L160" s="101">
        <v>693</v>
      </c>
      <c r="M160" s="101">
        <v>31806</v>
      </c>
      <c r="N160" s="101">
        <v>10857</v>
      </c>
      <c r="O160" s="101">
        <v>15</v>
      </c>
      <c r="P160" s="101">
        <v>22</v>
      </c>
      <c r="Q160" s="101">
        <v>84</v>
      </c>
      <c r="R160" s="101">
        <v>3500.44</v>
      </c>
      <c r="S160" s="101">
        <v>1409.3410000000001</v>
      </c>
      <c r="T160" s="169">
        <v>1.02</v>
      </c>
      <c r="U160" s="101">
        <f t="shared" si="12"/>
        <v>15.3</v>
      </c>
      <c r="V160" s="101">
        <f t="shared" si="13"/>
        <v>22.44</v>
      </c>
      <c r="W160" s="101">
        <f t="shared" si="14"/>
        <v>85.68</v>
      </c>
      <c r="X160" s="101">
        <f t="shared" si="15"/>
        <v>3570.4488000000001</v>
      </c>
      <c r="Y160" s="101">
        <f t="shared" si="16"/>
        <v>1437.5278200000002</v>
      </c>
      <c r="AA160" s="101">
        <v>21</v>
      </c>
      <c r="AB160" s="101">
        <v>60</v>
      </c>
      <c r="AC160" s="101">
        <v>292</v>
      </c>
      <c r="AD160" s="101">
        <v>8958</v>
      </c>
      <c r="AE160" s="101">
        <v>6348</v>
      </c>
    </row>
    <row r="161" spans="1:31" ht="11.25" hidden="1" customHeight="1" x14ac:dyDescent="0.3">
      <c r="A161" s="126" t="s">
        <v>173</v>
      </c>
      <c r="B161" s="126">
        <v>7</v>
      </c>
      <c r="C161" s="126">
        <v>26</v>
      </c>
      <c r="D161" s="126" t="str">
        <f t="shared" si="11"/>
        <v>726</v>
      </c>
      <c r="E161" s="101">
        <v>0</v>
      </c>
      <c r="F161" s="101">
        <v>0</v>
      </c>
      <c r="G161" s="101">
        <v>0</v>
      </c>
      <c r="H161" s="101">
        <v>0</v>
      </c>
      <c r="I161" s="101">
        <v>0</v>
      </c>
      <c r="J161" s="101">
        <v>6</v>
      </c>
      <c r="K161" s="101">
        <v>24</v>
      </c>
      <c r="L161" s="101">
        <v>386</v>
      </c>
      <c r="M161" s="101">
        <v>1964</v>
      </c>
      <c r="N161" s="101">
        <v>233</v>
      </c>
      <c r="O161" s="101">
        <v>20</v>
      </c>
      <c r="P161" s="101">
        <v>29</v>
      </c>
      <c r="Q161" s="101">
        <v>835</v>
      </c>
      <c r="R161" s="101">
        <v>41333.58</v>
      </c>
      <c r="S161" s="101">
        <v>22048.99</v>
      </c>
      <c r="T161" s="169">
        <v>1.02</v>
      </c>
      <c r="U161" s="101">
        <f t="shared" si="12"/>
        <v>20.399999999999999</v>
      </c>
      <c r="V161" s="101">
        <f t="shared" si="13"/>
        <v>29.580000000000002</v>
      </c>
      <c r="W161" s="101">
        <f t="shared" si="14"/>
        <v>851.7</v>
      </c>
      <c r="X161" s="101">
        <f t="shared" si="15"/>
        <v>42160.251600000003</v>
      </c>
      <c r="Y161" s="101">
        <f t="shared" si="16"/>
        <v>22489.969800000003</v>
      </c>
      <c r="AA161" s="101">
        <v>1</v>
      </c>
      <c r="AB161" s="101">
        <v>1</v>
      </c>
      <c r="AC161" s="101">
        <v>5</v>
      </c>
      <c r="AD161" s="101">
        <v>0</v>
      </c>
      <c r="AE161" s="101">
        <v>0</v>
      </c>
    </row>
    <row r="162" spans="1:31" ht="11.25" hidden="1" customHeight="1" x14ac:dyDescent="0.3">
      <c r="A162" s="126" t="s">
        <v>173</v>
      </c>
      <c r="B162" s="126">
        <v>7</v>
      </c>
      <c r="C162" s="126">
        <v>32</v>
      </c>
      <c r="D162" s="126" t="str">
        <f t="shared" si="11"/>
        <v>732</v>
      </c>
      <c r="E162" s="101">
        <v>0</v>
      </c>
      <c r="F162" s="101">
        <v>0</v>
      </c>
      <c r="G162" s="101">
        <v>0</v>
      </c>
      <c r="H162" s="101">
        <v>0</v>
      </c>
      <c r="I162" s="101">
        <v>0</v>
      </c>
      <c r="J162" s="101">
        <v>78</v>
      </c>
      <c r="K162" s="101">
        <v>115</v>
      </c>
      <c r="L162" s="101">
        <v>2463</v>
      </c>
      <c r="M162" s="101">
        <v>11651</v>
      </c>
      <c r="N162" s="101">
        <v>20176</v>
      </c>
      <c r="O162" s="101">
        <v>59</v>
      </c>
      <c r="P162" s="101">
        <v>101</v>
      </c>
      <c r="Q162" s="101">
        <v>2973</v>
      </c>
      <c r="R162" s="101">
        <v>32403.05</v>
      </c>
      <c r="S162" s="101">
        <v>15550.012999999999</v>
      </c>
      <c r="T162" s="169">
        <v>1.02</v>
      </c>
      <c r="U162" s="101">
        <f t="shared" si="12"/>
        <v>60.18</v>
      </c>
      <c r="V162" s="101">
        <f t="shared" si="13"/>
        <v>103.02</v>
      </c>
      <c r="W162" s="101">
        <f t="shared" si="14"/>
        <v>3032.46</v>
      </c>
      <c r="X162" s="101">
        <f t="shared" si="15"/>
        <v>33051.110999999997</v>
      </c>
      <c r="Y162" s="101">
        <f t="shared" si="16"/>
        <v>15861.01326</v>
      </c>
      <c r="AA162" s="101">
        <v>56</v>
      </c>
      <c r="AB162" s="101">
        <v>108</v>
      </c>
      <c r="AC162" s="101">
        <v>2272</v>
      </c>
      <c r="AD162" s="101">
        <v>17538</v>
      </c>
      <c r="AE162" s="101">
        <v>11451</v>
      </c>
    </row>
    <row r="163" spans="1:31" ht="11.25" hidden="1" customHeight="1" x14ac:dyDescent="0.3">
      <c r="A163" s="126" t="s">
        <v>173</v>
      </c>
      <c r="B163" s="126">
        <v>7</v>
      </c>
      <c r="C163" s="126">
        <v>43</v>
      </c>
      <c r="D163" s="126" t="str">
        <f t="shared" si="11"/>
        <v>743</v>
      </c>
      <c r="E163" s="101">
        <v>0</v>
      </c>
      <c r="F163" s="101">
        <v>0</v>
      </c>
      <c r="G163" s="101">
        <v>0</v>
      </c>
      <c r="H163" s="101">
        <v>0</v>
      </c>
      <c r="I163" s="101">
        <v>0</v>
      </c>
      <c r="J163" s="101">
        <v>0</v>
      </c>
      <c r="K163" s="101">
        <v>0</v>
      </c>
      <c r="L163" s="101">
        <v>0</v>
      </c>
      <c r="M163" s="101">
        <v>0</v>
      </c>
      <c r="N163" s="101">
        <v>0</v>
      </c>
      <c r="O163" s="101">
        <v>0</v>
      </c>
      <c r="P163" s="101">
        <v>0</v>
      </c>
      <c r="Q163" s="101">
        <v>0</v>
      </c>
      <c r="R163" s="101">
        <v>0</v>
      </c>
      <c r="S163" s="101">
        <v>0</v>
      </c>
      <c r="T163" s="169">
        <v>1.02</v>
      </c>
      <c r="U163" s="101">
        <f t="shared" si="12"/>
        <v>0</v>
      </c>
      <c r="V163" s="101">
        <f t="shared" si="13"/>
        <v>0</v>
      </c>
      <c r="W163" s="101">
        <f t="shared" si="14"/>
        <v>0</v>
      </c>
      <c r="X163" s="101">
        <f t="shared" si="15"/>
        <v>0</v>
      </c>
      <c r="Y163" s="101">
        <f t="shared" si="16"/>
        <v>0</v>
      </c>
      <c r="AA163" s="101">
        <v>0</v>
      </c>
      <c r="AB163" s="101">
        <v>0</v>
      </c>
      <c r="AC163" s="101">
        <v>0</v>
      </c>
      <c r="AD163" s="101">
        <v>0</v>
      </c>
      <c r="AE163" s="101">
        <v>0</v>
      </c>
    </row>
    <row r="164" spans="1:31" ht="11.25" hidden="1" customHeight="1" x14ac:dyDescent="0.3">
      <c r="A164" s="126" t="s">
        <v>173</v>
      </c>
      <c r="B164" s="126">
        <v>7</v>
      </c>
      <c r="C164" s="126">
        <v>44</v>
      </c>
      <c r="D164" s="126" t="str">
        <f t="shared" si="11"/>
        <v>744</v>
      </c>
      <c r="E164" s="101">
        <v>0</v>
      </c>
      <c r="F164" s="101">
        <v>0</v>
      </c>
      <c r="G164" s="101">
        <v>0</v>
      </c>
      <c r="H164" s="101">
        <v>0</v>
      </c>
      <c r="I164" s="101">
        <v>0</v>
      </c>
      <c r="J164" s="101">
        <v>1</v>
      </c>
      <c r="K164" s="101">
        <v>1</v>
      </c>
      <c r="L164" s="101">
        <v>5</v>
      </c>
      <c r="M164" s="101">
        <v>0</v>
      </c>
      <c r="N164" s="101">
        <v>90</v>
      </c>
      <c r="O164" s="101">
        <v>0</v>
      </c>
      <c r="P164" s="101">
        <v>0</v>
      </c>
      <c r="Q164" s="101">
        <v>0</v>
      </c>
      <c r="R164" s="101">
        <v>0</v>
      </c>
      <c r="S164" s="101">
        <v>0</v>
      </c>
      <c r="T164" s="169">
        <v>1.02</v>
      </c>
      <c r="U164" s="101">
        <f t="shared" si="12"/>
        <v>0</v>
      </c>
      <c r="V164" s="101">
        <f t="shared" si="13"/>
        <v>0</v>
      </c>
      <c r="W164" s="101">
        <f t="shared" si="14"/>
        <v>0</v>
      </c>
      <c r="X164" s="101">
        <f t="shared" si="15"/>
        <v>0</v>
      </c>
      <c r="Y164" s="101">
        <f t="shared" si="16"/>
        <v>0</v>
      </c>
      <c r="AA164" s="101">
        <v>0</v>
      </c>
      <c r="AB164" s="101">
        <v>0</v>
      </c>
      <c r="AC164" s="101">
        <v>0</v>
      </c>
      <c r="AD164" s="101">
        <v>0</v>
      </c>
      <c r="AE164" s="101">
        <v>0</v>
      </c>
    </row>
    <row r="165" spans="1:31" ht="11.25" hidden="1" customHeight="1" x14ac:dyDescent="0.3">
      <c r="A165" s="126" t="s">
        <v>173</v>
      </c>
      <c r="B165" s="126">
        <v>7</v>
      </c>
      <c r="C165" s="126">
        <v>45</v>
      </c>
      <c r="D165" s="126" t="str">
        <f t="shared" si="11"/>
        <v>745</v>
      </c>
      <c r="E165" s="101">
        <v>0</v>
      </c>
      <c r="F165" s="101">
        <v>0</v>
      </c>
      <c r="G165" s="101">
        <v>0</v>
      </c>
      <c r="H165" s="101">
        <v>0</v>
      </c>
      <c r="I165" s="101">
        <v>0</v>
      </c>
      <c r="J165" s="101">
        <v>1</v>
      </c>
      <c r="K165" s="101">
        <v>1</v>
      </c>
      <c r="L165" s="101">
        <v>2</v>
      </c>
      <c r="M165" s="101">
        <v>0</v>
      </c>
      <c r="N165" s="101">
        <v>7</v>
      </c>
      <c r="O165" s="101">
        <v>0</v>
      </c>
      <c r="P165" s="101">
        <v>0</v>
      </c>
      <c r="Q165" s="101">
        <v>0</v>
      </c>
      <c r="R165" s="101">
        <v>0</v>
      </c>
      <c r="S165" s="101">
        <v>0</v>
      </c>
      <c r="T165" s="169">
        <v>1.02</v>
      </c>
      <c r="U165" s="101">
        <f t="shared" si="12"/>
        <v>0</v>
      </c>
      <c r="V165" s="101">
        <f t="shared" si="13"/>
        <v>0</v>
      </c>
      <c r="W165" s="101">
        <f t="shared" si="14"/>
        <v>0</v>
      </c>
      <c r="X165" s="101">
        <f t="shared" si="15"/>
        <v>0</v>
      </c>
      <c r="Y165" s="101">
        <f t="shared" si="16"/>
        <v>0</v>
      </c>
      <c r="AA165" s="101">
        <v>0</v>
      </c>
      <c r="AB165" s="101">
        <v>0</v>
      </c>
      <c r="AC165" s="101">
        <v>0</v>
      </c>
      <c r="AD165" s="101">
        <v>0</v>
      </c>
      <c r="AE165" s="101">
        <v>0</v>
      </c>
    </row>
    <row r="166" spans="1:31" ht="11.25" hidden="1" customHeight="1" x14ac:dyDescent="0.3">
      <c r="A166" s="126" t="s">
        <v>173</v>
      </c>
      <c r="B166" s="126">
        <v>7</v>
      </c>
      <c r="C166" s="126">
        <v>47</v>
      </c>
      <c r="D166" s="126" t="str">
        <f t="shared" si="11"/>
        <v>747</v>
      </c>
      <c r="E166" s="101">
        <v>0</v>
      </c>
      <c r="F166" s="101">
        <v>0</v>
      </c>
      <c r="G166" s="101">
        <v>0</v>
      </c>
      <c r="H166" s="101">
        <v>0</v>
      </c>
      <c r="I166" s="101">
        <v>0</v>
      </c>
      <c r="J166" s="101">
        <v>0</v>
      </c>
      <c r="K166" s="101">
        <v>0</v>
      </c>
      <c r="L166" s="101">
        <v>0</v>
      </c>
      <c r="M166" s="101">
        <v>0</v>
      </c>
      <c r="N166" s="101">
        <v>0</v>
      </c>
      <c r="O166" s="101">
        <v>0</v>
      </c>
      <c r="P166" s="101">
        <v>0</v>
      </c>
      <c r="Q166" s="101">
        <v>0</v>
      </c>
      <c r="R166" s="101">
        <v>0</v>
      </c>
      <c r="S166" s="101">
        <v>0</v>
      </c>
      <c r="T166" s="169">
        <v>1.02</v>
      </c>
      <c r="U166" s="101">
        <f t="shared" si="12"/>
        <v>0</v>
      </c>
      <c r="V166" s="101">
        <f t="shared" si="13"/>
        <v>0</v>
      </c>
      <c r="W166" s="101">
        <f t="shared" si="14"/>
        <v>0</v>
      </c>
      <c r="X166" s="101">
        <f t="shared" si="15"/>
        <v>0</v>
      </c>
      <c r="Y166" s="101">
        <f t="shared" si="16"/>
        <v>0</v>
      </c>
      <c r="AA166" s="101">
        <v>2</v>
      </c>
      <c r="AB166" s="101">
        <v>7</v>
      </c>
      <c r="AC166" s="101">
        <v>394</v>
      </c>
      <c r="AD166" s="101">
        <v>5178</v>
      </c>
      <c r="AE166" s="101">
        <v>1315</v>
      </c>
    </row>
    <row r="167" spans="1:31" ht="11.25" hidden="1" customHeight="1" x14ac:dyDescent="0.3">
      <c r="A167" s="126" t="s">
        <v>173</v>
      </c>
      <c r="B167" s="126">
        <v>7</v>
      </c>
      <c r="C167" s="126">
        <v>48</v>
      </c>
      <c r="D167" s="126" t="str">
        <f t="shared" si="11"/>
        <v>748</v>
      </c>
      <c r="E167" s="101">
        <v>0</v>
      </c>
      <c r="F167" s="101">
        <v>0</v>
      </c>
      <c r="G167" s="101">
        <v>0</v>
      </c>
      <c r="H167" s="101">
        <v>0</v>
      </c>
      <c r="I167" s="101">
        <v>0</v>
      </c>
      <c r="J167" s="101">
        <v>0</v>
      </c>
      <c r="K167" s="101">
        <v>0</v>
      </c>
      <c r="L167" s="101">
        <v>0</v>
      </c>
      <c r="M167" s="101">
        <v>0</v>
      </c>
      <c r="N167" s="101">
        <v>0</v>
      </c>
      <c r="O167" s="101">
        <v>0</v>
      </c>
      <c r="P167" s="101">
        <v>0</v>
      </c>
      <c r="Q167" s="101">
        <v>0</v>
      </c>
      <c r="R167" s="101">
        <v>0</v>
      </c>
      <c r="S167" s="101">
        <v>0</v>
      </c>
      <c r="T167" s="169">
        <v>1.02</v>
      </c>
      <c r="U167" s="101">
        <f t="shared" si="12"/>
        <v>0</v>
      </c>
      <c r="V167" s="101">
        <f t="shared" si="13"/>
        <v>0</v>
      </c>
      <c r="W167" s="101">
        <f t="shared" si="14"/>
        <v>0</v>
      </c>
      <c r="X167" s="101">
        <f t="shared" si="15"/>
        <v>0</v>
      </c>
      <c r="Y167" s="101">
        <f t="shared" si="16"/>
        <v>0</v>
      </c>
      <c r="AA167" s="101">
        <v>0</v>
      </c>
      <c r="AB167" s="101">
        <v>0</v>
      </c>
      <c r="AC167" s="101">
        <v>0</v>
      </c>
      <c r="AD167" s="101">
        <v>0</v>
      </c>
      <c r="AE167" s="101">
        <v>0</v>
      </c>
    </row>
    <row r="168" spans="1:31" ht="11.25" hidden="1" customHeight="1" x14ac:dyDescent="0.3">
      <c r="A168" s="126" t="s">
        <v>173</v>
      </c>
      <c r="B168" s="126">
        <v>7</v>
      </c>
      <c r="C168" s="126">
        <v>91</v>
      </c>
      <c r="D168" s="126" t="str">
        <f t="shared" si="11"/>
        <v>791</v>
      </c>
      <c r="E168" s="101">
        <v>0</v>
      </c>
      <c r="F168" s="101">
        <v>0</v>
      </c>
      <c r="G168" s="101">
        <v>0</v>
      </c>
      <c r="H168" s="101">
        <v>0</v>
      </c>
      <c r="I168" s="101">
        <v>0</v>
      </c>
      <c r="J168" s="101">
        <v>47</v>
      </c>
      <c r="K168" s="101">
        <v>140</v>
      </c>
      <c r="L168" s="101">
        <v>344</v>
      </c>
      <c r="M168" s="101">
        <v>2327</v>
      </c>
      <c r="N168" s="101">
        <v>1764</v>
      </c>
      <c r="O168" s="101">
        <v>41</v>
      </c>
      <c r="P168" s="101">
        <v>61</v>
      </c>
      <c r="Q168" s="101">
        <v>1104</v>
      </c>
      <c r="R168" s="101">
        <v>2086.8200000000002</v>
      </c>
      <c r="S168" s="101">
        <v>1180.2919999999999</v>
      </c>
      <c r="T168" s="169">
        <v>1.02</v>
      </c>
      <c r="U168" s="101">
        <f t="shared" si="12"/>
        <v>41.82</v>
      </c>
      <c r="V168" s="101">
        <f t="shared" si="13"/>
        <v>62.22</v>
      </c>
      <c r="W168" s="101">
        <f t="shared" si="14"/>
        <v>1126.08</v>
      </c>
      <c r="X168" s="101">
        <f t="shared" si="15"/>
        <v>2128.5564000000004</v>
      </c>
      <c r="Y168" s="101">
        <f t="shared" si="16"/>
        <v>1203.8978399999999</v>
      </c>
      <c r="AA168" s="101">
        <v>37</v>
      </c>
      <c r="AB168" s="101">
        <v>191</v>
      </c>
      <c r="AC168" s="101">
        <v>1557</v>
      </c>
      <c r="AD168" s="101">
        <v>6713</v>
      </c>
      <c r="AE168" s="101">
        <v>2778</v>
      </c>
    </row>
    <row r="169" spans="1:31" ht="11.25" customHeight="1" x14ac:dyDescent="0.3">
      <c r="A169" s="126" t="s">
        <v>173</v>
      </c>
      <c r="B169" s="126">
        <v>7</v>
      </c>
      <c r="C169" s="126" t="s">
        <v>172</v>
      </c>
      <c r="D169" s="126" t="str">
        <f t="shared" si="11"/>
        <v>7Uml</v>
      </c>
      <c r="J169" s="101">
        <v>264</v>
      </c>
      <c r="K169" s="101">
        <v>264</v>
      </c>
      <c r="L169" s="101">
        <v>125995</v>
      </c>
      <c r="N169" s="101">
        <v>361802</v>
      </c>
      <c r="O169" s="101">
        <v>287</v>
      </c>
      <c r="P169" s="101">
        <v>286</v>
      </c>
      <c r="Q169" s="101">
        <v>88041</v>
      </c>
      <c r="R169" s="101">
        <v>356518.92</v>
      </c>
      <c r="S169" s="101">
        <v>149639.28200000001</v>
      </c>
      <c r="T169" s="169">
        <v>1.02</v>
      </c>
      <c r="U169" s="101">
        <f t="shared" si="12"/>
        <v>292.74</v>
      </c>
      <c r="V169" s="101">
        <f t="shared" si="13"/>
        <v>291.72000000000003</v>
      </c>
      <c r="W169" s="101">
        <f t="shared" si="14"/>
        <v>89801.82</v>
      </c>
      <c r="X169" s="101">
        <f t="shared" si="15"/>
        <v>363649.29839999997</v>
      </c>
      <c r="Y169" s="101">
        <f t="shared" si="16"/>
        <v>152632.06764000002</v>
      </c>
      <c r="AA169" s="101">
        <v>422</v>
      </c>
      <c r="AB169" s="101">
        <v>424</v>
      </c>
      <c r="AC169" s="101">
        <v>84376</v>
      </c>
      <c r="AE169" s="101">
        <v>395052.538</v>
      </c>
    </row>
    <row r="170" spans="1:31" ht="11.25" hidden="1" customHeight="1" x14ac:dyDescent="0.3">
      <c r="A170" s="126" t="s">
        <v>173</v>
      </c>
      <c r="B170" s="126">
        <v>7</v>
      </c>
      <c r="C170" s="126">
        <v>37</v>
      </c>
      <c r="D170" s="126" t="str">
        <f t="shared" si="11"/>
        <v>737</v>
      </c>
      <c r="E170" s="101">
        <v>10.5</v>
      </c>
      <c r="F170" s="101">
        <v>24.5</v>
      </c>
      <c r="G170" s="101">
        <v>708.25</v>
      </c>
      <c r="H170" s="101">
        <v>4429.8425000000007</v>
      </c>
      <c r="I170" s="101">
        <v>2340.9135000000001</v>
      </c>
      <c r="J170" s="101">
        <v>32</v>
      </c>
      <c r="K170" s="101">
        <v>115</v>
      </c>
      <c r="L170" s="101">
        <v>5770</v>
      </c>
      <c r="M170" s="101">
        <v>21116</v>
      </c>
      <c r="N170" s="101">
        <v>11071</v>
      </c>
      <c r="O170" s="101">
        <v>43</v>
      </c>
      <c r="P170" s="101">
        <v>157</v>
      </c>
      <c r="Q170" s="101">
        <v>3019</v>
      </c>
      <c r="R170" s="101">
        <v>17139.650000000001</v>
      </c>
      <c r="S170" s="101">
        <v>6143.5740000000005</v>
      </c>
      <c r="T170" s="169">
        <v>1.02</v>
      </c>
      <c r="U170" s="101">
        <f t="shared" si="12"/>
        <v>43.86</v>
      </c>
      <c r="V170" s="101">
        <f t="shared" si="13"/>
        <v>160.14000000000001</v>
      </c>
      <c r="W170" s="101">
        <f t="shared" si="14"/>
        <v>3079.38</v>
      </c>
      <c r="X170" s="101">
        <f t="shared" si="15"/>
        <v>17482.443000000003</v>
      </c>
      <c r="Y170" s="101">
        <f t="shared" si="16"/>
        <v>6266.4454800000003</v>
      </c>
      <c r="AA170" s="101">
        <v>42</v>
      </c>
      <c r="AB170" s="101">
        <v>137</v>
      </c>
      <c r="AC170" s="101">
        <v>2261</v>
      </c>
      <c r="AD170" s="101">
        <v>15127</v>
      </c>
      <c r="AE170" s="101">
        <v>8065</v>
      </c>
    </row>
    <row r="171" spans="1:31" ht="11.25" hidden="1" customHeight="1" x14ac:dyDescent="0.3">
      <c r="A171" s="126" t="s">
        <v>173</v>
      </c>
      <c r="B171" s="126">
        <v>8</v>
      </c>
      <c r="C171" s="126">
        <v>12</v>
      </c>
      <c r="D171" s="126" t="str">
        <f t="shared" si="11"/>
        <v>812</v>
      </c>
      <c r="E171" s="101">
        <v>41</v>
      </c>
      <c r="F171" s="101">
        <v>60</v>
      </c>
      <c r="G171" s="101">
        <v>96</v>
      </c>
      <c r="H171" s="101">
        <v>1677.82</v>
      </c>
      <c r="I171" s="101">
        <v>428.42899999999997</v>
      </c>
      <c r="J171" s="101">
        <v>28</v>
      </c>
      <c r="K171" s="101">
        <v>38</v>
      </c>
      <c r="L171" s="101">
        <v>42</v>
      </c>
      <c r="M171" s="101">
        <v>1037</v>
      </c>
      <c r="N171" s="101">
        <v>333</v>
      </c>
      <c r="O171" s="101">
        <v>13</v>
      </c>
      <c r="P171" s="101">
        <v>22</v>
      </c>
      <c r="Q171" s="101">
        <v>25</v>
      </c>
      <c r="R171" s="101">
        <v>825.26</v>
      </c>
      <c r="S171" s="101">
        <v>196.239</v>
      </c>
      <c r="T171" s="169">
        <v>1.02</v>
      </c>
      <c r="U171" s="101">
        <f t="shared" si="12"/>
        <v>13.26</v>
      </c>
      <c r="V171" s="101">
        <f t="shared" si="13"/>
        <v>22.44</v>
      </c>
      <c r="W171" s="101">
        <f t="shared" si="14"/>
        <v>25.5</v>
      </c>
      <c r="X171" s="101">
        <f t="shared" si="15"/>
        <v>841.76520000000005</v>
      </c>
      <c r="Y171" s="101">
        <f t="shared" si="16"/>
        <v>200.16378</v>
      </c>
      <c r="AA171" s="101">
        <v>17</v>
      </c>
      <c r="AB171" s="101">
        <v>20</v>
      </c>
      <c r="AC171" s="101">
        <v>23</v>
      </c>
      <c r="AD171" s="101">
        <v>542</v>
      </c>
      <c r="AE171" s="101">
        <v>118</v>
      </c>
    </row>
    <row r="172" spans="1:31" ht="11.25" hidden="1" customHeight="1" x14ac:dyDescent="0.3">
      <c r="A172" s="126" t="s">
        <v>173</v>
      </c>
      <c r="B172" s="126">
        <v>8</v>
      </c>
      <c r="C172" s="126">
        <v>17</v>
      </c>
      <c r="D172" s="126" t="str">
        <f t="shared" si="11"/>
        <v>817</v>
      </c>
      <c r="E172" s="101">
        <v>1846</v>
      </c>
      <c r="F172" s="101">
        <v>2934</v>
      </c>
      <c r="G172" s="101">
        <v>4346</v>
      </c>
      <c r="H172" s="101">
        <v>78475.149999999994</v>
      </c>
      <c r="I172" s="101">
        <v>13996.532999999999</v>
      </c>
      <c r="J172" s="101">
        <v>2771</v>
      </c>
      <c r="K172" s="101">
        <v>3568</v>
      </c>
      <c r="L172" s="101">
        <v>4813</v>
      </c>
      <c r="M172" s="101">
        <v>147582</v>
      </c>
      <c r="N172" s="101">
        <v>26583</v>
      </c>
      <c r="O172" s="101">
        <v>1134</v>
      </c>
      <c r="P172" s="101">
        <v>1902</v>
      </c>
      <c r="Q172" s="101">
        <v>2767</v>
      </c>
      <c r="R172" s="101">
        <v>82027.669999999984</v>
      </c>
      <c r="S172" s="101">
        <v>13406.908000000001</v>
      </c>
      <c r="T172" s="169">
        <v>1.02</v>
      </c>
      <c r="U172" s="101">
        <v>1245</v>
      </c>
      <c r="V172" s="101">
        <v>2448</v>
      </c>
      <c r="W172" s="101">
        <v>3532</v>
      </c>
      <c r="X172" s="144">
        <f t="shared" si="15"/>
        <v>83668.223399999988</v>
      </c>
      <c r="Y172" s="101">
        <v>18000</v>
      </c>
      <c r="AA172" s="101">
        <v>1219</v>
      </c>
      <c r="AB172" s="101">
        <v>1998</v>
      </c>
      <c r="AC172" s="101">
        <v>2852</v>
      </c>
      <c r="AD172" s="101">
        <v>85421</v>
      </c>
      <c r="AE172" s="101">
        <v>15481</v>
      </c>
    </row>
    <row r="173" spans="1:31" ht="11.25" hidden="1" customHeight="1" x14ac:dyDescent="0.3">
      <c r="A173" s="126" t="s">
        <v>173</v>
      </c>
      <c r="B173" s="126">
        <v>8</v>
      </c>
      <c r="C173" s="126">
        <v>18</v>
      </c>
      <c r="D173" s="126" t="str">
        <f t="shared" si="11"/>
        <v>818</v>
      </c>
      <c r="E173" s="101">
        <v>137</v>
      </c>
      <c r="F173" s="101">
        <v>254</v>
      </c>
      <c r="G173" s="101">
        <v>405</v>
      </c>
      <c r="H173" s="101">
        <v>7802.3899999999994</v>
      </c>
      <c r="I173" s="101">
        <v>1280.902</v>
      </c>
      <c r="J173" s="101">
        <v>254</v>
      </c>
      <c r="K173" s="101">
        <v>339</v>
      </c>
      <c r="L173" s="101">
        <v>465</v>
      </c>
      <c r="M173" s="101">
        <v>16232</v>
      </c>
      <c r="N173" s="101">
        <v>2677</v>
      </c>
      <c r="O173" s="101">
        <v>2446</v>
      </c>
      <c r="P173" s="101">
        <v>2590</v>
      </c>
      <c r="Q173" s="101">
        <v>4707</v>
      </c>
      <c r="R173" s="101">
        <v>109412.52</v>
      </c>
      <c r="S173" s="101">
        <v>78770.011999999973</v>
      </c>
      <c r="T173" s="169">
        <v>0.5</v>
      </c>
      <c r="U173" s="101">
        <f t="shared" si="12"/>
        <v>1223</v>
      </c>
      <c r="V173" s="101">
        <f t="shared" si="13"/>
        <v>1295</v>
      </c>
      <c r="W173" s="101">
        <f t="shared" si="14"/>
        <v>2353.5</v>
      </c>
      <c r="X173" s="101">
        <f t="shared" si="15"/>
        <v>54706.26</v>
      </c>
      <c r="Y173" s="101">
        <f t="shared" si="16"/>
        <v>39385.005999999987</v>
      </c>
      <c r="AA173" s="101">
        <v>1723</v>
      </c>
      <c r="AB173" s="101">
        <v>1902</v>
      </c>
      <c r="AC173" s="101">
        <v>2131</v>
      </c>
      <c r="AD173" s="101">
        <v>91558</v>
      </c>
      <c r="AE173" s="101">
        <v>21092</v>
      </c>
    </row>
    <row r="174" spans="1:31" ht="11.25" hidden="1" customHeight="1" x14ac:dyDescent="0.3">
      <c r="A174" s="126" t="s">
        <v>173</v>
      </c>
      <c r="B174" s="126">
        <v>8</v>
      </c>
      <c r="C174" s="126">
        <v>28</v>
      </c>
      <c r="D174" s="126" t="str">
        <f t="shared" si="11"/>
        <v>828</v>
      </c>
      <c r="E174" s="101">
        <v>233</v>
      </c>
      <c r="F174" s="101">
        <v>2332</v>
      </c>
      <c r="G174" s="101">
        <v>18955</v>
      </c>
      <c r="H174" s="101">
        <v>360140.52</v>
      </c>
      <c r="I174" s="101">
        <v>83808.514999999999</v>
      </c>
      <c r="J174" s="101">
        <v>257</v>
      </c>
      <c r="K174" s="101">
        <v>3084</v>
      </c>
      <c r="L174" s="101">
        <v>23083</v>
      </c>
      <c r="M174" s="101">
        <v>504964</v>
      </c>
      <c r="N174" s="101">
        <v>129118</v>
      </c>
      <c r="O174" s="101">
        <v>239</v>
      </c>
      <c r="P174" s="101">
        <v>3682</v>
      </c>
      <c r="Q174" s="101">
        <v>37581</v>
      </c>
      <c r="R174" s="101">
        <v>585596.77</v>
      </c>
      <c r="S174" s="101">
        <v>163332.39599999998</v>
      </c>
      <c r="T174" s="169">
        <v>1.02</v>
      </c>
      <c r="U174" s="101">
        <f t="shared" si="12"/>
        <v>243.78</v>
      </c>
      <c r="V174" s="101">
        <f t="shared" si="13"/>
        <v>3755.64</v>
      </c>
      <c r="W174" s="101">
        <f t="shared" si="14"/>
        <v>38332.620000000003</v>
      </c>
      <c r="X174" s="101">
        <f t="shared" si="15"/>
        <v>597308.70539999998</v>
      </c>
      <c r="Y174" s="101">
        <f t="shared" si="16"/>
        <v>166599.04391999997</v>
      </c>
      <c r="AA174" s="101">
        <v>345</v>
      </c>
      <c r="AB174" s="101">
        <v>5912</v>
      </c>
      <c r="AC174" s="101">
        <v>47423</v>
      </c>
      <c r="AD174" s="101">
        <v>809676</v>
      </c>
      <c r="AE174" s="101">
        <v>215756</v>
      </c>
    </row>
    <row r="175" spans="1:31" ht="11.25" hidden="1" customHeight="1" x14ac:dyDescent="0.3">
      <c r="A175" s="126" t="s">
        <v>173</v>
      </c>
      <c r="B175" s="126">
        <v>8</v>
      </c>
      <c r="C175" s="126">
        <v>46</v>
      </c>
      <c r="D175" s="126" t="str">
        <f t="shared" si="11"/>
        <v>846</v>
      </c>
      <c r="E175" s="101">
        <v>337</v>
      </c>
      <c r="F175" s="101">
        <v>703</v>
      </c>
      <c r="G175" s="101">
        <v>31342</v>
      </c>
      <c r="H175" s="101">
        <v>302584.44</v>
      </c>
      <c r="I175" s="101">
        <v>62736.468000000008</v>
      </c>
      <c r="J175" s="101">
        <v>185</v>
      </c>
      <c r="K175" s="101">
        <v>491</v>
      </c>
      <c r="L175" s="101">
        <v>25574</v>
      </c>
      <c r="M175" s="101">
        <v>302955</v>
      </c>
      <c r="N175" s="101">
        <v>71606</v>
      </c>
      <c r="O175" s="101">
        <v>225</v>
      </c>
      <c r="P175" s="101">
        <v>474</v>
      </c>
      <c r="Q175" s="101">
        <v>30039</v>
      </c>
      <c r="R175" s="101">
        <v>427904.87</v>
      </c>
      <c r="S175" s="101">
        <v>157306.17600000001</v>
      </c>
      <c r="T175" s="169">
        <v>1.02</v>
      </c>
      <c r="U175" s="101">
        <f t="shared" si="12"/>
        <v>229.5</v>
      </c>
      <c r="V175" s="101">
        <f t="shared" si="13"/>
        <v>483.48</v>
      </c>
      <c r="W175" s="101">
        <f t="shared" si="14"/>
        <v>30639.78</v>
      </c>
      <c r="X175" s="101">
        <f t="shared" si="15"/>
        <v>436462.96740000002</v>
      </c>
      <c r="Y175" s="101">
        <f t="shared" si="16"/>
        <v>160452.29952</v>
      </c>
      <c r="AA175" s="101">
        <v>290</v>
      </c>
      <c r="AB175" s="101">
        <v>680</v>
      </c>
      <c r="AC175" s="101">
        <v>22494</v>
      </c>
      <c r="AD175" s="101">
        <v>385644</v>
      </c>
      <c r="AE175" s="101">
        <v>173403</v>
      </c>
    </row>
    <row r="176" spans="1:31" ht="11.25" hidden="1" customHeight="1" x14ac:dyDescent="0.3">
      <c r="A176" s="126" t="s">
        <v>173</v>
      </c>
      <c r="B176" s="126">
        <v>8</v>
      </c>
      <c r="C176" s="126">
        <v>47</v>
      </c>
      <c r="D176" s="126" t="str">
        <f t="shared" si="11"/>
        <v>847</v>
      </c>
      <c r="E176" s="101">
        <v>4</v>
      </c>
      <c r="F176" s="101">
        <v>4</v>
      </c>
      <c r="G176" s="101">
        <v>1902</v>
      </c>
      <c r="H176" s="101">
        <v>1858</v>
      </c>
      <c r="I176" s="101">
        <v>170.19200000000001</v>
      </c>
      <c r="J176" s="101">
        <v>1</v>
      </c>
      <c r="K176" s="101">
        <v>1</v>
      </c>
      <c r="L176" s="101">
        <v>1</v>
      </c>
      <c r="M176" s="101">
        <v>0</v>
      </c>
      <c r="N176" s="101">
        <v>2</v>
      </c>
      <c r="O176" s="101">
        <v>0</v>
      </c>
      <c r="P176" s="101">
        <v>0</v>
      </c>
      <c r="Q176" s="101">
        <v>0</v>
      </c>
      <c r="R176" s="101">
        <v>0</v>
      </c>
      <c r="S176" s="101">
        <v>0</v>
      </c>
      <c r="T176" s="169">
        <v>1.02</v>
      </c>
      <c r="U176" s="101">
        <f t="shared" si="12"/>
        <v>0</v>
      </c>
      <c r="V176" s="101">
        <f t="shared" si="13"/>
        <v>0</v>
      </c>
      <c r="W176" s="101">
        <f t="shared" si="14"/>
        <v>0</v>
      </c>
      <c r="X176" s="101">
        <f t="shared" si="15"/>
        <v>0</v>
      </c>
      <c r="Y176" s="101">
        <f t="shared" si="16"/>
        <v>0</v>
      </c>
      <c r="AA176" s="101">
        <v>8</v>
      </c>
      <c r="AB176" s="101">
        <v>17</v>
      </c>
      <c r="AC176" s="101">
        <v>919</v>
      </c>
      <c r="AD176" s="101">
        <v>21195</v>
      </c>
      <c r="AE176" s="101">
        <v>7752</v>
      </c>
    </row>
    <row r="177" spans="1:31" ht="11.25" hidden="1" customHeight="1" x14ac:dyDescent="0.3">
      <c r="A177" s="126" t="s">
        <v>173</v>
      </c>
      <c r="B177" s="126">
        <v>8</v>
      </c>
      <c r="C177" s="126">
        <v>48</v>
      </c>
      <c r="D177" s="126" t="str">
        <f t="shared" si="11"/>
        <v>848</v>
      </c>
      <c r="E177" s="101">
        <v>1</v>
      </c>
      <c r="F177" s="101">
        <v>1</v>
      </c>
      <c r="G177" s="101">
        <v>1</v>
      </c>
      <c r="H177" s="101">
        <v>4.45</v>
      </c>
      <c r="I177" s="101">
        <v>1.268</v>
      </c>
      <c r="J177" s="101">
        <v>0</v>
      </c>
      <c r="K177" s="101">
        <v>0</v>
      </c>
      <c r="L177" s="101">
        <v>0</v>
      </c>
      <c r="M177" s="101">
        <v>0</v>
      </c>
      <c r="N177" s="101">
        <v>0</v>
      </c>
      <c r="O177" s="101">
        <v>0</v>
      </c>
      <c r="P177" s="101">
        <v>0</v>
      </c>
      <c r="Q177" s="101">
        <v>0</v>
      </c>
      <c r="R177" s="101">
        <v>0</v>
      </c>
      <c r="S177" s="101">
        <v>0</v>
      </c>
      <c r="T177" s="169">
        <v>1.02</v>
      </c>
      <c r="U177" s="101">
        <f t="shared" si="12"/>
        <v>0</v>
      </c>
      <c r="V177" s="101">
        <f t="shared" si="13"/>
        <v>0</v>
      </c>
      <c r="W177" s="101">
        <f t="shared" si="14"/>
        <v>0</v>
      </c>
      <c r="X177" s="101">
        <f t="shared" si="15"/>
        <v>0</v>
      </c>
      <c r="Y177" s="101">
        <f t="shared" si="16"/>
        <v>0</v>
      </c>
      <c r="AA177" s="101">
        <v>0</v>
      </c>
      <c r="AB177" s="101">
        <v>0</v>
      </c>
      <c r="AC177" s="101">
        <v>0</v>
      </c>
      <c r="AD177" s="101">
        <v>0</v>
      </c>
      <c r="AE177" s="101">
        <v>0</v>
      </c>
    </row>
    <row r="178" spans="1:31" ht="11.25" hidden="1" customHeight="1" x14ac:dyDescent="0.3">
      <c r="A178" s="126" t="s">
        <v>173</v>
      </c>
      <c r="B178" s="126">
        <v>8</v>
      </c>
      <c r="C178" s="126">
        <v>66</v>
      </c>
      <c r="D178" s="126" t="str">
        <f t="shared" si="11"/>
        <v>866</v>
      </c>
      <c r="E178" s="101">
        <v>451</v>
      </c>
      <c r="F178" s="101">
        <v>1477</v>
      </c>
      <c r="G178" s="101">
        <v>22865</v>
      </c>
      <c r="H178" s="101">
        <v>153213.64000000001</v>
      </c>
      <c r="I178" s="101">
        <v>92042.915999999997</v>
      </c>
      <c r="J178" s="101">
        <v>360</v>
      </c>
      <c r="K178" s="101">
        <v>1471</v>
      </c>
      <c r="L178" s="101">
        <v>30676</v>
      </c>
      <c r="M178" s="101">
        <v>136298</v>
      </c>
      <c r="N178" s="101">
        <v>70270</v>
      </c>
      <c r="O178" s="101">
        <v>314</v>
      </c>
      <c r="P178" s="101">
        <v>1045</v>
      </c>
      <c r="Q178" s="101">
        <v>13658</v>
      </c>
      <c r="R178" s="101">
        <v>116393.74</v>
      </c>
      <c r="S178" s="101">
        <v>65393.613999999994</v>
      </c>
      <c r="T178" s="169">
        <v>1.02</v>
      </c>
      <c r="U178" s="101">
        <f t="shared" si="12"/>
        <v>320.28000000000003</v>
      </c>
      <c r="V178" s="101">
        <f t="shared" si="13"/>
        <v>1065.9000000000001</v>
      </c>
      <c r="W178" s="101">
        <f t="shared" si="14"/>
        <v>13931.16</v>
      </c>
      <c r="X178" s="101">
        <f t="shared" si="15"/>
        <v>118721.61480000001</v>
      </c>
      <c r="Y178" s="101">
        <f t="shared" si="16"/>
        <v>66701.486279999997</v>
      </c>
      <c r="AA178" s="101">
        <v>221</v>
      </c>
      <c r="AB178" s="101">
        <v>1024</v>
      </c>
      <c r="AC178" s="101">
        <v>19933</v>
      </c>
      <c r="AD178" s="101">
        <v>120596</v>
      </c>
      <c r="AE178" s="101">
        <v>70542</v>
      </c>
    </row>
    <row r="179" spans="1:31" ht="11.25" hidden="1" customHeight="1" x14ac:dyDescent="0.3">
      <c r="A179" s="126" t="s">
        <v>173</v>
      </c>
      <c r="B179" s="126">
        <v>8</v>
      </c>
      <c r="C179" s="126">
        <v>30</v>
      </c>
      <c r="D179" s="126" t="str">
        <f t="shared" si="11"/>
        <v>830</v>
      </c>
      <c r="E179" s="101">
        <v>458.5</v>
      </c>
      <c r="F179" s="101">
        <v>3433.5</v>
      </c>
      <c r="G179" s="101">
        <v>14528.5</v>
      </c>
      <c r="H179" s="101">
        <v>384878.87999999995</v>
      </c>
      <c r="I179" s="101">
        <v>115368.538</v>
      </c>
      <c r="J179" s="101">
        <v>285</v>
      </c>
      <c r="K179" s="101">
        <v>4767</v>
      </c>
      <c r="L179" s="101">
        <v>17509</v>
      </c>
      <c r="M179" s="101">
        <v>404941</v>
      </c>
      <c r="N179" s="101">
        <v>131503</v>
      </c>
      <c r="O179" s="138"/>
      <c r="P179" s="138"/>
      <c r="Q179" s="138"/>
      <c r="R179" s="138"/>
      <c r="S179" s="138"/>
      <c r="T179" s="169">
        <v>1.02</v>
      </c>
      <c r="U179" s="101">
        <f>O179*T179</f>
        <v>0</v>
      </c>
      <c r="V179" s="101">
        <f>P179*T179</f>
        <v>0</v>
      </c>
      <c r="W179" s="101">
        <f>Q179*T179</f>
        <v>0</v>
      </c>
      <c r="X179" s="101">
        <f t="shared" si="15"/>
        <v>0</v>
      </c>
      <c r="Y179" s="101">
        <f>S179*T179</f>
        <v>0</v>
      </c>
      <c r="AA179" s="101">
        <v>78</v>
      </c>
      <c r="AB179" s="101">
        <v>117</v>
      </c>
      <c r="AC179" s="101">
        <v>2806</v>
      </c>
      <c r="AD179" s="101">
        <v>34130</v>
      </c>
      <c r="AE179" s="101">
        <v>13215</v>
      </c>
    </row>
    <row r="180" spans="1:31" ht="11.25" hidden="1" customHeight="1" x14ac:dyDescent="0.3">
      <c r="A180" s="126" t="s">
        <v>173</v>
      </c>
      <c r="B180" s="126">
        <v>8</v>
      </c>
      <c r="C180" s="126">
        <v>21</v>
      </c>
      <c r="D180" s="126" t="str">
        <f t="shared" si="11"/>
        <v>821</v>
      </c>
      <c r="E180" s="101">
        <v>1833</v>
      </c>
      <c r="F180" s="101">
        <v>5927.5</v>
      </c>
      <c r="G180" s="101">
        <v>44590</v>
      </c>
      <c r="H180" s="101">
        <v>525956.38500000001</v>
      </c>
      <c r="I180" s="101">
        <v>161812.1525</v>
      </c>
      <c r="J180" s="101">
        <v>996</v>
      </c>
      <c r="K180" s="101">
        <v>6683</v>
      </c>
      <c r="L180" s="101">
        <v>38283</v>
      </c>
      <c r="M180" s="101">
        <v>484293</v>
      </c>
      <c r="N180" s="101">
        <v>126968</v>
      </c>
      <c r="O180" s="138">
        <v>1230</v>
      </c>
      <c r="P180" s="138">
        <v>9467</v>
      </c>
      <c r="Q180" s="138">
        <v>58501</v>
      </c>
      <c r="R180" s="138">
        <v>880745.09</v>
      </c>
      <c r="S180" s="138">
        <v>369033.88099999999</v>
      </c>
      <c r="T180" s="169">
        <v>1.02</v>
      </c>
      <c r="U180" s="101">
        <f>O180*T180+71</f>
        <v>1325.6</v>
      </c>
      <c r="V180" s="101">
        <f>P180*T180+647</f>
        <v>10303.34</v>
      </c>
      <c r="W180" s="101">
        <f>Q180*T180+1960</f>
        <v>61631.020000000004</v>
      </c>
      <c r="X180" s="101">
        <f t="shared" si="15"/>
        <v>898359.99179999996</v>
      </c>
      <c r="Y180" s="101">
        <f>S180*T180+16022</f>
        <v>392436.55862000003</v>
      </c>
      <c r="AA180" s="101">
        <v>1637</v>
      </c>
      <c r="AB180" s="101">
        <v>12911</v>
      </c>
      <c r="AC180" s="101">
        <v>61297</v>
      </c>
      <c r="AD180" s="101">
        <v>1134758</v>
      </c>
      <c r="AE180" s="101">
        <v>504115</v>
      </c>
    </row>
    <row r="181" spans="1:31" ht="11.25" hidden="1" customHeight="1" x14ac:dyDescent="0.3">
      <c r="A181" s="126" t="s">
        <v>173</v>
      </c>
      <c r="B181" s="126">
        <v>8</v>
      </c>
      <c r="C181" s="126">
        <v>71</v>
      </c>
      <c r="D181" s="126" t="str">
        <f t="shared" si="11"/>
        <v>871</v>
      </c>
      <c r="E181" s="101">
        <v>850.5</v>
      </c>
      <c r="F181" s="101">
        <v>5279</v>
      </c>
      <c r="G181" s="101">
        <v>19176.5</v>
      </c>
      <c r="H181" s="101">
        <v>128105.91</v>
      </c>
      <c r="I181" s="101">
        <v>85812.986000000004</v>
      </c>
      <c r="J181" s="101">
        <v>472</v>
      </c>
      <c r="K181" s="101">
        <v>5421</v>
      </c>
      <c r="L181" s="101">
        <v>13310</v>
      </c>
      <c r="M181" s="101">
        <v>115069</v>
      </c>
      <c r="N181" s="101">
        <v>45767</v>
      </c>
      <c r="O181" s="101">
        <v>504</v>
      </c>
      <c r="P181" s="101">
        <v>6659</v>
      </c>
      <c r="Q181" s="101">
        <v>20878</v>
      </c>
      <c r="R181" s="101">
        <v>198513.86</v>
      </c>
      <c r="S181" s="101">
        <v>127930.488</v>
      </c>
      <c r="T181" s="169">
        <v>0.98</v>
      </c>
      <c r="U181" s="101">
        <f>O181*T181+54</f>
        <v>547.92000000000007</v>
      </c>
      <c r="V181" s="101">
        <f>P181*T181+891</f>
        <v>7416.82</v>
      </c>
      <c r="W181" s="101">
        <v>32954.339999999997</v>
      </c>
      <c r="X181" s="101">
        <f t="shared" si="15"/>
        <v>194543.58279999997</v>
      </c>
      <c r="Y181" s="101">
        <f>S181*T181+75019</f>
        <v>200390.87823999999</v>
      </c>
      <c r="AA181" s="101">
        <v>236</v>
      </c>
      <c r="AB181" s="101">
        <v>5642</v>
      </c>
      <c r="AC181" s="101">
        <v>16132</v>
      </c>
      <c r="AD181" s="101">
        <v>129516</v>
      </c>
      <c r="AE181" s="101">
        <v>74984</v>
      </c>
    </row>
    <row r="182" spans="1:31" ht="11.25" hidden="1" customHeight="1" x14ac:dyDescent="0.3">
      <c r="A182" s="126" t="s">
        <v>173</v>
      </c>
      <c r="B182" s="126">
        <v>8</v>
      </c>
      <c r="C182" s="126">
        <v>25</v>
      </c>
      <c r="D182" s="126" t="str">
        <f t="shared" si="11"/>
        <v>825</v>
      </c>
      <c r="E182" s="101">
        <v>856</v>
      </c>
      <c r="F182" s="101">
        <v>5862</v>
      </c>
      <c r="G182" s="101">
        <v>29609</v>
      </c>
      <c r="H182" s="101">
        <v>335460.42999999993</v>
      </c>
      <c r="I182" s="101">
        <v>134125.75700000001</v>
      </c>
      <c r="J182" s="101">
        <v>772</v>
      </c>
      <c r="K182" s="101">
        <v>6853</v>
      </c>
      <c r="L182" s="101">
        <v>29057</v>
      </c>
      <c r="M182" s="101">
        <v>373554</v>
      </c>
      <c r="N182" s="101">
        <v>153595</v>
      </c>
      <c r="O182" s="101">
        <v>832</v>
      </c>
      <c r="P182" s="101">
        <v>8376</v>
      </c>
      <c r="Q182" s="101">
        <v>63358</v>
      </c>
      <c r="R182" s="101">
        <v>658107.76000000013</v>
      </c>
      <c r="S182" s="101">
        <v>385805.72099999996</v>
      </c>
      <c r="T182" s="169">
        <v>1.02</v>
      </c>
      <c r="U182" s="101">
        <f t="shared" si="12"/>
        <v>848.64</v>
      </c>
      <c r="V182" s="101">
        <f t="shared" si="13"/>
        <v>8543.52</v>
      </c>
      <c r="W182" s="101">
        <f t="shared" si="14"/>
        <v>64625.16</v>
      </c>
      <c r="X182" s="101">
        <f t="shared" si="15"/>
        <v>671269.91520000016</v>
      </c>
      <c r="Y182" s="101">
        <f t="shared" si="16"/>
        <v>393521.83541999996</v>
      </c>
      <c r="AA182" s="101">
        <v>825</v>
      </c>
      <c r="AB182" s="101">
        <v>7639</v>
      </c>
      <c r="AC182" s="101">
        <v>57305</v>
      </c>
      <c r="AD182" s="101">
        <v>456230</v>
      </c>
      <c r="AE182" s="101">
        <v>215109</v>
      </c>
    </row>
    <row r="183" spans="1:31" ht="11.25" hidden="1" customHeight="1" x14ac:dyDescent="0.3">
      <c r="A183" s="126" t="s">
        <v>173</v>
      </c>
      <c r="B183" s="126">
        <v>8</v>
      </c>
      <c r="C183" s="126">
        <v>27</v>
      </c>
      <c r="D183" s="126" t="str">
        <f t="shared" si="11"/>
        <v>827</v>
      </c>
      <c r="E183" s="101">
        <v>100</v>
      </c>
      <c r="F183" s="101">
        <v>2238.5</v>
      </c>
      <c r="G183" s="101">
        <v>7577</v>
      </c>
      <c r="H183" s="101">
        <v>106954.41</v>
      </c>
      <c r="I183" s="101">
        <v>44144.031000000003</v>
      </c>
      <c r="J183" s="101">
        <v>63</v>
      </c>
      <c r="K183" s="101">
        <v>1436</v>
      </c>
      <c r="L183" s="101">
        <v>7095</v>
      </c>
      <c r="M183" s="101">
        <v>64637</v>
      </c>
      <c r="N183" s="101">
        <v>20332</v>
      </c>
      <c r="O183" s="101">
        <v>60</v>
      </c>
      <c r="P183" s="101">
        <v>1980</v>
      </c>
      <c r="Q183" s="101">
        <v>8675</v>
      </c>
      <c r="R183" s="101">
        <v>109945.96</v>
      </c>
      <c r="S183" s="101">
        <v>47198.722999999998</v>
      </c>
      <c r="T183" s="169">
        <v>1.02</v>
      </c>
      <c r="U183" s="101">
        <f>O183*T183+17</f>
        <v>78.2</v>
      </c>
      <c r="V183" s="101">
        <f>P183*T183+218</f>
        <v>2237.6000000000004</v>
      </c>
      <c r="W183" s="101">
        <f>Q183*T183+2898</f>
        <v>11746.5</v>
      </c>
      <c r="X183" s="101">
        <f t="shared" si="15"/>
        <v>112144.87920000001</v>
      </c>
      <c r="Y183" s="101">
        <f>S183*T183+10510</f>
        <v>58652.697459999996</v>
      </c>
      <c r="AA183" s="101">
        <v>72</v>
      </c>
      <c r="AB183" s="101">
        <v>2329</v>
      </c>
      <c r="AC183" s="101">
        <v>13992</v>
      </c>
      <c r="AD183" s="101">
        <v>127867</v>
      </c>
      <c r="AE183" s="101">
        <v>59798</v>
      </c>
    </row>
    <row r="184" spans="1:31" ht="11.25" hidden="1" customHeight="1" x14ac:dyDescent="0.3">
      <c r="A184" s="126" t="s">
        <v>173</v>
      </c>
      <c r="B184" s="126">
        <v>8</v>
      </c>
      <c r="C184" s="126">
        <v>14</v>
      </c>
      <c r="D184" s="126" t="str">
        <f t="shared" si="11"/>
        <v>814</v>
      </c>
      <c r="J184" s="101">
        <v>1</v>
      </c>
      <c r="K184" s="101">
        <v>5</v>
      </c>
      <c r="L184" s="101">
        <v>5</v>
      </c>
      <c r="M184" s="101">
        <v>426</v>
      </c>
      <c r="N184" s="101">
        <v>34</v>
      </c>
      <c r="O184" s="101">
        <v>31</v>
      </c>
      <c r="P184" s="101">
        <v>53</v>
      </c>
      <c r="Q184" s="101">
        <v>71</v>
      </c>
      <c r="R184" s="101">
        <v>3681.48</v>
      </c>
      <c r="S184" s="101">
        <v>577.54000000000008</v>
      </c>
      <c r="T184" s="169">
        <v>1.02</v>
      </c>
      <c r="U184" s="101">
        <f t="shared" si="12"/>
        <v>31.62</v>
      </c>
      <c r="V184" s="101">
        <f t="shared" si="13"/>
        <v>54.06</v>
      </c>
      <c r="W184" s="101">
        <f t="shared" si="14"/>
        <v>72.42</v>
      </c>
      <c r="X184" s="101">
        <f t="shared" si="15"/>
        <v>3755.1096000000002</v>
      </c>
      <c r="Y184" s="101">
        <f t="shared" si="16"/>
        <v>589.09080000000006</v>
      </c>
      <c r="AA184" s="101">
        <v>63</v>
      </c>
      <c r="AB184" s="101">
        <v>94</v>
      </c>
      <c r="AC184" s="101">
        <v>150</v>
      </c>
      <c r="AD184" s="101">
        <v>7935</v>
      </c>
      <c r="AE184" s="101">
        <v>1192</v>
      </c>
    </row>
    <row r="185" spans="1:31" ht="11.25" hidden="1" customHeight="1" x14ac:dyDescent="0.3">
      <c r="A185" s="126" t="s">
        <v>173</v>
      </c>
      <c r="B185" s="126">
        <v>8</v>
      </c>
      <c r="C185" s="126">
        <v>22</v>
      </c>
      <c r="D185" s="126" t="str">
        <f t="shared" si="11"/>
        <v>822</v>
      </c>
      <c r="J185" s="101">
        <v>9</v>
      </c>
      <c r="K185" s="101">
        <v>9</v>
      </c>
      <c r="L185" s="101">
        <v>92</v>
      </c>
      <c r="M185" s="101">
        <v>4859</v>
      </c>
      <c r="N185" s="101">
        <v>179</v>
      </c>
      <c r="O185" s="101">
        <v>13</v>
      </c>
      <c r="P185" s="101">
        <v>17</v>
      </c>
      <c r="Q185" s="101">
        <v>549</v>
      </c>
      <c r="R185" s="101">
        <v>1866.43</v>
      </c>
      <c r="S185" s="101">
        <v>1510.7639999999999</v>
      </c>
      <c r="T185" s="169">
        <v>1.02</v>
      </c>
      <c r="U185" s="101">
        <f t="shared" si="12"/>
        <v>13.26</v>
      </c>
      <c r="V185" s="101">
        <f t="shared" si="13"/>
        <v>17.34</v>
      </c>
      <c r="W185" s="101">
        <f t="shared" si="14"/>
        <v>559.98</v>
      </c>
      <c r="X185" s="101">
        <f t="shared" si="15"/>
        <v>1903.7586000000001</v>
      </c>
      <c r="Y185" s="101">
        <f t="shared" si="16"/>
        <v>1540.97928</v>
      </c>
      <c r="AA185" s="101">
        <v>5</v>
      </c>
      <c r="AB185" s="101">
        <v>6</v>
      </c>
      <c r="AC185" s="101">
        <v>42</v>
      </c>
      <c r="AD185" s="101">
        <v>999</v>
      </c>
      <c r="AE185" s="101">
        <v>410</v>
      </c>
    </row>
    <row r="186" spans="1:31" ht="11.25" hidden="1" customHeight="1" x14ac:dyDescent="0.3">
      <c r="A186" s="126" t="s">
        <v>173</v>
      </c>
      <c r="B186" s="126">
        <v>8</v>
      </c>
      <c r="C186" s="126">
        <v>26</v>
      </c>
      <c r="D186" s="126" t="str">
        <f t="shared" si="11"/>
        <v>826</v>
      </c>
      <c r="J186" s="101">
        <v>8</v>
      </c>
      <c r="K186" s="101">
        <v>19</v>
      </c>
      <c r="L186" s="101">
        <v>2046</v>
      </c>
      <c r="M186" s="101">
        <v>769</v>
      </c>
      <c r="N186" s="101">
        <v>1447</v>
      </c>
      <c r="O186" s="101">
        <v>4</v>
      </c>
      <c r="P186" s="101">
        <v>9</v>
      </c>
      <c r="Q186" s="101">
        <v>15</v>
      </c>
      <c r="R186" s="101">
        <v>289.39999999999998</v>
      </c>
      <c r="S186" s="101">
        <v>160.53800000000001</v>
      </c>
      <c r="T186" s="169">
        <v>1.02</v>
      </c>
      <c r="U186" s="101">
        <f t="shared" si="12"/>
        <v>4.08</v>
      </c>
      <c r="V186" s="101">
        <f t="shared" si="13"/>
        <v>9.18</v>
      </c>
      <c r="W186" s="101">
        <f t="shared" si="14"/>
        <v>15.3</v>
      </c>
      <c r="X186" s="101">
        <f t="shared" si="15"/>
        <v>295.18799999999999</v>
      </c>
      <c r="Y186" s="101">
        <f t="shared" si="16"/>
        <v>163.74876</v>
      </c>
      <c r="AA186" s="101">
        <v>6</v>
      </c>
      <c r="AB186" s="101">
        <v>29</v>
      </c>
      <c r="AC186" s="101">
        <v>240</v>
      </c>
      <c r="AD186" s="101">
        <v>2310</v>
      </c>
      <c r="AE186" s="101">
        <v>951</v>
      </c>
    </row>
    <row r="187" spans="1:31" ht="11.25" hidden="1" customHeight="1" x14ac:dyDescent="0.3">
      <c r="A187" s="126" t="s">
        <v>173</v>
      </c>
      <c r="B187" s="126">
        <v>8</v>
      </c>
      <c r="C187" s="126">
        <v>32</v>
      </c>
      <c r="D187" s="126" t="str">
        <f t="shared" si="11"/>
        <v>832</v>
      </c>
      <c r="J187" s="101">
        <v>57</v>
      </c>
      <c r="K187" s="101">
        <v>81</v>
      </c>
      <c r="L187" s="101">
        <v>3952</v>
      </c>
      <c r="M187" s="101">
        <v>11023</v>
      </c>
      <c r="N187" s="101">
        <v>16329</v>
      </c>
      <c r="O187" s="101">
        <v>117</v>
      </c>
      <c r="P187" s="101">
        <v>142</v>
      </c>
      <c r="Q187" s="101">
        <v>2355</v>
      </c>
      <c r="R187" s="101">
        <v>15924.76</v>
      </c>
      <c r="S187" s="101">
        <v>12545.085999999999</v>
      </c>
      <c r="T187" s="169">
        <v>1.02</v>
      </c>
      <c r="U187" s="101">
        <f t="shared" si="12"/>
        <v>119.34</v>
      </c>
      <c r="V187" s="101">
        <f t="shared" si="13"/>
        <v>144.84</v>
      </c>
      <c r="W187" s="101">
        <f t="shared" si="14"/>
        <v>2402.1</v>
      </c>
      <c r="X187" s="101">
        <f t="shared" si="15"/>
        <v>16243.2552</v>
      </c>
      <c r="Y187" s="101">
        <f t="shared" si="16"/>
        <v>12795.987719999999</v>
      </c>
      <c r="AA187" s="101">
        <v>45</v>
      </c>
      <c r="AB187" s="101">
        <v>110</v>
      </c>
      <c r="AC187" s="101">
        <v>1486</v>
      </c>
      <c r="AD187" s="101">
        <v>19483</v>
      </c>
      <c r="AE187" s="101">
        <v>6097</v>
      </c>
    </row>
    <row r="188" spans="1:31" ht="11.25" hidden="1" customHeight="1" x14ac:dyDescent="0.3">
      <c r="A188" s="126" t="s">
        <v>173</v>
      </c>
      <c r="B188" s="126">
        <v>8</v>
      </c>
      <c r="C188" s="126">
        <v>43</v>
      </c>
      <c r="D188" s="126" t="str">
        <f t="shared" si="11"/>
        <v>843</v>
      </c>
      <c r="J188" s="101">
        <v>0</v>
      </c>
      <c r="K188" s="101">
        <v>0</v>
      </c>
      <c r="L188" s="101">
        <v>0</v>
      </c>
      <c r="M188" s="101">
        <v>0</v>
      </c>
      <c r="N188" s="101">
        <v>0</v>
      </c>
      <c r="O188" s="101">
        <v>1</v>
      </c>
      <c r="P188" s="101">
        <v>2</v>
      </c>
      <c r="Q188" s="101">
        <v>4</v>
      </c>
      <c r="R188" s="101">
        <v>0</v>
      </c>
      <c r="S188" s="101">
        <v>22.481000000000002</v>
      </c>
      <c r="T188" s="169">
        <v>1.02</v>
      </c>
      <c r="U188" s="101">
        <f t="shared" si="12"/>
        <v>1.02</v>
      </c>
      <c r="V188" s="101">
        <f t="shared" si="13"/>
        <v>2.04</v>
      </c>
      <c r="W188" s="101">
        <f t="shared" si="14"/>
        <v>4.08</v>
      </c>
      <c r="X188" s="101">
        <f t="shared" si="15"/>
        <v>0</v>
      </c>
      <c r="Y188" s="101">
        <f t="shared" si="16"/>
        <v>22.930620000000001</v>
      </c>
      <c r="AA188" s="101">
        <v>0</v>
      </c>
      <c r="AB188" s="101">
        <v>0</v>
      </c>
      <c r="AC188" s="101">
        <v>0</v>
      </c>
      <c r="AD188" s="101">
        <v>0</v>
      </c>
      <c r="AE188" s="101">
        <v>0</v>
      </c>
    </row>
    <row r="189" spans="1:31" ht="11.25" hidden="1" customHeight="1" x14ac:dyDescent="0.3">
      <c r="A189" s="126" t="s">
        <v>173</v>
      </c>
      <c r="B189" s="126">
        <v>8</v>
      </c>
      <c r="C189" s="126">
        <v>44</v>
      </c>
      <c r="D189" s="126" t="str">
        <f t="shared" si="11"/>
        <v>844</v>
      </c>
      <c r="J189" s="101">
        <v>0</v>
      </c>
      <c r="K189" s="101">
        <v>0</v>
      </c>
      <c r="L189" s="101">
        <v>0</v>
      </c>
      <c r="M189" s="101">
        <v>0</v>
      </c>
      <c r="N189" s="101">
        <v>0</v>
      </c>
      <c r="O189" s="101">
        <v>0</v>
      </c>
      <c r="P189" s="101">
        <v>0</v>
      </c>
      <c r="Q189" s="101">
        <v>0</v>
      </c>
      <c r="R189" s="101">
        <v>0</v>
      </c>
      <c r="S189" s="101">
        <v>0</v>
      </c>
      <c r="T189" s="169">
        <v>1.02</v>
      </c>
      <c r="U189" s="101">
        <f t="shared" si="12"/>
        <v>0</v>
      </c>
      <c r="V189" s="101">
        <f t="shared" si="13"/>
        <v>0</v>
      </c>
      <c r="W189" s="101">
        <f t="shared" si="14"/>
        <v>0</v>
      </c>
      <c r="X189" s="101">
        <f t="shared" si="15"/>
        <v>0</v>
      </c>
      <c r="Y189" s="101">
        <f t="shared" si="16"/>
        <v>0</v>
      </c>
      <c r="AA189" s="101">
        <v>0</v>
      </c>
      <c r="AB189" s="101">
        <v>0</v>
      </c>
      <c r="AC189" s="101">
        <v>0</v>
      </c>
      <c r="AD189" s="101">
        <v>0</v>
      </c>
      <c r="AE189" s="101">
        <v>0</v>
      </c>
    </row>
    <row r="190" spans="1:31" ht="11.25" hidden="1" customHeight="1" x14ac:dyDescent="0.3">
      <c r="A190" s="126" t="s">
        <v>173</v>
      </c>
      <c r="B190" s="126">
        <v>8</v>
      </c>
      <c r="C190" s="126">
        <v>45</v>
      </c>
      <c r="D190" s="126" t="str">
        <f t="shared" si="11"/>
        <v>845</v>
      </c>
      <c r="J190" s="101">
        <v>1</v>
      </c>
      <c r="K190" s="101">
        <v>2</v>
      </c>
      <c r="L190" s="101">
        <v>60</v>
      </c>
      <c r="M190" s="101">
        <v>285</v>
      </c>
      <c r="N190" s="101">
        <v>9</v>
      </c>
      <c r="O190" s="101">
        <v>0</v>
      </c>
      <c r="P190" s="101">
        <v>0</v>
      </c>
      <c r="Q190" s="101">
        <v>0</v>
      </c>
      <c r="R190" s="101">
        <v>0</v>
      </c>
      <c r="S190" s="101">
        <v>0</v>
      </c>
      <c r="T190" s="169">
        <v>1.02</v>
      </c>
      <c r="U190" s="101">
        <f t="shared" si="12"/>
        <v>0</v>
      </c>
      <c r="V190" s="101">
        <f t="shared" si="13"/>
        <v>0</v>
      </c>
      <c r="W190" s="101">
        <f t="shared" si="14"/>
        <v>0</v>
      </c>
      <c r="X190" s="101">
        <f t="shared" si="15"/>
        <v>0</v>
      </c>
      <c r="Y190" s="101">
        <f t="shared" si="16"/>
        <v>0</v>
      </c>
      <c r="AA190" s="101">
        <v>0</v>
      </c>
      <c r="AB190" s="101">
        <v>0</v>
      </c>
      <c r="AC190" s="101">
        <v>0</v>
      </c>
      <c r="AD190" s="101">
        <v>0</v>
      </c>
      <c r="AE190" s="101">
        <v>0</v>
      </c>
    </row>
    <row r="191" spans="1:31" ht="11.25" hidden="1" customHeight="1" x14ac:dyDescent="0.3">
      <c r="A191" s="126" t="s">
        <v>173</v>
      </c>
      <c r="B191" s="126">
        <v>8</v>
      </c>
      <c r="C191" s="126">
        <v>91</v>
      </c>
      <c r="D191" s="126" t="str">
        <f t="shared" si="11"/>
        <v>891</v>
      </c>
      <c r="J191" s="101">
        <v>57</v>
      </c>
      <c r="K191" s="101">
        <v>248</v>
      </c>
      <c r="L191" s="101">
        <v>1066</v>
      </c>
      <c r="M191" s="101">
        <v>6048</v>
      </c>
      <c r="N191" s="101">
        <v>2980</v>
      </c>
      <c r="O191" s="101">
        <v>38</v>
      </c>
      <c r="P191" s="101">
        <v>125</v>
      </c>
      <c r="Q191" s="101">
        <v>813</v>
      </c>
      <c r="R191" s="101">
        <v>5573.95</v>
      </c>
      <c r="S191" s="101">
        <v>3392.826</v>
      </c>
      <c r="T191" s="169">
        <v>1.02</v>
      </c>
      <c r="U191" s="101">
        <f t="shared" si="12"/>
        <v>38.76</v>
      </c>
      <c r="V191" s="101">
        <f t="shared" si="13"/>
        <v>127.5</v>
      </c>
      <c r="W191" s="101">
        <f t="shared" si="14"/>
        <v>829.26</v>
      </c>
      <c r="X191" s="101">
        <f t="shared" si="15"/>
        <v>5685.4290000000001</v>
      </c>
      <c r="Y191" s="101">
        <f t="shared" si="16"/>
        <v>3460.6825200000003</v>
      </c>
      <c r="AA191" s="101">
        <v>41</v>
      </c>
      <c r="AB191" s="101">
        <v>107</v>
      </c>
      <c r="AC191" s="101">
        <v>685</v>
      </c>
      <c r="AD191" s="101">
        <v>6046</v>
      </c>
      <c r="AE191" s="101">
        <v>1773</v>
      </c>
    </row>
    <row r="192" spans="1:31" ht="11.25" hidden="1" customHeight="1" x14ac:dyDescent="0.3">
      <c r="A192" s="126" t="s">
        <v>173</v>
      </c>
      <c r="B192" s="126">
        <v>8</v>
      </c>
      <c r="C192" s="126">
        <v>34</v>
      </c>
      <c r="D192" s="126" t="str">
        <f t="shared" si="11"/>
        <v>834</v>
      </c>
      <c r="O192" s="101">
        <v>1</v>
      </c>
      <c r="P192" s="101">
        <v>2</v>
      </c>
      <c r="Q192" s="101">
        <v>100</v>
      </c>
      <c r="R192" s="101">
        <v>334</v>
      </c>
      <c r="S192" s="101">
        <v>1.3049999999999999</v>
      </c>
      <c r="T192" s="169">
        <v>1.02</v>
      </c>
      <c r="U192" s="101">
        <f t="shared" si="12"/>
        <v>1.02</v>
      </c>
      <c r="V192" s="101">
        <f t="shared" si="13"/>
        <v>2.04</v>
      </c>
      <c r="W192" s="101">
        <f t="shared" si="14"/>
        <v>102</v>
      </c>
      <c r="X192" s="101">
        <f t="shared" si="15"/>
        <v>340.68</v>
      </c>
      <c r="Y192" s="101">
        <f t="shared" si="16"/>
        <v>1.3310999999999999</v>
      </c>
      <c r="AA192" s="101">
        <v>0</v>
      </c>
      <c r="AB192" s="101">
        <v>0</v>
      </c>
      <c r="AC192" s="101">
        <v>0</v>
      </c>
      <c r="AD192" s="101">
        <v>0</v>
      </c>
      <c r="AE192" s="101">
        <v>0</v>
      </c>
    </row>
    <row r="193" spans="1:31" ht="11.25" hidden="1" customHeight="1" x14ac:dyDescent="0.3">
      <c r="A193" s="126" t="s">
        <v>173</v>
      </c>
      <c r="B193" s="126">
        <v>8</v>
      </c>
      <c r="C193" s="126">
        <v>41</v>
      </c>
      <c r="D193" s="126" t="str">
        <f t="shared" si="11"/>
        <v>841</v>
      </c>
      <c r="O193" s="101">
        <v>3</v>
      </c>
      <c r="P193" s="101">
        <v>5</v>
      </c>
      <c r="Q193" s="101">
        <v>76</v>
      </c>
      <c r="R193" s="101">
        <v>407.55</v>
      </c>
      <c r="S193" s="101">
        <v>148.56299999999999</v>
      </c>
      <c r="T193" s="169">
        <v>1.02</v>
      </c>
      <c r="U193" s="101">
        <f t="shared" si="12"/>
        <v>3.06</v>
      </c>
      <c r="V193" s="101">
        <f t="shared" si="13"/>
        <v>5.0999999999999996</v>
      </c>
      <c r="W193" s="101">
        <f t="shared" si="14"/>
        <v>77.52</v>
      </c>
      <c r="X193" s="101">
        <f t="shared" si="15"/>
        <v>415.70100000000002</v>
      </c>
      <c r="Y193" s="101">
        <f t="shared" si="16"/>
        <v>151.53425999999999</v>
      </c>
      <c r="AA193" s="101">
        <v>0</v>
      </c>
      <c r="AB193" s="101">
        <v>0</v>
      </c>
      <c r="AC193" s="101">
        <v>0</v>
      </c>
      <c r="AD193" s="101">
        <v>0</v>
      </c>
      <c r="AE193" s="101">
        <v>0</v>
      </c>
    </row>
    <row r="194" spans="1:31" ht="11.25" customHeight="1" x14ac:dyDescent="0.3">
      <c r="A194" s="126" t="s">
        <v>173</v>
      </c>
      <c r="B194" s="126">
        <v>8</v>
      </c>
      <c r="C194" s="126" t="s">
        <v>172</v>
      </c>
      <c r="D194" s="126" t="str">
        <f t="shared" si="11"/>
        <v>8Uml</v>
      </c>
      <c r="J194" s="101">
        <v>194</v>
      </c>
      <c r="K194" s="101">
        <v>194</v>
      </c>
      <c r="L194" s="101">
        <v>152787</v>
      </c>
      <c r="N194" s="101">
        <v>427811</v>
      </c>
      <c r="O194" s="101">
        <v>283</v>
      </c>
      <c r="P194" s="101">
        <v>292</v>
      </c>
      <c r="Q194" s="101">
        <v>91537</v>
      </c>
      <c r="S194" s="101">
        <v>282553</v>
      </c>
      <c r="T194" s="169">
        <v>1.02</v>
      </c>
      <c r="U194" s="101">
        <f t="shared" si="12"/>
        <v>288.66000000000003</v>
      </c>
      <c r="V194" s="101">
        <f t="shared" si="13"/>
        <v>297.84000000000003</v>
      </c>
      <c r="W194" s="101">
        <f t="shared" si="14"/>
        <v>93367.74</v>
      </c>
      <c r="X194" s="101">
        <f t="shared" si="15"/>
        <v>0</v>
      </c>
      <c r="Y194" s="101">
        <f t="shared" si="16"/>
        <v>288204.06</v>
      </c>
      <c r="AA194" s="101">
        <v>468</v>
      </c>
      <c r="AB194" s="101">
        <v>477</v>
      </c>
      <c r="AC194" s="101">
        <v>157783</v>
      </c>
      <c r="AE194" s="101">
        <v>391109.217</v>
      </c>
    </row>
    <row r="195" spans="1:31" ht="11.25" hidden="1" customHeight="1" x14ac:dyDescent="0.3">
      <c r="A195" s="126" t="s">
        <v>173</v>
      </c>
      <c r="B195" s="126">
        <v>8</v>
      </c>
      <c r="C195" s="126">
        <v>37</v>
      </c>
      <c r="D195" s="126" t="str">
        <f t="shared" si="11"/>
        <v>837</v>
      </c>
      <c r="E195" s="101">
        <v>8.5</v>
      </c>
      <c r="F195" s="101">
        <v>28</v>
      </c>
      <c r="G195" s="101">
        <v>3355.75</v>
      </c>
      <c r="H195" s="101">
        <v>37741.735000000001</v>
      </c>
      <c r="I195" s="101">
        <v>6497.8895000000002</v>
      </c>
      <c r="J195" s="101">
        <v>40</v>
      </c>
      <c r="K195" s="101">
        <v>128</v>
      </c>
      <c r="L195" s="101">
        <v>1473</v>
      </c>
      <c r="M195" s="101">
        <v>8768</v>
      </c>
      <c r="N195" s="101">
        <v>3466</v>
      </c>
      <c r="O195" s="101">
        <v>35</v>
      </c>
      <c r="P195" s="101">
        <v>138</v>
      </c>
      <c r="Q195" s="101">
        <v>8103</v>
      </c>
      <c r="R195" s="101">
        <v>22273.309999999998</v>
      </c>
      <c r="S195" s="101">
        <v>27205.324000000001</v>
      </c>
      <c r="T195" s="169">
        <v>1.02</v>
      </c>
      <c r="U195" s="101">
        <f t="shared" si="12"/>
        <v>35.700000000000003</v>
      </c>
      <c r="V195" s="101">
        <f t="shared" si="13"/>
        <v>140.76</v>
      </c>
      <c r="W195" s="101">
        <f t="shared" si="14"/>
        <v>8265.06</v>
      </c>
      <c r="X195" s="101">
        <f t="shared" si="15"/>
        <v>22718.776199999997</v>
      </c>
      <c r="Y195" s="101">
        <f t="shared" si="16"/>
        <v>27749.430480000003</v>
      </c>
      <c r="AA195" s="101">
        <v>47</v>
      </c>
      <c r="AB195" s="101">
        <v>150</v>
      </c>
      <c r="AC195" s="101">
        <v>2958</v>
      </c>
      <c r="AD195" s="101">
        <v>16364</v>
      </c>
      <c r="AE195" s="101">
        <v>7960</v>
      </c>
    </row>
    <row r="196" spans="1:31" ht="11.25" hidden="1" customHeight="1" x14ac:dyDescent="0.3">
      <c r="A196" s="126" t="s">
        <v>173</v>
      </c>
      <c r="B196" s="126">
        <v>9</v>
      </c>
      <c r="C196" s="126">
        <v>12</v>
      </c>
      <c r="D196" s="126" t="str">
        <f t="shared" si="11"/>
        <v>912</v>
      </c>
      <c r="E196" s="101">
        <v>52</v>
      </c>
      <c r="F196" s="101">
        <v>69</v>
      </c>
      <c r="G196" s="101">
        <v>103</v>
      </c>
      <c r="H196" s="101">
        <v>2371.92</v>
      </c>
      <c r="I196" s="101">
        <v>419.411</v>
      </c>
      <c r="J196" s="101">
        <v>23</v>
      </c>
      <c r="K196" s="101">
        <v>44</v>
      </c>
      <c r="L196" s="101">
        <v>52</v>
      </c>
      <c r="M196" s="101">
        <v>1324</v>
      </c>
      <c r="N196" s="101">
        <v>397</v>
      </c>
      <c r="O196" s="101">
        <v>26</v>
      </c>
      <c r="P196" s="101">
        <v>44</v>
      </c>
      <c r="Q196" s="101">
        <v>54</v>
      </c>
      <c r="R196" s="101">
        <v>1813.66</v>
      </c>
      <c r="S196" s="101">
        <v>303.54399999999998</v>
      </c>
      <c r="T196" s="169">
        <v>1.02</v>
      </c>
      <c r="U196" s="101">
        <f t="shared" si="12"/>
        <v>26.52</v>
      </c>
      <c r="V196" s="101">
        <f t="shared" si="13"/>
        <v>44.88</v>
      </c>
      <c r="W196" s="101">
        <f t="shared" si="14"/>
        <v>55.08</v>
      </c>
      <c r="X196" s="101">
        <f t="shared" si="15"/>
        <v>1849.9332000000002</v>
      </c>
      <c r="Y196" s="101">
        <f t="shared" si="16"/>
        <v>309.61487999999997</v>
      </c>
      <c r="AA196" s="101">
        <v>11</v>
      </c>
      <c r="AB196" s="101">
        <v>13</v>
      </c>
      <c r="AC196" s="101">
        <v>14</v>
      </c>
      <c r="AD196" s="101">
        <v>506</v>
      </c>
      <c r="AE196" s="101">
        <v>89</v>
      </c>
    </row>
    <row r="197" spans="1:31" ht="11.25" hidden="1" customHeight="1" x14ac:dyDescent="0.3">
      <c r="A197" s="126" t="s">
        <v>173</v>
      </c>
      <c r="B197" s="126">
        <v>9</v>
      </c>
      <c r="C197" s="126">
        <v>17</v>
      </c>
      <c r="D197" s="126" t="str">
        <f t="shared" si="11"/>
        <v>917</v>
      </c>
      <c r="E197" s="101">
        <v>1424</v>
      </c>
      <c r="F197" s="101">
        <v>2458</v>
      </c>
      <c r="G197" s="101">
        <v>3973</v>
      </c>
      <c r="H197" s="101">
        <v>80493.89</v>
      </c>
      <c r="I197" s="101">
        <v>13203.154999999999</v>
      </c>
      <c r="J197" s="101">
        <v>2413</v>
      </c>
      <c r="K197" s="101">
        <v>3251</v>
      </c>
      <c r="L197" s="101">
        <v>4543</v>
      </c>
      <c r="M197" s="101">
        <v>164505</v>
      </c>
      <c r="N197" s="101">
        <v>29128</v>
      </c>
      <c r="O197" s="101">
        <v>1108</v>
      </c>
      <c r="P197" s="101">
        <v>1824</v>
      </c>
      <c r="Q197" s="101">
        <v>2541</v>
      </c>
      <c r="R197" s="101">
        <v>89925.200000000012</v>
      </c>
      <c r="S197" s="101">
        <v>13661.624</v>
      </c>
      <c r="T197" s="169">
        <v>1.02</v>
      </c>
      <c r="U197" s="101">
        <v>1245</v>
      </c>
      <c r="V197" s="101">
        <v>2448</v>
      </c>
      <c r="W197" s="101">
        <v>3532</v>
      </c>
      <c r="X197" s="144">
        <f t="shared" si="15"/>
        <v>91723.704000000012</v>
      </c>
      <c r="Y197" s="101">
        <v>18000</v>
      </c>
      <c r="AA197" s="101">
        <v>1433</v>
      </c>
      <c r="AB197" s="101">
        <v>2143</v>
      </c>
      <c r="AC197" s="101">
        <v>3092</v>
      </c>
      <c r="AD197" s="101">
        <v>101640</v>
      </c>
      <c r="AE197" s="101">
        <v>19249</v>
      </c>
    </row>
    <row r="198" spans="1:31" ht="11.25" hidden="1" customHeight="1" x14ac:dyDescent="0.3">
      <c r="A198" s="126" t="s">
        <v>173</v>
      </c>
      <c r="B198" s="126">
        <v>9</v>
      </c>
      <c r="C198" s="126">
        <v>18</v>
      </c>
      <c r="D198" s="126" t="str">
        <f t="shared" si="11"/>
        <v>918</v>
      </c>
      <c r="E198" s="101">
        <v>113</v>
      </c>
      <c r="F198" s="101">
        <v>197</v>
      </c>
      <c r="G198" s="101">
        <v>399</v>
      </c>
      <c r="H198" s="101">
        <v>6634.0999999999995</v>
      </c>
      <c r="I198" s="101">
        <v>1235.6300000000001</v>
      </c>
      <c r="J198" s="101">
        <v>224</v>
      </c>
      <c r="K198" s="101">
        <v>325</v>
      </c>
      <c r="L198" s="101">
        <v>426</v>
      </c>
      <c r="M198" s="101">
        <v>17857</v>
      </c>
      <c r="N198" s="101">
        <v>3433</v>
      </c>
      <c r="O198" s="101">
        <v>2616</v>
      </c>
      <c r="P198" s="101">
        <v>2764</v>
      </c>
      <c r="Q198" s="101">
        <v>3080</v>
      </c>
      <c r="R198" s="101">
        <v>117196.06999999999</v>
      </c>
      <c r="S198" s="101">
        <v>30887.985000000001</v>
      </c>
      <c r="T198" s="169">
        <v>0.5</v>
      </c>
      <c r="U198" s="101">
        <f t="shared" ref="U198:U261" si="17">O198*T198</f>
        <v>1308</v>
      </c>
      <c r="V198" s="101">
        <f t="shared" ref="V198:V261" si="18">P198*T198</f>
        <v>1382</v>
      </c>
      <c r="W198" s="101">
        <f t="shared" ref="W198:W261" si="19">Q198*T198</f>
        <v>1540</v>
      </c>
      <c r="X198" s="101">
        <f t="shared" ref="X198:X261" si="20">R198*T198</f>
        <v>58598.034999999996</v>
      </c>
      <c r="Y198" s="101">
        <f t="shared" ref="Y198:Y261" si="21">S198*T198</f>
        <v>15443.9925</v>
      </c>
      <c r="AA198" s="101">
        <v>1811</v>
      </c>
      <c r="AB198" s="101">
        <v>1989</v>
      </c>
      <c r="AC198" s="101">
        <v>6389</v>
      </c>
      <c r="AD198" s="101">
        <v>113170</v>
      </c>
      <c r="AE198" s="101">
        <v>112266</v>
      </c>
    </row>
    <row r="199" spans="1:31" ht="11.25" hidden="1" customHeight="1" x14ac:dyDescent="0.3">
      <c r="A199" s="126" t="s">
        <v>173</v>
      </c>
      <c r="B199" s="126">
        <v>9</v>
      </c>
      <c r="C199" s="126">
        <v>28</v>
      </c>
      <c r="D199" s="126" t="str">
        <f t="shared" si="11"/>
        <v>928</v>
      </c>
      <c r="E199" s="101">
        <v>175</v>
      </c>
      <c r="F199" s="101">
        <v>564</v>
      </c>
      <c r="G199" s="101">
        <v>8853</v>
      </c>
      <c r="H199" s="101">
        <v>123048.97</v>
      </c>
      <c r="I199" s="101">
        <v>85602.607000000004</v>
      </c>
      <c r="J199" s="101">
        <v>230</v>
      </c>
      <c r="K199" s="101">
        <v>3106</v>
      </c>
      <c r="L199" s="101">
        <v>23065</v>
      </c>
      <c r="M199" s="101">
        <v>393278</v>
      </c>
      <c r="N199" s="101">
        <v>174370</v>
      </c>
      <c r="O199" s="101">
        <v>274</v>
      </c>
      <c r="P199" s="101">
        <v>3651</v>
      </c>
      <c r="Q199" s="101">
        <v>28273</v>
      </c>
      <c r="R199" s="101">
        <v>394856.18000000005</v>
      </c>
      <c r="S199" s="101">
        <v>95417.805999999997</v>
      </c>
      <c r="T199" s="169">
        <v>1.02</v>
      </c>
      <c r="U199" s="101">
        <f t="shared" si="17"/>
        <v>279.48</v>
      </c>
      <c r="V199" s="101">
        <f t="shared" si="18"/>
        <v>3724.02</v>
      </c>
      <c r="W199" s="101">
        <f t="shared" si="19"/>
        <v>28838.46</v>
      </c>
      <c r="X199" s="101">
        <f t="shared" si="20"/>
        <v>402753.30360000004</v>
      </c>
      <c r="Y199" s="101">
        <f t="shared" si="21"/>
        <v>97326.162119999994</v>
      </c>
      <c r="AA199" s="101">
        <v>289</v>
      </c>
      <c r="AB199" s="101">
        <v>4556</v>
      </c>
      <c r="AC199" s="101">
        <v>28833</v>
      </c>
      <c r="AD199" s="101">
        <v>590993</v>
      </c>
      <c r="AE199" s="101">
        <v>148730</v>
      </c>
    </row>
    <row r="200" spans="1:31" ht="11.25" hidden="1" customHeight="1" x14ac:dyDescent="0.3">
      <c r="A200" s="126" t="s">
        <v>173</v>
      </c>
      <c r="B200" s="126">
        <v>9</v>
      </c>
      <c r="C200" s="126">
        <v>46</v>
      </c>
      <c r="D200" s="126" t="str">
        <f t="shared" si="11"/>
        <v>946</v>
      </c>
      <c r="E200" s="101">
        <v>336</v>
      </c>
      <c r="F200" s="101">
        <v>702</v>
      </c>
      <c r="G200" s="101">
        <v>14312</v>
      </c>
      <c r="H200" s="101">
        <v>231668.77</v>
      </c>
      <c r="I200" s="101">
        <v>62741.591999999997</v>
      </c>
      <c r="J200" s="101">
        <v>223</v>
      </c>
      <c r="K200" s="101">
        <v>578</v>
      </c>
      <c r="L200" s="101">
        <v>16648</v>
      </c>
      <c r="M200" s="101">
        <v>190996</v>
      </c>
      <c r="N200" s="101">
        <v>59045</v>
      </c>
      <c r="O200" s="101">
        <v>273</v>
      </c>
      <c r="P200" s="101">
        <v>589</v>
      </c>
      <c r="Q200" s="101">
        <v>16297</v>
      </c>
      <c r="R200" s="101">
        <v>274010.53000000003</v>
      </c>
      <c r="S200" s="101">
        <v>58968.153000000006</v>
      </c>
      <c r="T200" s="169">
        <v>1.02</v>
      </c>
      <c r="U200" s="101">
        <f t="shared" si="17"/>
        <v>278.45999999999998</v>
      </c>
      <c r="V200" s="101">
        <f t="shared" si="18"/>
        <v>600.78</v>
      </c>
      <c r="W200" s="101">
        <f t="shared" si="19"/>
        <v>16622.939999999999</v>
      </c>
      <c r="X200" s="101">
        <f t="shared" si="20"/>
        <v>279490.74060000002</v>
      </c>
      <c r="Y200" s="101">
        <f t="shared" si="21"/>
        <v>60147.516060000009</v>
      </c>
      <c r="AA200" s="101">
        <v>298</v>
      </c>
      <c r="AB200" s="101">
        <v>604</v>
      </c>
      <c r="AC200" s="101">
        <v>13128</v>
      </c>
      <c r="AD200" s="101">
        <v>263398</v>
      </c>
      <c r="AE200" s="101">
        <v>85567</v>
      </c>
    </row>
    <row r="201" spans="1:31" ht="11.25" hidden="1" customHeight="1" x14ac:dyDescent="0.3">
      <c r="A201" s="126" t="s">
        <v>173</v>
      </c>
      <c r="B201" s="126">
        <v>9</v>
      </c>
      <c r="C201" s="126">
        <v>48</v>
      </c>
      <c r="D201" s="126" t="str">
        <f t="shared" si="11"/>
        <v>948</v>
      </c>
      <c r="E201" s="101">
        <v>2</v>
      </c>
      <c r="F201" s="101">
        <v>2</v>
      </c>
      <c r="G201" s="101">
        <v>55</v>
      </c>
      <c r="H201" s="101">
        <v>839.25</v>
      </c>
      <c r="I201" s="101">
        <v>860.04</v>
      </c>
      <c r="J201" s="101">
        <v>1</v>
      </c>
      <c r="K201" s="101">
        <v>1</v>
      </c>
      <c r="L201" s="101">
        <v>19</v>
      </c>
      <c r="M201" s="101">
        <v>386</v>
      </c>
      <c r="N201" s="101">
        <v>56</v>
      </c>
      <c r="O201" s="101">
        <v>0</v>
      </c>
      <c r="P201" s="101">
        <v>0</v>
      </c>
      <c r="Q201" s="101">
        <v>0</v>
      </c>
      <c r="R201" s="101">
        <v>0</v>
      </c>
      <c r="S201" s="101">
        <v>0</v>
      </c>
      <c r="T201" s="169">
        <v>1.02</v>
      </c>
      <c r="U201" s="101">
        <f t="shared" si="17"/>
        <v>0</v>
      </c>
      <c r="V201" s="101">
        <f t="shared" si="18"/>
        <v>0</v>
      </c>
      <c r="W201" s="101">
        <f t="shared" si="19"/>
        <v>0</v>
      </c>
      <c r="X201" s="101">
        <f t="shared" si="20"/>
        <v>0</v>
      </c>
      <c r="Y201" s="101">
        <f t="shared" si="21"/>
        <v>0</v>
      </c>
      <c r="AA201" s="101">
        <v>0</v>
      </c>
      <c r="AB201" s="101">
        <v>0</v>
      </c>
      <c r="AC201" s="101">
        <v>0</v>
      </c>
      <c r="AD201" s="101">
        <v>0</v>
      </c>
      <c r="AE201" s="101">
        <v>0</v>
      </c>
    </row>
    <row r="202" spans="1:31" ht="11.25" hidden="1" customHeight="1" x14ac:dyDescent="0.3">
      <c r="A202" s="126" t="s">
        <v>173</v>
      </c>
      <c r="B202" s="126">
        <v>9</v>
      </c>
      <c r="C202" s="126">
        <v>66</v>
      </c>
      <c r="D202" s="126" t="str">
        <f t="shared" si="11"/>
        <v>966</v>
      </c>
      <c r="E202" s="101">
        <v>465</v>
      </c>
      <c r="F202" s="101">
        <v>1288</v>
      </c>
      <c r="G202" s="101">
        <v>22119</v>
      </c>
      <c r="H202" s="101">
        <v>140379.60999999999</v>
      </c>
      <c r="I202" s="101">
        <v>91544.532000000007</v>
      </c>
      <c r="J202" s="101">
        <v>320</v>
      </c>
      <c r="K202" s="101">
        <v>1412</v>
      </c>
      <c r="L202" s="101">
        <v>16910</v>
      </c>
      <c r="M202" s="101">
        <v>124436</v>
      </c>
      <c r="N202" s="101">
        <v>72666</v>
      </c>
      <c r="O202" s="101">
        <v>353</v>
      </c>
      <c r="P202" s="101">
        <v>1033</v>
      </c>
      <c r="Q202" s="101">
        <v>19133</v>
      </c>
      <c r="R202" s="101">
        <v>131720.56</v>
      </c>
      <c r="S202" s="101">
        <v>71447.718999999983</v>
      </c>
      <c r="T202" s="169">
        <v>1.02</v>
      </c>
      <c r="U202" s="101">
        <f t="shared" si="17"/>
        <v>360.06</v>
      </c>
      <c r="V202" s="101">
        <f t="shared" si="18"/>
        <v>1053.6600000000001</v>
      </c>
      <c r="W202" s="101">
        <f t="shared" si="19"/>
        <v>19515.66</v>
      </c>
      <c r="X202" s="101">
        <f t="shared" si="20"/>
        <v>134354.9712</v>
      </c>
      <c r="Y202" s="101">
        <f t="shared" si="21"/>
        <v>72876.673379999978</v>
      </c>
      <c r="AA202" s="101">
        <v>174</v>
      </c>
      <c r="AB202" s="101">
        <v>1373</v>
      </c>
      <c r="AC202" s="101">
        <v>37981</v>
      </c>
      <c r="AD202" s="101">
        <v>162445</v>
      </c>
      <c r="AE202" s="101">
        <v>82014</v>
      </c>
    </row>
    <row r="203" spans="1:31" ht="11.25" hidden="1" customHeight="1" x14ac:dyDescent="0.3">
      <c r="A203" s="126" t="s">
        <v>173</v>
      </c>
      <c r="B203" s="126">
        <v>9</v>
      </c>
      <c r="C203" s="126">
        <v>30</v>
      </c>
      <c r="D203" s="126" t="str">
        <f t="shared" si="11"/>
        <v>930</v>
      </c>
      <c r="E203" s="101">
        <v>742</v>
      </c>
      <c r="F203" s="101">
        <v>7542</v>
      </c>
      <c r="G203" s="101">
        <v>31994.5</v>
      </c>
      <c r="H203" s="101">
        <v>639973.26500000001</v>
      </c>
      <c r="I203" s="101">
        <v>197307.13150000002</v>
      </c>
      <c r="J203" s="101">
        <v>268</v>
      </c>
      <c r="K203" s="101">
        <v>4134</v>
      </c>
      <c r="L203" s="101">
        <v>15873</v>
      </c>
      <c r="M203" s="101">
        <v>395770</v>
      </c>
      <c r="N203" s="101">
        <v>130856</v>
      </c>
      <c r="O203" s="138"/>
      <c r="P203" s="138"/>
      <c r="Q203" s="138"/>
      <c r="R203" s="138"/>
      <c r="S203" s="138"/>
      <c r="T203" s="169">
        <v>1.02</v>
      </c>
      <c r="U203" s="101">
        <f t="shared" si="17"/>
        <v>0</v>
      </c>
      <c r="V203" s="101">
        <f t="shared" si="18"/>
        <v>0</v>
      </c>
      <c r="W203" s="101">
        <f t="shared" si="19"/>
        <v>0</v>
      </c>
      <c r="X203" s="101">
        <f t="shared" si="20"/>
        <v>0</v>
      </c>
      <c r="Y203" s="101">
        <f t="shared" si="21"/>
        <v>0</v>
      </c>
      <c r="AA203" s="101">
        <v>73</v>
      </c>
      <c r="AB203" s="101">
        <v>88</v>
      </c>
      <c r="AC203" s="101">
        <v>710</v>
      </c>
      <c r="AD203" s="101">
        <v>73758</v>
      </c>
      <c r="AE203" s="101">
        <v>26214</v>
      </c>
    </row>
    <row r="204" spans="1:31" ht="11.25" hidden="1" customHeight="1" x14ac:dyDescent="0.3">
      <c r="A204" s="126" t="s">
        <v>173</v>
      </c>
      <c r="B204" s="126">
        <v>9</v>
      </c>
      <c r="C204" s="126">
        <v>21</v>
      </c>
      <c r="D204" s="126" t="str">
        <f t="shared" si="11"/>
        <v>921</v>
      </c>
      <c r="E204" s="101">
        <v>1850</v>
      </c>
      <c r="F204" s="101">
        <v>6274</v>
      </c>
      <c r="G204" s="101">
        <v>34717.5</v>
      </c>
      <c r="H204" s="101">
        <v>557822.41</v>
      </c>
      <c r="I204" s="101">
        <v>130821.069</v>
      </c>
      <c r="J204" s="101">
        <v>736</v>
      </c>
      <c r="K204" s="101">
        <v>4693</v>
      </c>
      <c r="L204" s="101">
        <v>29693</v>
      </c>
      <c r="M204" s="101">
        <v>430526</v>
      </c>
      <c r="N204" s="101">
        <v>98599</v>
      </c>
      <c r="O204" s="138">
        <v>1175</v>
      </c>
      <c r="P204" s="138">
        <v>8481</v>
      </c>
      <c r="Q204" s="138">
        <v>42454</v>
      </c>
      <c r="R204" s="138">
        <v>471907.54000000004</v>
      </c>
      <c r="S204" s="138">
        <v>145265.48200000002</v>
      </c>
      <c r="T204" s="169">
        <v>1.02</v>
      </c>
      <c r="U204" s="101">
        <f t="shared" si="17"/>
        <v>1198.5</v>
      </c>
      <c r="V204" s="101">
        <f t="shared" si="18"/>
        <v>8650.6200000000008</v>
      </c>
      <c r="W204" s="101">
        <f t="shared" si="19"/>
        <v>43303.08</v>
      </c>
      <c r="X204" s="101">
        <f t="shared" si="20"/>
        <v>481345.69080000004</v>
      </c>
      <c r="Y204" s="101">
        <f t="shared" si="21"/>
        <v>148170.79164000001</v>
      </c>
      <c r="AA204" s="101">
        <v>1040</v>
      </c>
      <c r="AB204" s="101">
        <v>8307</v>
      </c>
      <c r="AC204" s="101">
        <v>45909</v>
      </c>
      <c r="AD204" s="101">
        <v>690859</v>
      </c>
      <c r="AE204" s="101">
        <v>332396</v>
      </c>
    </row>
    <row r="205" spans="1:31" ht="11.25" hidden="1" customHeight="1" x14ac:dyDescent="0.3">
      <c r="A205" s="126" t="s">
        <v>173</v>
      </c>
      <c r="B205" s="126">
        <v>9</v>
      </c>
      <c r="C205" s="126">
        <v>71</v>
      </c>
      <c r="D205" s="126" t="str">
        <f t="shared" si="11"/>
        <v>971</v>
      </c>
      <c r="E205" s="101">
        <v>939.5</v>
      </c>
      <c r="F205" s="101">
        <v>6274</v>
      </c>
      <c r="G205" s="101">
        <v>19619.5</v>
      </c>
      <c r="H205" s="101">
        <v>134762.55499999999</v>
      </c>
      <c r="I205" s="101">
        <v>74004.531499999997</v>
      </c>
      <c r="J205" s="101">
        <v>342</v>
      </c>
      <c r="K205" s="101">
        <v>4341</v>
      </c>
      <c r="L205" s="101">
        <v>11031</v>
      </c>
      <c r="M205" s="101">
        <v>92426</v>
      </c>
      <c r="N205" s="101">
        <v>45748</v>
      </c>
      <c r="O205" s="101">
        <v>485</v>
      </c>
      <c r="P205" s="101">
        <v>7493</v>
      </c>
      <c r="Q205" s="101">
        <v>30528</v>
      </c>
      <c r="R205" s="101">
        <v>205573.88</v>
      </c>
      <c r="S205" s="101">
        <v>103532.40500000001</v>
      </c>
      <c r="T205" s="169">
        <v>0.98</v>
      </c>
      <c r="U205" s="101">
        <f>O205*T205-54</f>
        <v>421.3</v>
      </c>
      <c r="V205" s="101">
        <f>P205*T205-891</f>
        <v>6452.1399999999994</v>
      </c>
      <c r="W205" s="101">
        <v>19993.84</v>
      </c>
      <c r="X205" s="101">
        <f t="shared" si="20"/>
        <v>201462.40239999999</v>
      </c>
      <c r="Y205" s="101">
        <f>S205*T205-75019</f>
        <v>26442.756900000008</v>
      </c>
      <c r="AA205" s="101">
        <v>370</v>
      </c>
      <c r="AB205" s="101">
        <v>6178</v>
      </c>
      <c r="AC205" s="101">
        <v>26445</v>
      </c>
      <c r="AD205" s="101">
        <v>245755</v>
      </c>
      <c r="AE205" s="101">
        <v>162228</v>
      </c>
    </row>
    <row r="206" spans="1:31" ht="11.25" hidden="1" customHeight="1" x14ac:dyDescent="0.3">
      <c r="A206" s="126" t="s">
        <v>173</v>
      </c>
      <c r="B206" s="126">
        <v>9</v>
      </c>
      <c r="C206" s="126">
        <v>25</v>
      </c>
      <c r="D206" s="126" t="str">
        <f t="shared" si="11"/>
        <v>925</v>
      </c>
      <c r="E206" s="101">
        <v>1091</v>
      </c>
      <c r="F206" s="101">
        <v>5900</v>
      </c>
      <c r="G206" s="101">
        <v>26761</v>
      </c>
      <c r="H206" s="101">
        <v>391252.52</v>
      </c>
      <c r="I206" s="101">
        <v>165001.39299999998</v>
      </c>
      <c r="J206" s="101">
        <v>876</v>
      </c>
      <c r="K206" s="101">
        <v>7790</v>
      </c>
      <c r="L206" s="101">
        <v>34324</v>
      </c>
      <c r="M206" s="101">
        <v>396128</v>
      </c>
      <c r="N206" s="101">
        <v>179838</v>
      </c>
      <c r="O206" s="101">
        <v>978</v>
      </c>
      <c r="P206" s="101">
        <v>6840</v>
      </c>
      <c r="Q206" s="101">
        <v>38933</v>
      </c>
      <c r="R206" s="101">
        <v>607643.42000000004</v>
      </c>
      <c r="S206" s="101">
        <v>340381.13800000004</v>
      </c>
      <c r="T206" s="169">
        <v>1.02</v>
      </c>
      <c r="U206" s="101">
        <f t="shared" si="17"/>
        <v>997.56000000000006</v>
      </c>
      <c r="V206" s="101">
        <f t="shared" si="18"/>
        <v>6976.8</v>
      </c>
      <c r="W206" s="101">
        <f t="shared" si="19"/>
        <v>39711.660000000003</v>
      </c>
      <c r="X206" s="101">
        <f t="shared" si="20"/>
        <v>619796.28840000008</v>
      </c>
      <c r="Y206" s="101">
        <f t="shared" si="21"/>
        <v>347188.76076000003</v>
      </c>
      <c r="AA206" s="101">
        <v>818</v>
      </c>
      <c r="AB206" s="101">
        <v>6482</v>
      </c>
      <c r="AC206" s="101">
        <v>25197</v>
      </c>
      <c r="AD206" s="101">
        <v>321045</v>
      </c>
      <c r="AE206" s="101">
        <v>179558</v>
      </c>
    </row>
    <row r="207" spans="1:31" ht="11.25" hidden="1" customHeight="1" x14ac:dyDescent="0.3">
      <c r="A207" s="126" t="s">
        <v>173</v>
      </c>
      <c r="B207" s="126">
        <v>9</v>
      </c>
      <c r="C207" s="126">
        <v>14</v>
      </c>
      <c r="D207" s="126" t="str">
        <f t="shared" si="11"/>
        <v>914</v>
      </c>
      <c r="J207" s="101">
        <v>1</v>
      </c>
      <c r="K207" s="101">
        <v>2</v>
      </c>
      <c r="L207" s="101">
        <v>3</v>
      </c>
      <c r="M207" s="101">
        <v>398</v>
      </c>
      <c r="N207" s="101">
        <v>52</v>
      </c>
      <c r="O207" s="101">
        <v>30</v>
      </c>
      <c r="P207" s="101">
        <v>39</v>
      </c>
      <c r="Q207" s="101">
        <v>53</v>
      </c>
      <c r="R207" s="101">
        <v>2527.4</v>
      </c>
      <c r="S207" s="101">
        <v>270.48599999999999</v>
      </c>
      <c r="T207" s="169">
        <v>1.02</v>
      </c>
      <c r="U207" s="101">
        <f t="shared" si="17"/>
        <v>30.6</v>
      </c>
      <c r="V207" s="101">
        <f t="shared" si="18"/>
        <v>39.78</v>
      </c>
      <c r="W207" s="101">
        <f t="shared" si="19"/>
        <v>54.06</v>
      </c>
      <c r="X207" s="101">
        <f t="shared" si="20"/>
        <v>2577.9480000000003</v>
      </c>
      <c r="Y207" s="101">
        <f t="shared" si="21"/>
        <v>275.89571999999998</v>
      </c>
      <c r="AA207" s="101">
        <v>110</v>
      </c>
      <c r="AB207" s="101">
        <v>132</v>
      </c>
      <c r="AC207" s="101">
        <v>189</v>
      </c>
      <c r="AD207" s="101">
        <v>6500</v>
      </c>
      <c r="AE207" s="101">
        <v>860</v>
      </c>
    </row>
    <row r="208" spans="1:31" ht="11.25" hidden="1" customHeight="1" x14ac:dyDescent="0.3">
      <c r="A208" s="126" t="s">
        <v>173</v>
      </c>
      <c r="B208" s="126">
        <v>9</v>
      </c>
      <c r="C208" s="126">
        <v>22</v>
      </c>
      <c r="D208" s="126" t="str">
        <f t="shared" si="11"/>
        <v>922</v>
      </c>
      <c r="J208" s="101">
        <v>2</v>
      </c>
      <c r="K208" s="101">
        <v>2</v>
      </c>
      <c r="L208" s="101">
        <v>2</v>
      </c>
      <c r="M208" s="101">
        <v>0</v>
      </c>
      <c r="N208" s="101">
        <v>54</v>
      </c>
      <c r="O208" s="101">
        <v>17</v>
      </c>
      <c r="P208" s="101">
        <v>36</v>
      </c>
      <c r="Q208" s="101">
        <v>359</v>
      </c>
      <c r="R208" s="101">
        <v>12129.43</v>
      </c>
      <c r="S208" s="101">
        <v>7487.6509999999998</v>
      </c>
      <c r="T208" s="169">
        <v>1.02</v>
      </c>
      <c r="U208" s="101">
        <f t="shared" si="17"/>
        <v>17.34</v>
      </c>
      <c r="V208" s="101">
        <f t="shared" si="18"/>
        <v>36.72</v>
      </c>
      <c r="W208" s="101">
        <f t="shared" si="19"/>
        <v>366.18</v>
      </c>
      <c r="X208" s="101">
        <f t="shared" si="20"/>
        <v>12372.018600000001</v>
      </c>
      <c r="Y208" s="101">
        <f t="shared" si="21"/>
        <v>7637.4040199999999</v>
      </c>
      <c r="AA208" s="101">
        <v>8</v>
      </c>
      <c r="AB208" s="101">
        <v>8</v>
      </c>
      <c r="AC208" s="101">
        <v>45</v>
      </c>
      <c r="AD208" s="101">
        <v>181</v>
      </c>
      <c r="AE208" s="101">
        <v>127</v>
      </c>
    </row>
    <row r="209" spans="1:31" ht="11.25" hidden="1" customHeight="1" x14ac:dyDescent="0.3">
      <c r="A209" s="126" t="s">
        <v>173</v>
      </c>
      <c r="B209" s="126">
        <v>9</v>
      </c>
      <c r="C209" s="126">
        <v>26</v>
      </c>
      <c r="D209" s="126" t="str">
        <f t="shared" si="11"/>
        <v>926</v>
      </c>
      <c r="J209" s="101">
        <v>12</v>
      </c>
      <c r="K209" s="101">
        <v>30</v>
      </c>
      <c r="L209" s="101">
        <v>174</v>
      </c>
      <c r="M209" s="101">
        <v>3435</v>
      </c>
      <c r="N209" s="101">
        <v>1194</v>
      </c>
      <c r="O209" s="101">
        <v>18</v>
      </c>
      <c r="P209" s="101">
        <v>48</v>
      </c>
      <c r="Q209" s="101">
        <v>128</v>
      </c>
      <c r="R209" s="101">
        <v>3545.71</v>
      </c>
      <c r="S209" s="101">
        <v>1013.5650000000001</v>
      </c>
      <c r="T209" s="169">
        <v>1.02</v>
      </c>
      <c r="U209" s="101">
        <f t="shared" si="17"/>
        <v>18.36</v>
      </c>
      <c r="V209" s="101">
        <f t="shared" si="18"/>
        <v>48.96</v>
      </c>
      <c r="W209" s="101">
        <f t="shared" si="19"/>
        <v>130.56</v>
      </c>
      <c r="X209" s="101">
        <f t="shared" si="20"/>
        <v>3616.6242000000002</v>
      </c>
      <c r="Y209" s="101">
        <f t="shared" si="21"/>
        <v>1033.8363000000002</v>
      </c>
      <c r="AA209" s="101">
        <v>2</v>
      </c>
      <c r="AB209" s="101">
        <v>4</v>
      </c>
      <c r="AC209" s="101">
        <v>28</v>
      </c>
      <c r="AD209" s="101">
        <v>838</v>
      </c>
      <c r="AE209" s="101">
        <v>132</v>
      </c>
    </row>
    <row r="210" spans="1:31" ht="11.25" hidden="1" customHeight="1" x14ac:dyDescent="0.3">
      <c r="A210" s="126" t="s">
        <v>173</v>
      </c>
      <c r="B210" s="126">
        <v>9</v>
      </c>
      <c r="C210" s="126">
        <v>32</v>
      </c>
      <c r="D210" s="126" t="str">
        <f t="shared" si="11"/>
        <v>932</v>
      </c>
      <c r="J210" s="101">
        <v>57</v>
      </c>
      <c r="K210" s="101">
        <v>89</v>
      </c>
      <c r="L210" s="101">
        <v>1149</v>
      </c>
      <c r="M210" s="101">
        <v>16911</v>
      </c>
      <c r="N210" s="101">
        <v>9593</v>
      </c>
      <c r="O210" s="101">
        <v>71</v>
      </c>
      <c r="P210" s="101">
        <v>215</v>
      </c>
      <c r="Q210" s="101">
        <v>4508</v>
      </c>
      <c r="R210" s="101">
        <v>50036.7</v>
      </c>
      <c r="S210" s="101">
        <v>12388.516</v>
      </c>
      <c r="T210" s="169">
        <v>1.02</v>
      </c>
      <c r="U210" s="101">
        <f t="shared" si="17"/>
        <v>72.42</v>
      </c>
      <c r="V210" s="101">
        <f t="shared" si="18"/>
        <v>219.3</v>
      </c>
      <c r="W210" s="101">
        <f t="shared" si="19"/>
        <v>4598.16</v>
      </c>
      <c r="X210" s="101">
        <f t="shared" si="20"/>
        <v>51037.434000000001</v>
      </c>
      <c r="Y210" s="101">
        <f t="shared" si="21"/>
        <v>12636.286319999999</v>
      </c>
      <c r="AA210" s="101">
        <v>52</v>
      </c>
      <c r="AB210" s="101">
        <v>70</v>
      </c>
      <c r="AC210" s="101">
        <v>1107</v>
      </c>
      <c r="AD210" s="101">
        <v>3222</v>
      </c>
      <c r="AE210" s="101">
        <v>1375</v>
      </c>
    </row>
    <row r="211" spans="1:31" ht="11.25" hidden="1" customHeight="1" x14ac:dyDescent="0.3">
      <c r="A211" s="126" t="s">
        <v>173</v>
      </c>
      <c r="B211" s="126">
        <v>9</v>
      </c>
      <c r="C211" s="126">
        <v>43</v>
      </c>
      <c r="D211" s="126" t="str">
        <f t="shared" si="11"/>
        <v>943</v>
      </c>
      <c r="J211" s="101">
        <v>0</v>
      </c>
      <c r="K211" s="101">
        <v>0</v>
      </c>
      <c r="L211" s="101">
        <v>0</v>
      </c>
      <c r="M211" s="101">
        <v>0</v>
      </c>
      <c r="N211" s="101">
        <v>0</v>
      </c>
      <c r="O211" s="101">
        <v>1</v>
      </c>
      <c r="P211" s="101">
        <v>2</v>
      </c>
      <c r="Q211" s="101">
        <v>4</v>
      </c>
      <c r="R211" s="101">
        <v>0</v>
      </c>
      <c r="S211" s="101">
        <v>22.481000000000002</v>
      </c>
      <c r="T211" s="169">
        <v>1.02</v>
      </c>
      <c r="U211" s="101">
        <f t="shared" si="17"/>
        <v>1.02</v>
      </c>
      <c r="V211" s="101">
        <f t="shared" si="18"/>
        <v>2.04</v>
      </c>
      <c r="W211" s="101">
        <f t="shared" si="19"/>
        <v>4.08</v>
      </c>
      <c r="X211" s="101">
        <f t="shared" si="20"/>
        <v>0</v>
      </c>
      <c r="Y211" s="101">
        <f t="shared" si="21"/>
        <v>22.930620000000001</v>
      </c>
      <c r="AA211" s="101">
        <v>0</v>
      </c>
      <c r="AB211" s="101">
        <v>0</v>
      </c>
      <c r="AC211" s="101">
        <v>0</v>
      </c>
      <c r="AD211" s="101">
        <v>0</v>
      </c>
      <c r="AE211" s="101">
        <v>0</v>
      </c>
    </row>
    <row r="212" spans="1:31" ht="11.25" hidden="1" customHeight="1" x14ac:dyDescent="0.3">
      <c r="A212" s="126" t="s">
        <v>173</v>
      </c>
      <c r="B212" s="126">
        <v>9</v>
      </c>
      <c r="C212" s="126">
        <v>44</v>
      </c>
      <c r="D212" s="126" t="str">
        <f t="shared" si="11"/>
        <v>944</v>
      </c>
      <c r="J212" s="101">
        <v>2</v>
      </c>
      <c r="K212" s="101">
        <v>12</v>
      </c>
      <c r="L212" s="101">
        <v>245</v>
      </c>
      <c r="M212" s="101">
        <v>0</v>
      </c>
      <c r="N212" s="101">
        <v>282</v>
      </c>
      <c r="O212" s="101">
        <v>1</v>
      </c>
      <c r="P212" s="101">
        <v>1</v>
      </c>
      <c r="Q212" s="101">
        <v>5</v>
      </c>
      <c r="R212" s="101">
        <v>0</v>
      </c>
      <c r="S212" s="101">
        <v>7.8090000000000002</v>
      </c>
      <c r="T212" s="169">
        <v>1.02</v>
      </c>
      <c r="U212" s="101">
        <f t="shared" si="17"/>
        <v>1.02</v>
      </c>
      <c r="V212" s="101">
        <f t="shared" si="18"/>
        <v>1.02</v>
      </c>
      <c r="W212" s="101">
        <f t="shared" si="19"/>
        <v>5.0999999999999996</v>
      </c>
      <c r="X212" s="101">
        <f t="shared" si="20"/>
        <v>0</v>
      </c>
      <c r="Y212" s="101">
        <f t="shared" si="21"/>
        <v>7.9651800000000001</v>
      </c>
      <c r="AA212" s="101">
        <v>0</v>
      </c>
      <c r="AB212" s="101">
        <v>0</v>
      </c>
      <c r="AC212" s="101">
        <v>0</v>
      </c>
      <c r="AD212" s="101">
        <v>0</v>
      </c>
      <c r="AE212" s="101">
        <v>0</v>
      </c>
    </row>
    <row r="213" spans="1:31" ht="11.25" hidden="1" customHeight="1" x14ac:dyDescent="0.3">
      <c r="A213" s="126" t="s">
        <v>173</v>
      </c>
      <c r="B213" s="126">
        <v>9</v>
      </c>
      <c r="C213" s="126">
        <v>45</v>
      </c>
      <c r="D213" s="126" t="str">
        <f t="shared" si="11"/>
        <v>945</v>
      </c>
      <c r="J213" s="101">
        <v>0</v>
      </c>
      <c r="K213" s="101">
        <v>0</v>
      </c>
      <c r="L213" s="101">
        <v>0</v>
      </c>
      <c r="M213" s="101">
        <v>0</v>
      </c>
      <c r="N213" s="101">
        <v>0</v>
      </c>
      <c r="O213" s="101">
        <v>0</v>
      </c>
      <c r="P213" s="101">
        <v>0</v>
      </c>
      <c r="Q213" s="101">
        <v>0</v>
      </c>
      <c r="R213" s="101">
        <v>0</v>
      </c>
      <c r="S213" s="101">
        <v>0</v>
      </c>
      <c r="T213" s="169">
        <v>1.02</v>
      </c>
      <c r="U213" s="101">
        <f t="shared" si="17"/>
        <v>0</v>
      </c>
      <c r="V213" s="101">
        <f t="shared" si="18"/>
        <v>0</v>
      </c>
      <c r="W213" s="101">
        <f t="shared" si="19"/>
        <v>0</v>
      </c>
      <c r="X213" s="101">
        <f t="shared" si="20"/>
        <v>0</v>
      </c>
      <c r="Y213" s="101">
        <f t="shared" si="21"/>
        <v>0</v>
      </c>
      <c r="AA213" s="101">
        <v>0</v>
      </c>
      <c r="AB213" s="101">
        <v>0</v>
      </c>
      <c r="AC213" s="101">
        <v>0</v>
      </c>
      <c r="AD213" s="101">
        <v>0</v>
      </c>
      <c r="AE213" s="101">
        <v>0</v>
      </c>
    </row>
    <row r="214" spans="1:31" ht="11.25" hidden="1" customHeight="1" x14ac:dyDescent="0.3">
      <c r="A214" s="126" t="s">
        <v>173</v>
      </c>
      <c r="B214" s="126">
        <v>9</v>
      </c>
      <c r="C214" s="126">
        <v>47</v>
      </c>
      <c r="D214" s="126" t="str">
        <f t="shared" si="11"/>
        <v>947</v>
      </c>
      <c r="J214" s="101">
        <v>0</v>
      </c>
      <c r="K214" s="101">
        <v>0</v>
      </c>
      <c r="L214" s="101">
        <v>0</v>
      </c>
      <c r="M214" s="101">
        <v>0</v>
      </c>
      <c r="N214" s="101">
        <v>0</v>
      </c>
      <c r="O214" s="101">
        <v>0</v>
      </c>
      <c r="P214" s="101">
        <v>0</v>
      </c>
      <c r="Q214" s="101">
        <v>0</v>
      </c>
      <c r="R214" s="101">
        <v>0</v>
      </c>
      <c r="S214" s="101">
        <v>0</v>
      </c>
      <c r="T214" s="169">
        <v>1.02</v>
      </c>
      <c r="U214" s="101">
        <f t="shared" si="17"/>
        <v>0</v>
      </c>
      <c r="V214" s="101">
        <f t="shared" si="18"/>
        <v>0</v>
      </c>
      <c r="W214" s="101">
        <f t="shared" si="19"/>
        <v>0</v>
      </c>
      <c r="X214" s="101">
        <f t="shared" si="20"/>
        <v>0</v>
      </c>
      <c r="Y214" s="101">
        <f t="shared" si="21"/>
        <v>0</v>
      </c>
      <c r="AA214" s="101">
        <v>4</v>
      </c>
      <c r="AB214" s="101">
        <v>7</v>
      </c>
      <c r="AC214" s="101">
        <v>490</v>
      </c>
      <c r="AD214" s="101">
        <v>7735</v>
      </c>
      <c r="AE214" s="101">
        <v>4821</v>
      </c>
    </row>
    <row r="215" spans="1:31" ht="11.25" hidden="1" customHeight="1" x14ac:dyDescent="0.3">
      <c r="A215" s="126" t="s">
        <v>173</v>
      </c>
      <c r="B215" s="126">
        <v>9</v>
      </c>
      <c r="C215" s="126">
        <v>91</v>
      </c>
      <c r="D215" s="126" t="str">
        <f t="shared" si="11"/>
        <v>991</v>
      </c>
      <c r="J215" s="101">
        <v>59</v>
      </c>
      <c r="K215" s="101">
        <v>156</v>
      </c>
      <c r="L215" s="101">
        <v>741</v>
      </c>
      <c r="M215" s="101">
        <v>6088</v>
      </c>
      <c r="N215" s="101">
        <v>2796</v>
      </c>
      <c r="O215" s="101">
        <v>37</v>
      </c>
      <c r="P215" s="101">
        <v>86</v>
      </c>
      <c r="Q215" s="101">
        <v>564</v>
      </c>
      <c r="R215" s="101">
        <v>4156.88</v>
      </c>
      <c r="S215" s="101">
        <v>2320.6590000000001</v>
      </c>
      <c r="T215" s="169">
        <v>1.02</v>
      </c>
      <c r="U215" s="101">
        <f t="shared" si="17"/>
        <v>37.74</v>
      </c>
      <c r="V215" s="101">
        <f t="shared" si="18"/>
        <v>87.72</v>
      </c>
      <c r="W215" s="101">
        <f t="shared" si="19"/>
        <v>575.28</v>
      </c>
      <c r="X215" s="101">
        <f t="shared" si="20"/>
        <v>4240.0176000000001</v>
      </c>
      <c r="Y215" s="101">
        <f t="shared" si="21"/>
        <v>2367.0721800000001</v>
      </c>
      <c r="AA215" s="101">
        <v>33</v>
      </c>
      <c r="AB215" s="101">
        <v>54</v>
      </c>
      <c r="AC215" s="101">
        <v>556</v>
      </c>
      <c r="AD215" s="101">
        <v>3088</v>
      </c>
      <c r="AE215" s="101">
        <v>1060</v>
      </c>
    </row>
    <row r="216" spans="1:31" ht="11.25" hidden="1" customHeight="1" x14ac:dyDescent="0.3">
      <c r="A216" s="126" t="s">
        <v>173</v>
      </c>
      <c r="B216" s="126">
        <v>9</v>
      </c>
      <c r="C216" s="126">
        <v>27</v>
      </c>
      <c r="D216" s="126" t="str">
        <f t="shared" si="11"/>
        <v>927</v>
      </c>
      <c r="E216" s="101">
        <v>161</v>
      </c>
      <c r="F216" s="101">
        <v>1625</v>
      </c>
      <c r="G216" s="101">
        <v>6750</v>
      </c>
      <c r="H216" s="101">
        <v>74825.31</v>
      </c>
      <c r="I216" s="101">
        <v>33112.556000000004</v>
      </c>
      <c r="J216" s="101">
        <v>46</v>
      </c>
      <c r="K216" s="101">
        <v>1437</v>
      </c>
      <c r="L216" s="101">
        <v>5648</v>
      </c>
      <c r="M216" s="101">
        <v>64499</v>
      </c>
      <c r="N216" s="101">
        <v>24818</v>
      </c>
      <c r="O216" s="101">
        <v>91</v>
      </c>
      <c r="P216" s="101">
        <v>2662</v>
      </c>
      <c r="Q216" s="101">
        <v>13188</v>
      </c>
      <c r="R216" s="101">
        <v>97746.07</v>
      </c>
      <c r="S216" s="101">
        <v>44490.313000000002</v>
      </c>
      <c r="T216" s="169">
        <v>1.02</v>
      </c>
      <c r="U216" s="101">
        <f>O216*T216-17</f>
        <v>75.820000000000007</v>
      </c>
      <c r="V216" s="101">
        <f>P216*T216-218</f>
        <v>2497.2400000000002</v>
      </c>
      <c r="W216" s="101">
        <f>Q216*T216-2898</f>
        <v>10553.76</v>
      </c>
      <c r="X216" s="101">
        <f t="shared" si="20"/>
        <v>99700.991400000014</v>
      </c>
      <c r="Y216" s="101">
        <f>S216*T216-10510</f>
        <v>34870.119259999999</v>
      </c>
      <c r="AA216" s="101">
        <v>92</v>
      </c>
      <c r="AB216" s="101">
        <v>2009</v>
      </c>
      <c r="AC216" s="101">
        <v>14261</v>
      </c>
      <c r="AD216" s="101">
        <v>158302</v>
      </c>
      <c r="AE216" s="101">
        <v>79567</v>
      </c>
    </row>
    <row r="217" spans="1:31" ht="11.25" hidden="1" customHeight="1" x14ac:dyDescent="0.3">
      <c r="A217" s="126" t="s">
        <v>173</v>
      </c>
      <c r="B217" s="126">
        <v>9</v>
      </c>
      <c r="C217" s="126">
        <v>34</v>
      </c>
      <c r="D217" s="126" t="str">
        <f t="shared" si="11"/>
        <v>934</v>
      </c>
      <c r="O217" s="101">
        <v>1</v>
      </c>
      <c r="P217" s="101">
        <v>7</v>
      </c>
      <c r="Q217" s="101">
        <v>8</v>
      </c>
      <c r="R217" s="101">
        <v>0</v>
      </c>
      <c r="S217" s="101">
        <v>5.2489999999999997</v>
      </c>
      <c r="T217" s="169">
        <v>1.02</v>
      </c>
      <c r="U217" s="101">
        <f t="shared" si="17"/>
        <v>1.02</v>
      </c>
      <c r="V217" s="101">
        <f t="shared" si="18"/>
        <v>7.1400000000000006</v>
      </c>
      <c r="W217" s="101">
        <f t="shared" si="19"/>
        <v>8.16</v>
      </c>
      <c r="X217" s="101">
        <f t="shared" si="20"/>
        <v>0</v>
      </c>
      <c r="Y217" s="101">
        <f t="shared" si="21"/>
        <v>5.35398</v>
      </c>
      <c r="AA217" s="101">
        <v>4</v>
      </c>
      <c r="AB217" s="101">
        <v>12</v>
      </c>
      <c r="AC217" s="101">
        <v>118</v>
      </c>
      <c r="AD217" s="101">
        <v>431</v>
      </c>
      <c r="AE217" s="101">
        <v>151</v>
      </c>
    </row>
    <row r="218" spans="1:31" ht="11.25" hidden="1" customHeight="1" x14ac:dyDescent="0.3">
      <c r="A218" s="126" t="s">
        <v>173</v>
      </c>
      <c r="B218" s="126">
        <v>9</v>
      </c>
      <c r="C218" s="126">
        <v>41</v>
      </c>
      <c r="D218" s="126" t="str">
        <f t="shared" si="11"/>
        <v>941</v>
      </c>
      <c r="O218" s="101">
        <v>1</v>
      </c>
      <c r="P218" s="101">
        <v>1</v>
      </c>
      <c r="Q218" s="101">
        <v>2</v>
      </c>
      <c r="R218" s="101">
        <v>12.92</v>
      </c>
      <c r="S218" s="101">
        <v>1.835</v>
      </c>
      <c r="T218" s="169">
        <v>1.02</v>
      </c>
      <c r="U218" s="101">
        <f t="shared" si="17"/>
        <v>1.02</v>
      </c>
      <c r="V218" s="101">
        <f t="shared" si="18"/>
        <v>1.02</v>
      </c>
      <c r="W218" s="101">
        <f t="shared" si="19"/>
        <v>2.04</v>
      </c>
      <c r="X218" s="101">
        <f t="shared" si="20"/>
        <v>13.1784</v>
      </c>
      <c r="Y218" s="101">
        <f t="shared" si="21"/>
        <v>1.8716999999999999</v>
      </c>
      <c r="AA218" s="101">
        <v>1</v>
      </c>
      <c r="AB218" s="101">
        <v>1</v>
      </c>
      <c r="AC218" s="101">
        <v>2</v>
      </c>
      <c r="AD218" s="101">
        <v>39</v>
      </c>
      <c r="AE218" s="101">
        <v>14</v>
      </c>
    </row>
    <row r="219" spans="1:31" ht="11.25" customHeight="1" x14ac:dyDescent="0.3">
      <c r="A219" s="126" t="s">
        <v>173</v>
      </c>
      <c r="B219" s="126">
        <v>9</v>
      </c>
      <c r="C219" s="126" t="s">
        <v>172</v>
      </c>
      <c r="D219" s="126" t="str">
        <f t="shared" si="11"/>
        <v>9Uml</v>
      </c>
      <c r="J219" s="101">
        <v>329</v>
      </c>
      <c r="K219" s="101">
        <v>329</v>
      </c>
      <c r="L219" s="101">
        <v>161397</v>
      </c>
      <c r="N219" s="101">
        <v>608602</v>
      </c>
      <c r="O219" s="101">
        <v>284</v>
      </c>
      <c r="P219" s="101">
        <v>293</v>
      </c>
      <c r="Q219" s="101">
        <v>109539</v>
      </c>
      <c r="S219" s="101">
        <v>333752.10800000001</v>
      </c>
      <c r="T219" s="169">
        <v>1.02</v>
      </c>
      <c r="U219" s="101">
        <f t="shared" si="17"/>
        <v>289.68</v>
      </c>
      <c r="V219" s="101">
        <f t="shared" si="18"/>
        <v>298.86</v>
      </c>
      <c r="W219" s="101">
        <f t="shared" si="19"/>
        <v>111729.78</v>
      </c>
      <c r="X219" s="101">
        <f t="shared" si="20"/>
        <v>0</v>
      </c>
      <c r="Y219" s="101">
        <f t="shared" si="21"/>
        <v>340427.15016000002</v>
      </c>
      <c r="AA219" s="101">
        <v>316</v>
      </c>
      <c r="AB219" s="101">
        <v>326</v>
      </c>
      <c r="AC219" s="101">
        <v>119579</v>
      </c>
      <c r="AE219" s="101">
        <v>273797.16600000003</v>
      </c>
    </row>
    <row r="220" spans="1:31" ht="11.25" hidden="1" customHeight="1" x14ac:dyDescent="0.3">
      <c r="A220" s="126" t="s">
        <v>173</v>
      </c>
      <c r="B220" s="126">
        <v>9</v>
      </c>
      <c r="C220" s="126">
        <v>37</v>
      </c>
      <c r="D220" s="126" t="str">
        <f t="shared" si="11"/>
        <v>937</v>
      </c>
      <c r="E220" s="101">
        <v>9.5</v>
      </c>
      <c r="F220" s="101">
        <v>44.75</v>
      </c>
      <c r="G220" s="101">
        <v>1027.5</v>
      </c>
      <c r="H220" s="101">
        <v>5752.6774999999998</v>
      </c>
      <c r="I220" s="101">
        <v>3533.0162500000001</v>
      </c>
      <c r="J220" s="101">
        <v>22</v>
      </c>
      <c r="K220" s="101">
        <v>42</v>
      </c>
      <c r="L220" s="101">
        <v>1160</v>
      </c>
      <c r="M220" s="101">
        <v>5674</v>
      </c>
      <c r="N220" s="101">
        <v>2081</v>
      </c>
      <c r="O220" s="101">
        <v>30</v>
      </c>
      <c r="P220" s="101">
        <v>106</v>
      </c>
      <c r="Q220" s="101">
        <v>3485</v>
      </c>
      <c r="R220" s="101">
        <v>25747.73</v>
      </c>
      <c r="S220" s="101">
        <v>11147.275</v>
      </c>
      <c r="T220" s="169">
        <v>1.02</v>
      </c>
      <c r="U220" s="101">
        <f t="shared" si="17"/>
        <v>30.6</v>
      </c>
      <c r="V220" s="101">
        <f t="shared" si="18"/>
        <v>108.12</v>
      </c>
      <c r="W220" s="101">
        <f t="shared" si="19"/>
        <v>3554.7000000000003</v>
      </c>
      <c r="X220" s="101">
        <f t="shared" si="20"/>
        <v>26262.684600000001</v>
      </c>
      <c r="Y220" s="101">
        <f t="shared" si="21"/>
        <v>11370.220499999999</v>
      </c>
      <c r="AA220" s="101">
        <v>34</v>
      </c>
      <c r="AB220" s="101">
        <v>120</v>
      </c>
      <c r="AC220" s="101">
        <v>2740</v>
      </c>
      <c r="AD220" s="101">
        <v>21962</v>
      </c>
      <c r="AE220" s="101">
        <v>9155</v>
      </c>
    </row>
    <row r="221" spans="1:31" ht="11.25" hidden="1" customHeight="1" x14ac:dyDescent="0.3">
      <c r="A221" s="126" t="s">
        <v>174</v>
      </c>
      <c r="B221" s="126">
        <v>10</v>
      </c>
      <c r="C221" s="126">
        <v>12</v>
      </c>
      <c r="D221" s="126" t="str">
        <f t="shared" si="11"/>
        <v>1012</v>
      </c>
      <c r="E221" s="101">
        <v>70</v>
      </c>
      <c r="F221" s="101">
        <v>99</v>
      </c>
      <c r="G221" s="101">
        <v>170</v>
      </c>
      <c r="H221" s="101">
        <v>3620.5899999999997</v>
      </c>
      <c r="I221" s="101">
        <v>944.21699999999987</v>
      </c>
      <c r="J221" s="101">
        <v>14</v>
      </c>
      <c r="K221" s="101">
        <v>20</v>
      </c>
      <c r="L221" s="101">
        <v>23</v>
      </c>
      <c r="M221" s="101">
        <v>527</v>
      </c>
      <c r="N221" s="101">
        <v>91</v>
      </c>
      <c r="O221" s="101">
        <v>9</v>
      </c>
      <c r="P221" s="101">
        <v>13</v>
      </c>
      <c r="Q221" s="101">
        <v>14</v>
      </c>
      <c r="R221" s="101">
        <v>464.97</v>
      </c>
      <c r="S221" s="101">
        <v>129.738</v>
      </c>
      <c r="T221" s="169">
        <v>0.25</v>
      </c>
      <c r="U221" s="101">
        <f t="shared" si="17"/>
        <v>2.25</v>
      </c>
      <c r="V221" s="101">
        <f t="shared" si="18"/>
        <v>3.25</v>
      </c>
      <c r="W221" s="101">
        <f t="shared" si="19"/>
        <v>3.5</v>
      </c>
      <c r="X221" s="101">
        <f t="shared" si="20"/>
        <v>116.24250000000001</v>
      </c>
      <c r="Y221" s="101">
        <f t="shared" si="21"/>
        <v>32.4345</v>
      </c>
      <c r="AA221" s="101">
        <v>13</v>
      </c>
      <c r="AB221" s="101">
        <v>16</v>
      </c>
      <c r="AC221" s="101">
        <v>18</v>
      </c>
      <c r="AD221" s="101">
        <v>437</v>
      </c>
      <c r="AE221" s="101">
        <v>124</v>
      </c>
    </row>
    <row r="222" spans="1:31" ht="11.25" hidden="1" customHeight="1" x14ac:dyDescent="0.3">
      <c r="A222" s="126" t="s">
        <v>174</v>
      </c>
      <c r="B222" s="126">
        <v>10</v>
      </c>
      <c r="C222" s="126">
        <v>17</v>
      </c>
      <c r="D222" s="126" t="str">
        <f t="shared" si="11"/>
        <v>1017</v>
      </c>
      <c r="E222" s="101">
        <v>1198</v>
      </c>
      <c r="F222" s="101">
        <v>1975</v>
      </c>
      <c r="G222" s="101">
        <v>3325</v>
      </c>
      <c r="H222" s="101">
        <v>72651.94</v>
      </c>
      <c r="I222" s="101">
        <v>11290.66</v>
      </c>
      <c r="J222" s="101">
        <v>2710</v>
      </c>
      <c r="K222" s="101">
        <v>3656</v>
      </c>
      <c r="L222" s="101">
        <v>4947</v>
      </c>
      <c r="M222" s="101">
        <v>179817</v>
      </c>
      <c r="N222" s="101">
        <v>31287</v>
      </c>
      <c r="O222" s="101">
        <v>3333</v>
      </c>
      <c r="P222" s="101">
        <v>14038</v>
      </c>
      <c r="Q222" s="101">
        <v>21060</v>
      </c>
      <c r="R222" s="101">
        <v>287031.10000000003</v>
      </c>
      <c r="S222" s="101">
        <v>68917.005999999994</v>
      </c>
      <c r="T222" s="169">
        <v>1.02</v>
      </c>
      <c r="U222" s="101">
        <v>1375</v>
      </c>
      <c r="V222" s="101">
        <v>2500</v>
      </c>
      <c r="W222" s="101">
        <v>3750</v>
      </c>
      <c r="X222" s="144">
        <f>R293*T222</f>
        <v>70744.099200000011</v>
      </c>
      <c r="Y222" s="101">
        <v>20000</v>
      </c>
      <c r="AA222" s="101">
        <v>1658</v>
      </c>
      <c r="AB222" s="101">
        <v>2525</v>
      </c>
      <c r="AC222" s="101">
        <v>3550</v>
      </c>
      <c r="AD222" s="101">
        <v>117103</v>
      </c>
      <c r="AE222" s="101">
        <v>20007</v>
      </c>
    </row>
    <row r="223" spans="1:31" ht="11.25" hidden="1" customHeight="1" x14ac:dyDescent="0.3">
      <c r="A223" s="126" t="s">
        <v>174</v>
      </c>
      <c r="B223" s="126">
        <v>10</v>
      </c>
      <c r="C223" s="126">
        <v>18</v>
      </c>
      <c r="D223" s="126" t="str">
        <f t="shared" si="11"/>
        <v>1018</v>
      </c>
      <c r="E223" s="101">
        <v>111</v>
      </c>
      <c r="F223" s="101">
        <v>188</v>
      </c>
      <c r="G223" s="101">
        <v>330</v>
      </c>
      <c r="H223" s="101">
        <v>7147.81</v>
      </c>
      <c r="I223" s="101">
        <v>1084.336</v>
      </c>
      <c r="J223" s="101">
        <v>190</v>
      </c>
      <c r="K223" s="101">
        <v>267</v>
      </c>
      <c r="L223" s="101">
        <v>515</v>
      </c>
      <c r="M223" s="101">
        <v>14194</v>
      </c>
      <c r="N223" s="101">
        <v>2319</v>
      </c>
      <c r="O223" s="101">
        <v>2359</v>
      </c>
      <c r="P223" s="101">
        <v>2518</v>
      </c>
      <c r="Q223" s="101">
        <v>2841</v>
      </c>
      <c r="R223" s="101">
        <v>103480.48</v>
      </c>
      <c r="S223" s="101">
        <v>25396.095999999998</v>
      </c>
      <c r="T223" s="169">
        <v>0.5</v>
      </c>
      <c r="U223" s="101">
        <f t="shared" si="17"/>
        <v>1179.5</v>
      </c>
      <c r="V223" s="101">
        <f t="shared" si="18"/>
        <v>1259</v>
      </c>
      <c r="W223" s="101">
        <f t="shared" si="19"/>
        <v>1420.5</v>
      </c>
      <c r="X223" s="101">
        <f t="shared" si="20"/>
        <v>51740.24</v>
      </c>
      <c r="Y223" s="101">
        <f t="shared" si="21"/>
        <v>12698.047999999999</v>
      </c>
      <c r="AA223" s="101">
        <v>2198</v>
      </c>
      <c r="AB223" s="101">
        <v>2499</v>
      </c>
      <c r="AC223" s="101">
        <v>3917</v>
      </c>
      <c r="AD223" s="101">
        <v>146008</v>
      </c>
      <c r="AE223" s="101">
        <v>63649</v>
      </c>
    </row>
    <row r="224" spans="1:31" ht="11.25" hidden="1" customHeight="1" x14ac:dyDescent="0.3">
      <c r="A224" s="126" t="s">
        <v>174</v>
      </c>
      <c r="B224" s="126">
        <v>10</v>
      </c>
      <c r="C224" s="126">
        <v>28</v>
      </c>
      <c r="D224" s="126" t="str">
        <f t="shared" si="11"/>
        <v>1028</v>
      </c>
      <c r="E224" s="101">
        <v>205</v>
      </c>
      <c r="F224" s="101">
        <v>809</v>
      </c>
      <c r="G224" s="101">
        <v>7323</v>
      </c>
      <c r="H224" s="101">
        <v>256395.44</v>
      </c>
      <c r="I224" s="101">
        <v>119043.07600000002</v>
      </c>
      <c r="J224" s="101">
        <v>271</v>
      </c>
      <c r="K224" s="101">
        <v>3062</v>
      </c>
      <c r="L224" s="101">
        <v>24643</v>
      </c>
      <c r="M224" s="101">
        <v>380005</v>
      </c>
      <c r="N224" s="101">
        <v>135686</v>
      </c>
      <c r="O224" s="101">
        <v>435</v>
      </c>
      <c r="P224" s="101">
        <v>3881</v>
      </c>
      <c r="Q224" s="101">
        <v>30689</v>
      </c>
      <c r="R224" s="101">
        <v>531106.01</v>
      </c>
      <c r="S224" s="101">
        <v>147037.44399999999</v>
      </c>
      <c r="T224" s="169">
        <v>1.02</v>
      </c>
      <c r="U224" s="101">
        <f t="shared" si="17"/>
        <v>443.7</v>
      </c>
      <c r="V224" s="101">
        <f t="shared" si="18"/>
        <v>3958.62</v>
      </c>
      <c r="W224" s="101">
        <f t="shared" si="19"/>
        <v>31302.78</v>
      </c>
      <c r="X224" s="101">
        <f t="shared" si="20"/>
        <v>541728.13020000001</v>
      </c>
      <c r="Y224" s="101">
        <f t="shared" si="21"/>
        <v>149978.19287999999</v>
      </c>
      <c r="AA224" s="101">
        <v>274</v>
      </c>
      <c r="AB224" s="101">
        <v>5920</v>
      </c>
      <c r="AC224" s="101">
        <v>42818</v>
      </c>
      <c r="AD224" s="101">
        <v>748915</v>
      </c>
      <c r="AE224" s="101">
        <v>179425</v>
      </c>
    </row>
    <row r="225" spans="1:31" ht="11.25" hidden="1" customHeight="1" x14ac:dyDescent="0.3">
      <c r="A225" s="126" t="s">
        <v>174</v>
      </c>
      <c r="B225" s="126">
        <v>10</v>
      </c>
      <c r="C225" s="126">
        <v>46</v>
      </c>
      <c r="D225" s="126" t="str">
        <f t="shared" si="11"/>
        <v>1046</v>
      </c>
      <c r="E225" s="101">
        <v>306</v>
      </c>
      <c r="F225" s="101">
        <v>591</v>
      </c>
      <c r="G225" s="101">
        <v>22721</v>
      </c>
      <c r="H225" s="101">
        <v>345304.04000000004</v>
      </c>
      <c r="I225" s="101">
        <v>146120.405</v>
      </c>
      <c r="J225" s="101">
        <v>177</v>
      </c>
      <c r="K225" s="101">
        <v>420</v>
      </c>
      <c r="L225" s="101">
        <v>75309</v>
      </c>
      <c r="M225" s="101">
        <v>398558</v>
      </c>
      <c r="N225" s="101">
        <v>132794</v>
      </c>
      <c r="O225" s="101">
        <v>271</v>
      </c>
      <c r="P225" s="101">
        <v>603</v>
      </c>
      <c r="Q225" s="101">
        <v>27484</v>
      </c>
      <c r="R225" s="101">
        <v>308937.71999999997</v>
      </c>
      <c r="S225" s="101">
        <v>123328.99400000001</v>
      </c>
      <c r="T225" s="169">
        <v>1.02</v>
      </c>
      <c r="U225" s="101">
        <f t="shared" si="17"/>
        <v>276.42</v>
      </c>
      <c r="V225" s="101">
        <f t="shared" si="18"/>
        <v>615.06000000000006</v>
      </c>
      <c r="W225" s="101">
        <f t="shared" si="19"/>
        <v>28033.68</v>
      </c>
      <c r="X225" s="101">
        <f t="shared" si="20"/>
        <v>315116.47439999995</v>
      </c>
      <c r="Y225" s="101">
        <f t="shared" si="21"/>
        <v>125795.57388000001</v>
      </c>
      <c r="AA225" s="101">
        <v>263</v>
      </c>
      <c r="AB225" s="101">
        <v>587</v>
      </c>
      <c r="AC225" s="101">
        <v>40023</v>
      </c>
      <c r="AD225" s="101">
        <v>601036</v>
      </c>
      <c r="AE225" s="101">
        <v>222458</v>
      </c>
    </row>
    <row r="226" spans="1:31" ht="11.25" hidden="1" customHeight="1" x14ac:dyDescent="0.3">
      <c r="A226" s="126" t="s">
        <v>174</v>
      </c>
      <c r="B226" s="126">
        <v>10</v>
      </c>
      <c r="C226" s="126">
        <v>48</v>
      </c>
      <c r="D226" s="126" t="str">
        <f t="shared" si="11"/>
        <v>1048</v>
      </c>
      <c r="E226" s="101">
        <v>1</v>
      </c>
      <c r="F226" s="101">
        <v>1</v>
      </c>
      <c r="G226" s="101">
        <v>200</v>
      </c>
      <c r="H226" s="101">
        <v>5253.33</v>
      </c>
      <c r="I226" s="101">
        <v>308.7</v>
      </c>
      <c r="J226" s="101">
        <v>0</v>
      </c>
      <c r="K226" s="101">
        <v>0</v>
      </c>
      <c r="L226" s="101">
        <v>0</v>
      </c>
      <c r="M226" s="101">
        <v>0</v>
      </c>
      <c r="N226" s="101">
        <v>0</v>
      </c>
      <c r="O226" s="101">
        <v>2</v>
      </c>
      <c r="P226" s="101">
        <v>2</v>
      </c>
      <c r="Q226" s="101">
        <v>98</v>
      </c>
      <c r="R226" s="101">
        <v>1096.6199999999999</v>
      </c>
      <c r="S226" s="101">
        <v>729.904</v>
      </c>
      <c r="T226" s="169">
        <v>1.02</v>
      </c>
      <c r="U226" s="101">
        <f t="shared" si="17"/>
        <v>2.04</v>
      </c>
      <c r="V226" s="101">
        <f t="shared" si="18"/>
        <v>2.04</v>
      </c>
      <c r="W226" s="101">
        <f t="shared" si="19"/>
        <v>99.960000000000008</v>
      </c>
      <c r="X226" s="101">
        <f t="shared" si="20"/>
        <v>1118.5523999999998</v>
      </c>
      <c r="Y226" s="101">
        <f t="shared" si="21"/>
        <v>744.50207999999998</v>
      </c>
      <c r="AA226" s="101">
        <v>0</v>
      </c>
      <c r="AB226" s="101">
        <v>0</v>
      </c>
      <c r="AC226" s="101">
        <v>0</v>
      </c>
      <c r="AD226" s="101">
        <v>0</v>
      </c>
      <c r="AE226" s="101">
        <v>0</v>
      </c>
    </row>
    <row r="227" spans="1:31" ht="11.25" hidden="1" customHeight="1" x14ac:dyDescent="0.3">
      <c r="A227" s="126" t="s">
        <v>174</v>
      </c>
      <c r="B227" s="126">
        <v>10</v>
      </c>
      <c r="C227" s="126">
        <v>66</v>
      </c>
      <c r="D227" s="126" t="str">
        <f t="shared" si="11"/>
        <v>1066</v>
      </c>
      <c r="E227" s="101">
        <v>491</v>
      </c>
      <c r="F227" s="101">
        <v>1652</v>
      </c>
      <c r="G227" s="101">
        <v>26938</v>
      </c>
      <c r="H227" s="101">
        <v>164263.39000000001</v>
      </c>
      <c r="I227" s="101">
        <v>99402.127000000008</v>
      </c>
      <c r="J227" s="101">
        <v>241</v>
      </c>
      <c r="K227" s="101">
        <v>1150</v>
      </c>
      <c r="L227" s="101">
        <v>28044</v>
      </c>
      <c r="M227" s="101">
        <v>173081</v>
      </c>
      <c r="N227" s="101">
        <v>83494</v>
      </c>
      <c r="O227" s="101">
        <v>360</v>
      </c>
      <c r="P227" s="101">
        <v>1630</v>
      </c>
      <c r="Q227" s="101">
        <v>27514</v>
      </c>
      <c r="R227" s="101">
        <v>213528.71000000002</v>
      </c>
      <c r="S227" s="101">
        <v>130516.01699999999</v>
      </c>
      <c r="T227" s="169">
        <v>1.02</v>
      </c>
      <c r="U227" s="101">
        <f t="shared" si="17"/>
        <v>367.2</v>
      </c>
      <c r="V227" s="101">
        <f t="shared" si="18"/>
        <v>1662.6000000000001</v>
      </c>
      <c r="W227" s="101">
        <f t="shared" si="19"/>
        <v>28064.28</v>
      </c>
      <c r="X227" s="101">
        <f t="shared" si="20"/>
        <v>217799.28420000002</v>
      </c>
      <c r="Y227" s="101">
        <f t="shared" si="21"/>
        <v>133126.33734</v>
      </c>
      <c r="AA227" s="101">
        <v>239</v>
      </c>
      <c r="AB227" s="101">
        <v>1427</v>
      </c>
      <c r="AC227" s="101">
        <v>45732</v>
      </c>
      <c r="AD227" s="101">
        <v>307933</v>
      </c>
      <c r="AE227" s="101">
        <v>175751</v>
      </c>
    </row>
    <row r="228" spans="1:31" ht="11.25" hidden="1" customHeight="1" x14ac:dyDescent="0.3">
      <c r="A228" s="126" t="s">
        <v>174</v>
      </c>
      <c r="B228" s="126">
        <v>10</v>
      </c>
      <c r="C228" s="126">
        <v>30</v>
      </c>
      <c r="D228" s="126" t="str">
        <f t="shared" si="11"/>
        <v>1030</v>
      </c>
      <c r="E228" s="101">
        <v>645</v>
      </c>
      <c r="F228" s="101">
        <v>7433.5</v>
      </c>
      <c r="G228" s="101">
        <v>28781</v>
      </c>
      <c r="H228" s="101">
        <v>620019.45000000007</v>
      </c>
      <c r="I228" s="101">
        <v>204350.459</v>
      </c>
      <c r="J228" s="101">
        <v>285</v>
      </c>
      <c r="K228" s="101">
        <v>4654</v>
      </c>
      <c r="L228" s="101">
        <v>19654</v>
      </c>
      <c r="M228" s="101">
        <v>617687</v>
      </c>
      <c r="N228" s="101">
        <v>218407</v>
      </c>
      <c r="O228" s="138"/>
      <c r="P228" s="138"/>
      <c r="Q228" s="138"/>
      <c r="R228" s="138"/>
      <c r="S228" s="138"/>
      <c r="T228" s="169">
        <v>1.02</v>
      </c>
      <c r="U228" s="101">
        <f t="shared" si="17"/>
        <v>0</v>
      </c>
      <c r="V228" s="101">
        <f t="shared" si="18"/>
        <v>0</v>
      </c>
      <c r="W228" s="101">
        <f t="shared" si="19"/>
        <v>0</v>
      </c>
      <c r="X228" s="101">
        <f t="shared" si="20"/>
        <v>0</v>
      </c>
      <c r="Y228" s="101">
        <f t="shared" si="21"/>
        <v>0</v>
      </c>
      <c r="AA228" s="101">
        <v>177</v>
      </c>
      <c r="AB228" s="101">
        <v>199</v>
      </c>
      <c r="AC228" s="101">
        <v>5351</v>
      </c>
      <c r="AD228" s="101">
        <v>127581</v>
      </c>
      <c r="AE228" s="101">
        <v>57503</v>
      </c>
    </row>
    <row r="229" spans="1:31" ht="11.25" hidden="1" customHeight="1" x14ac:dyDescent="0.3">
      <c r="A229" s="126" t="s">
        <v>174</v>
      </c>
      <c r="B229" s="126">
        <v>10</v>
      </c>
      <c r="C229" s="126">
        <v>21</v>
      </c>
      <c r="D229" s="126" t="str">
        <f t="shared" si="11"/>
        <v>1021</v>
      </c>
      <c r="E229" s="101">
        <v>2159.5</v>
      </c>
      <c r="F229" s="101">
        <v>7817</v>
      </c>
      <c r="G229" s="101">
        <v>32919</v>
      </c>
      <c r="H229" s="101">
        <v>428791.64</v>
      </c>
      <c r="I229" s="101">
        <v>130144.519</v>
      </c>
      <c r="J229" s="101">
        <v>975</v>
      </c>
      <c r="K229" s="101">
        <v>9748</v>
      </c>
      <c r="L229" s="101">
        <v>51458</v>
      </c>
      <c r="M229" s="101">
        <v>849783</v>
      </c>
      <c r="N229" s="101">
        <v>260719</v>
      </c>
      <c r="O229" s="138">
        <v>1330</v>
      </c>
      <c r="P229" s="138">
        <v>9695</v>
      </c>
      <c r="Q229" s="138">
        <v>57732</v>
      </c>
      <c r="R229" s="138">
        <v>709198.53</v>
      </c>
      <c r="S229" s="138">
        <v>221229.73600000003</v>
      </c>
      <c r="T229" s="169">
        <v>1.02</v>
      </c>
      <c r="U229" s="101">
        <f t="shared" si="17"/>
        <v>1356.6000000000001</v>
      </c>
      <c r="V229" s="101">
        <f t="shared" si="18"/>
        <v>9888.9</v>
      </c>
      <c r="W229" s="101">
        <f t="shared" si="19"/>
        <v>58886.64</v>
      </c>
      <c r="X229" s="101">
        <f t="shared" si="20"/>
        <v>723382.50060000003</v>
      </c>
      <c r="Y229" s="101">
        <f t="shared" si="21"/>
        <v>225654.33072000003</v>
      </c>
      <c r="AA229" s="101">
        <v>1103</v>
      </c>
      <c r="AB229" s="101">
        <v>7962</v>
      </c>
      <c r="AC229" s="101">
        <v>36463</v>
      </c>
      <c r="AD229" s="101">
        <v>465108</v>
      </c>
      <c r="AE229" s="101">
        <v>141039</v>
      </c>
    </row>
    <row r="230" spans="1:31" ht="11.25" hidden="1" customHeight="1" x14ac:dyDescent="0.3">
      <c r="A230" s="126" t="s">
        <v>174</v>
      </c>
      <c r="B230" s="126">
        <v>10</v>
      </c>
      <c r="C230" s="126">
        <v>71</v>
      </c>
      <c r="D230" s="126" t="str">
        <f t="shared" si="11"/>
        <v>1071</v>
      </c>
      <c r="E230" s="101">
        <v>917</v>
      </c>
      <c r="F230" s="101">
        <v>6547.5</v>
      </c>
      <c r="G230" s="101">
        <v>19810.5</v>
      </c>
      <c r="H230" s="101">
        <v>136216.74</v>
      </c>
      <c r="I230" s="101">
        <v>77228.577999999994</v>
      </c>
      <c r="J230" s="101">
        <v>645</v>
      </c>
      <c r="K230" s="101">
        <v>7423</v>
      </c>
      <c r="L230" s="101">
        <v>31655</v>
      </c>
      <c r="M230" s="101">
        <v>312726</v>
      </c>
      <c r="N230" s="101">
        <v>155919</v>
      </c>
      <c r="O230" s="101">
        <v>642</v>
      </c>
      <c r="P230" s="101">
        <v>6754</v>
      </c>
      <c r="Q230" s="101">
        <v>20584</v>
      </c>
      <c r="R230" s="101">
        <v>212031.24999999997</v>
      </c>
      <c r="S230" s="101">
        <v>117791.07799999999</v>
      </c>
      <c r="T230" s="176">
        <v>1.5</v>
      </c>
      <c r="U230" s="101">
        <f t="shared" si="17"/>
        <v>963</v>
      </c>
      <c r="V230" s="101">
        <f>P230*T230</f>
        <v>10131</v>
      </c>
      <c r="W230" s="101">
        <f t="shared" si="19"/>
        <v>30876</v>
      </c>
      <c r="X230" s="101">
        <f t="shared" si="20"/>
        <v>318046.87499999994</v>
      </c>
      <c r="Y230" s="101">
        <f t="shared" si="21"/>
        <v>176686.617</v>
      </c>
      <c r="AA230" s="101">
        <v>251</v>
      </c>
      <c r="AB230" s="101">
        <v>5434</v>
      </c>
      <c r="AC230" s="101">
        <v>22870</v>
      </c>
      <c r="AD230" s="101">
        <v>192793</v>
      </c>
      <c r="AE230" s="101">
        <v>109514</v>
      </c>
    </row>
    <row r="231" spans="1:31" ht="11.25" hidden="1" customHeight="1" x14ac:dyDescent="0.3">
      <c r="A231" s="126" t="s">
        <v>174</v>
      </c>
      <c r="B231" s="126">
        <v>10</v>
      </c>
      <c r="C231" s="126">
        <v>25</v>
      </c>
      <c r="D231" s="126" t="str">
        <f t="shared" si="11"/>
        <v>1025</v>
      </c>
      <c r="E231" s="101">
        <v>1070</v>
      </c>
      <c r="F231" s="101">
        <v>5250</v>
      </c>
      <c r="G231" s="101">
        <v>25176</v>
      </c>
      <c r="H231" s="101">
        <v>316446.82</v>
      </c>
      <c r="I231" s="101">
        <v>151913.75000000003</v>
      </c>
      <c r="J231" s="101">
        <v>778</v>
      </c>
      <c r="K231" s="101">
        <v>7029</v>
      </c>
      <c r="L231" s="101">
        <v>32611</v>
      </c>
      <c r="M231" s="101">
        <v>353870</v>
      </c>
      <c r="N231" s="101">
        <v>145614</v>
      </c>
      <c r="O231" s="101">
        <v>1109</v>
      </c>
      <c r="P231" s="101">
        <v>6881</v>
      </c>
      <c r="Q231" s="101">
        <v>28551</v>
      </c>
      <c r="R231" s="101">
        <v>270717.87</v>
      </c>
      <c r="S231" s="101">
        <v>176171.00599999999</v>
      </c>
      <c r="T231" s="169">
        <v>1.02</v>
      </c>
      <c r="U231" s="101">
        <f t="shared" si="17"/>
        <v>1131.18</v>
      </c>
      <c r="V231" s="101">
        <f t="shared" si="18"/>
        <v>7018.62</v>
      </c>
      <c r="W231" s="101">
        <f t="shared" si="19"/>
        <v>29122.02</v>
      </c>
      <c r="X231" s="101">
        <f t="shared" si="20"/>
        <v>276132.22739999997</v>
      </c>
      <c r="Y231" s="101">
        <f t="shared" si="21"/>
        <v>179694.42611999999</v>
      </c>
      <c r="AA231" s="101">
        <v>825</v>
      </c>
      <c r="AB231" s="101">
        <v>7469</v>
      </c>
      <c r="AC231" s="101">
        <v>31172</v>
      </c>
      <c r="AD231" s="101">
        <v>360185</v>
      </c>
      <c r="AE231" s="101">
        <v>208022</v>
      </c>
    </row>
    <row r="232" spans="1:31" ht="11.25" hidden="1" customHeight="1" x14ac:dyDescent="0.3">
      <c r="A232" s="126" t="s">
        <v>174</v>
      </c>
      <c r="B232" s="126">
        <v>10</v>
      </c>
      <c r="C232" s="126">
        <v>14</v>
      </c>
      <c r="D232" s="126" t="str">
        <f t="shared" si="11"/>
        <v>1014</v>
      </c>
      <c r="J232" s="101">
        <v>0</v>
      </c>
      <c r="K232" s="101">
        <v>0</v>
      </c>
      <c r="L232" s="101">
        <v>0</v>
      </c>
      <c r="M232" s="101">
        <v>0</v>
      </c>
      <c r="N232" s="101">
        <v>0</v>
      </c>
      <c r="O232" s="101">
        <v>57</v>
      </c>
      <c r="P232" s="101">
        <v>79</v>
      </c>
      <c r="Q232" s="101">
        <v>117</v>
      </c>
      <c r="R232" s="101">
        <v>6216.64</v>
      </c>
      <c r="S232" s="101">
        <v>876.64400000000001</v>
      </c>
      <c r="T232" s="169">
        <v>1.02</v>
      </c>
      <c r="U232" s="101">
        <f t="shared" si="17"/>
        <v>58.14</v>
      </c>
      <c r="V232" s="101">
        <f t="shared" si="18"/>
        <v>80.58</v>
      </c>
      <c r="W232" s="101">
        <f t="shared" si="19"/>
        <v>119.34</v>
      </c>
      <c r="X232" s="101">
        <f t="shared" si="20"/>
        <v>6340.9728000000005</v>
      </c>
      <c r="Y232" s="101">
        <f t="shared" si="21"/>
        <v>894.17687999999998</v>
      </c>
      <c r="AA232" s="101">
        <v>107</v>
      </c>
      <c r="AB232" s="101">
        <v>134</v>
      </c>
      <c r="AC232" s="101">
        <v>210</v>
      </c>
      <c r="AD232" s="101">
        <v>9977</v>
      </c>
      <c r="AE232" s="101">
        <v>1424</v>
      </c>
    </row>
    <row r="233" spans="1:31" ht="11.25" hidden="1" customHeight="1" x14ac:dyDescent="0.3">
      <c r="A233" s="126" t="s">
        <v>174</v>
      </c>
      <c r="B233" s="126">
        <v>10</v>
      </c>
      <c r="C233" s="126">
        <v>22</v>
      </c>
      <c r="D233" s="126" t="str">
        <f t="shared" si="11"/>
        <v>1022</v>
      </c>
      <c r="J233" s="101">
        <v>3</v>
      </c>
      <c r="K233" s="101">
        <v>3</v>
      </c>
      <c r="L233" s="101">
        <v>21</v>
      </c>
      <c r="M233" s="101">
        <v>2189</v>
      </c>
      <c r="N233" s="101">
        <v>940</v>
      </c>
      <c r="O233" s="101">
        <v>9</v>
      </c>
      <c r="P233" s="101">
        <v>21</v>
      </c>
      <c r="Q233" s="101">
        <v>229</v>
      </c>
      <c r="R233" s="101">
        <v>6866.3099999999995</v>
      </c>
      <c r="S233" s="101">
        <v>4273.634</v>
      </c>
      <c r="T233" s="169">
        <v>1.02</v>
      </c>
      <c r="U233" s="101">
        <f t="shared" si="17"/>
        <v>9.18</v>
      </c>
      <c r="V233" s="101">
        <f t="shared" si="18"/>
        <v>21.42</v>
      </c>
      <c r="W233" s="101">
        <f t="shared" si="19"/>
        <v>233.58</v>
      </c>
      <c r="X233" s="101">
        <f t="shared" si="20"/>
        <v>7003.6361999999999</v>
      </c>
      <c r="Y233" s="101">
        <f t="shared" si="21"/>
        <v>4359.1066799999999</v>
      </c>
      <c r="AA233" s="101">
        <v>22</v>
      </c>
      <c r="AB233" s="101">
        <v>22</v>
      </c>
      <c r="AC233" s="101">
        <v>274</v>
      </c>
      <c r="AD233" s="101">
        <v>1014</v>
      </c>
      <c r="AE233" s="101">
        <v>684</v>
      </c>
    </row>
    <row r="234" spans="1:31" ht="11.25" hidden="1" customHeight="1" x14ac:dyDescent="0.3">
      <c r="A234" s="126" t="s">
        <v>174</v>
      </c>
      <c r="B234" s="126">
        <v>10</v>
      </c>
      <c r="C234" s="126">
        <v>26</v>
      </c>
      <c r="D234" s="126" t="str">
        <f t="shared" si="11"/>
        <v>1026</v>
      </c>
      <c r="J234" s="101">
        <v>16</v>
      </c>
      <c r="K234" s="101">
        <v>50</v>
      </c>
      <c r="L234" s="101">
        <v>210</v>
      </c>
      <c r="M234" s="101">
        <v>2693</v>
      </c>
      <c r="N234" s="101">
        <v>774</v>
      </c>
      <c r="O234" s="101">
        <v>7</v>
      </c>
      <c r="P234" s="101">
        <v>10</v>
      </c>
      <c r="Q234" s="101">
        <v>238</v>
      </c>
      <c r="R234" s="101">
        <v>1913.48</v>
      </c>
      <c r="S234" s="101">
        <v>709.38300000000004</v>
      </c>
      <c r="T234" s="169">
        <v>1.02</v>
      </c>
      <c r="U234" s="101">
        <f t="shared" si="17"/>
        <v>7.1400000000000006</v>
      </c>
      <c r="V234" s="101">
        <f t="shared" si="18"/>
        <v>10.199999999999999</v>
      </c>
      <c r="W234" s="101">
        <f t="shared" si="19"/>
        <v>242.76</v>
      </c>
      <c r="X234" s="101">
        <f t="shared" si="20"/>
        <v>1951.7496000000001</v>
      </c>
      <c r="Y234" s="101">
        <f t="shared" si="21"/>
        <v>723.57066000000009</v>
      </c>
      <c r="AA234" s="101">
        <v>2</v>
      </c>
      <c r="AB234" s="101">
        <v>9</v>
      </c>
      <c r="AC234" s="101">
        <v>85</v>
      </c>
      <c r="AD234" s="101">
        <v>1905</v>
      </c>
      <c r="AE234" s="101">
        <v>1359</v>
      </c>
    </row>
    <row r="235" spans="1:31" ht="11.25" hidden="1" customHeight="1" x14ac:dyDescent="0.3">
      <c r="A235" s="126" t="s">
        <v>174</v>
      </c>
      <c r="B235" s="126">
        <v>10</v>
      </c>
      <c r="C235" s="126">
        <v>32</v>
      </c>
      <c r="D235" s="126" t="str">
        <f t="shared" si="11"/>
        <v>1032</v>
      </c>
      <c r="J235" s="101">
        <v>46</v>
      </c>
      <c r="K235" s="101">
        <v>62</v>
      </c>
      <c r="L235" s="101">
        <v>1020</v>
      </c>
      <c r="M235" s="101">
        <v>37713</v>
      </c>
      <c r="N235" s="101">
        <v>8693</v>
      </c>
      <c r="O235" s="101">
        <v>37</v>
      </c>
      <c r="P235" s="101">
        <v>81</v>
      </c>
      <c r="Q235" s="101">
        <v>2490</v>
      </c>
      <c r="R235" s="101">
        <v>6277.29</v>
      </c>
      <c r="S235" s="101">
        <v>15331.859</v>
      </c>
      <c r="T235" s="169">
        <v>1.02</v>
      </c>
      <c r="U235" s="101">
        <f t="shared" si="17"/>
        <v>37.74</v>
      </c>
      <c r="V235" s="101">
        <f t="shared" si="18"/>
        <v>82.62</v>
      </c>
      <c r="W235" s="101">
        <f t="shared" si="19"/>
        <v>2539.8000000000002</v>
      </c>
      <c r="X235" s="101">
        <f t="shared" si="20"/>
        <v>6402.8357999999998</v>
      </c>
      <c r="Y235" s="101">
        <f t="shared" si="21"/>
        <v>15638.49618</v>
      </c>
      <c r="AA235" s="101">
        <v>38</v>
      </c>
      <c r="AB235" s="101">
        <v>51</v>
      </c>
      <c r="AC235" s="101">
        <v>852</v>
      </c>
      <c r="AD235" s="101">
        <v>2349</v>
      </c>
      <c r="AE235" s="101">
        <v>3597</v>
      </c>
    </row>
    <row r="236" spans="1:31" ht="11.25" hidden="1" customHeight="1" x14ac:dyDescent="0.3">
      <c r="A236" s="126" t="s">
        <v>174</v>
      </c>
      <c r="B236" s="126">
        <v>10</v>
      </c>
      <c r="C236" s="126">
        <v>43</v>
      </c>
      <c r="D236" s="126" t="str">
        <f t="shared" si="11"/>
        <v>1043</v>
      </c>
      <c r="J236" s="101">
        <v>1</v>
      </c>
      <c r="K236" s="101">
        <v>1</v>
      </c>
      <c r="L236" s="101">
        <v>4</v>
      </c>
      <c r="M236" s="101">
        <v>0</v>
      </c>
      <c r="N236" s="101">
        <v>11</v>
      </c>
      <c r="O236" s="101">
        <v>40</v>
      </c>
      <c r="P236" s="101">
        <v>80</v>
      </c>
      <c r="Q236" s="101">
        <v>160</v>
      </c>
      <c r="R236" s="101">
        <v>0</v>
      </c>
      <c r="S236" s="101">
        <v>899.24</v>
      </c>
      <c r="T236" s="169">
        <v>1.02</v>
      </c>
      <c r="U236" s="101">
        <f t="shared" si="17"/>
        <v>40.799999999999997</v>
      </c>
      <c r="V236" s="101">
        <f t="shared" si="18"/>
        <v>81.599999999999994</v>
      </c>
      <c r="W236" s="101">
        <f t="shared" si="19"/>
        <v>163.19999999999999</v>
      </c>
      <c r="X236" s="101">
        <f t="shared" si="20"/>
        <v>0</v>
      </c>
      <c r="Y236" s="101">
        <f t="shared" si="21"/>
        <v>917.22480000000007</v>
      </c>
      <c r="AA236" s="101">
        <v>0</v>
      </c>
      <c r="AB236" s="101">
        <v>0</v>
      </c>
      <c r="AC236" s="101">
        <v>0</v>
      </c>
      <c r="AD236" s="101">
        <v>0</v>
      </c>
      <c r="AE236" s="101">
        <v>0</v>
      </c>
    </row>
    <row r="237" spans="1:31" ht="11.25" hidden="1" customHeight="1" x14ac:dyDescent="0.3">
      <c r="A237" s="126" t="s">
        <v>174</v>
      </c>
      <c r="B237" s="126">
        <v>10</v>
      </c>
      <c r="C237" s="126">
        <v>44</v>
      </c>
      <c r="D237" s="126" t="str">
        <f t="shared" si="11"/>
        <v>1044</v>
      </c>
      <c r="J237" s="101">
        <v>0</v>
      </c>
      <c r="K237" s="101">
        <v>0</v>
      </c>
      <c r="L237" s="101">
        <v>0</v>
      </c>
      <c r="M237" s="101">
        <v>0</v>
      </c>
      <c r="N237" s="101">
        <v>0</v>
      </c>
      <c r="O237" s="101">
        <v>0</v>
      </c>
      <c r="P237" s="101">
        <v>0</v>
      </c>
      <c r="Q237" s="101">
        <v>0</v>
      </c>
      <c r="R237" s="101">
        <v>0</v>
      </c>
      <c r="S237" s="101">
        <v>0</v>
      </c>
      <c r="T237" s="169">
        <v>1.02</v>
      </c>
      <c r="U237" s="101">
        <f t="shared" si="17"/>
        <v>0</v>
      </c>
      <c r="V237" s="101">
        <f t="shared" si="18"/>
        <v>0</v>
      </c>
      <c r="W237" s="101">
        <f t="shared" si="19"/>
        <v>0</v>
      </c>
      <c r="X237" s="101">
        <f t="shared" si="20"/>
        <v>0</v>
      </c>
      <c r="Y237" s="101">
        <f t="shared" si="21"/>
        <v>0</v>
      </c>
      <c r="AA237" s="101">
        <v>0</v>
      </c>
      <c r="AB237" s="101">
        <v>0</v>
      </c>
      <c r="AC237" s="101">
        <v>0</v>
      </c>
      <c r="AD237" s="101">
        <v>0</v>
      </c>
      <c r="AE237" s="101">
        <v>0</v>
      </c>
    </row>
    <row r="238" spans="1:31" ht="11.25" hidden="1" customHeight="1" x14ac:dyDescent="0.3">
      <c r="A238" s="126" t="s">
        <v>174</v>
      </c>
      <c r="B238" s="126">
        <v>10</v>
      </c>
      <c r="C238" s="126">
        <v>45</v>
      </c>
      <c r="D238" s="126" t="str">
        <f t="shared" si="11"/>
        <v>1045</v>
      </c>
      <c r="J238" s="101">
        <v>0</v>
      </c>
      <c r="K238" s="101">
        <v>0</v>
      </c>
      <c r="L238" s="101">
        <v>0</v>
      </c>
      <c r="M238" s="101">
        <v>0</v>
      </c>
      <c r="N238" s="101">
        <v>0</v>
      </c>
      <c r="O238" s="101">
        <v>0</v>
      </c>
      <c r="P238" s="101">
        <v>0</v>
      </c>
      <c r="Q238" s="101">
        <v>0</v>
      </c>
      <c r="R238" s="101">
        <v>0</v>
      </c>
      <c r="S238" s="101">
        <v>0</v>
      </c>
      <c r="T238" s="169">
        <v>1.02</v>
      </c>
      <c r="U238" s="101">
        <f t="shared" si="17"/>
        <v>0</v>
      </c>
      <c r="V238" s="101">
        <f t="shared" si="18"/>
        <v>0</v>
      </c>
      <c r="W238" s="101">
        <f t="shared" si="19"/>
        <v>0</v>
      </c>
      <c r="X238" s="101">
        <f t="shared" si="20"/>
        <v>0</v>
      </c>
      <c r="Y238" s="101">
        <f t="shared" si="21"/>
        <v>0</v>
      </c>
      <c r="AA238" s="101">
        <v>0</v>
      </c>
      <c r="AB238" s="101">
        <v>0</v>
      </c>
      <c r="AC238" s="101">
        <v>0</v>
      </c>
      <c r="AD238" s="101">
        <v>0</v>
      </c>
      <c r="AE238" s="101">
        <v>0</v>
      </c>
    </row>
    <row r="239" spans="1:31" ht="11.25" hidden="1" customHeight="1" x14ac:dyDescent="0.3">
      <c r="A239" s="126" t="s">
        <v>174</v>
      </c>
      <c r="B239" s="126">
        <v>10</v>
      </c>
      <c r="C239" s="126">
        <v>47</v>
      </c>
      <c r="D239" s="126" t="str">
        <f t="shared" si="11"/>
        <v>1047</v>
      </c>
      <c r="J239" s="101">
        <v>0</v>
      </c>
      <c r="K239" s="101">
        <v>0</v>
      </c>
      <c r="L239" s="101">
        <v>0</v>
      </c>
      <c r="M239" s="101">
        <v>0</v>
      </c>
      <c r="N239" s="101">
        <v>0</v>
      </c>
      <c r="O239" s="101">
        <v>0</v>
      </c>
      <c r="P239" s="101">
        <v>0</v>
      </c>
      <c r="Q239" s="101">
        <v>0</v>
      </c>
      <c r="R239" s="101">
        <v>0</v>
      </c>
      <c r="S239" s="101">
        <v>0</v>
      </c>
      <c r="T239" s="169">
        <v>1.02</v>
      </c>
      <c r="U239" s="101">
        <f t="shared" si="17"/>
        <v>0</v>
      </c>
      <c r="V239" s="101">
        <f t="shared" si="18"/>
        <v>0</v>
      </c>
      <c r="W239" s="101">
        <f t="shared" si="19"/>
        <v>0</v>
      </c>
      <c r="X239" s="101">
        <f t="shared" si="20"/>
        <v>0</v>
      </c>
      <c r="Y239" s="101">
        <f t="shared" si="21"/>
        <v>0</v>
      </c>
      <c r="AA239" s="101">
        <v>11</v>
      </c>
      <c r="AB239" s="101">
        <v>21</v>
      </c>
      <c r="AC239" s="101">
        <v>1239</v>
      </c>
      <c r="AD239" s="101">
        <v>14298</v>
      </c>
      <c r="AE239" s="101">
        <v>2717</v>
      </c>
    </row>
    <row r="240" spans="1:31" ht="11.25" hidden="1" customHeight="1" x14ac:dyDescent="0.3">
      <c r="A240" s="126" t="s">
        <v>174</v>
      </c>
      <c r="B240" s="126">
        <v>10</v>
      </c>
      <c r="C240" s="126">
        <v>91</v>
      </c>
      <c r="D240" s="126" t="str">
        <f t="shared" si="11"/>
        <v>1091</v>
      </c>
      <c r="J240" s="101">
        <v>102</v>
      </c>
      <c r="K240" s="101">
        <v>218</v>
      </c>
      <c r="L240" s="101">
        <v>1097</v>
      </c>
      <c r="M240" s="101">
        <v>10389</v>
      </c>
      <c r="N240" s="101">
        <v>4985</v>
      </c>
      <c r="O240" s="101">
        <v>36</v>
      </c>
      <c r="P240" s="101">
        <v>53</v>
      </c>
      <c r="Q240" s="101">
        <v>2467</v>
      </c>
      <c r="R240" s="101">
        <v>4076.64</v>
      </c>
      <c r="S240" s="101">
        <v>1869.2370000000001</v>
      </c>
      <c r="T240" s="169">
        <v>1.02</v>
      </c>
      <c r="U240" s="101">
        <f t="shared" si="17"/>
        <v>36.72</v>
      </c>
      <c r="V240" s="101">
        <f t="shared" si="18"/>
        <v>54.06</v>
      </c>
      <c r="W240" s="101">
        <f t="shared" si="19"/>
        <v>2516.34</v>
      </c>
      <c r="X240" s="101">
        <f t="shared" si="20"/>
        <v>4158.1728000000003</v>
      </c>
      <c r="Y240" s="101">
        <f t="shared" si="21"/>
        <v>1906.62174</v>
      </c>
      <c r="AA240" s="101">
        <v>33</v>
      </c>
      <c r="AB240" s="101">
        <v>48</v>
      </c>
      <c r="AC240" s="101">
        <v>397</v>
      </c>
      <c r="AD240" s="101">
        <v>2957</v>
      </c>
      <c r="AE240" s="101">
        <v>2386</v>
      </c>
    </row>
    <row r="241" spans="1:31" ht="11.25" hidden="1" customHeight="1" x14ac:dyDescent="0.3">
      <c r="A241" s="126" t="s">
        <v>174</v>
      </c>
      <c r="B241" s="126">
        <v>10</v>
      </c>
      <c r="C241" s="126">
        <v>27</v>
      </c>
      <c r="D241" s="126" t="str">
        <f t="shared" si="11"/>
        <v>1027</v>
      </c>
      <c r="E241" s="101">
        <v>162</v>
      </c>
      <c r="F241" s="101">
        <v>1427</v>
      </c>
      <c r="G241" s="101">
        <v>5332</v>
      </c>
      <c r="H241" s="101">
        <v>59741.63</v>
      </c>
      <c r="I241" s="101">
        <v>22042.631000000001</v>
      </c>
      <c r="J241" s="101">
        <v>95</v>
      </c>
      <c r="K241" s="101">
        <v>1841</v>
      </c>
      <c r="L241" s="101">
        <v>11729</v>
      </c>
      <c r="M241" s="101">
        <v>118858</v>
      </c>
      <c r="N241" s="101">
        <v>44709</v>
      </c>
      <c r="O241" s="101">
        <v>97</v>
      </c>
      <c r="P241" s="101">
        <v>3030</v>
      </c>
      <c r="Q241" s="101">
        <v>15098</v>
      </c>
      <c r="R241" s="101">
        <v>153928.31</v>
      </c>
      <c r="S241" s="101">
        <v>67373.822</v>
      </c>
      <c r="T241" s="169">
        <v>1.02</v>
      </c>
      <c r="U241" s="101">
        <f t="shared" si="17"/>
        <v>98.94</v>
      </c>
      <c r="V241" s="101">
        <f t="shared" si="18"/>
        <v>3090.6</v>
      </c>
      <c r="W241" s="101">
        <f t="shared" si="19"/>
        <v>15399.960000000001</v>
      </c>
      <c r="X241" s="101">
        <f t="shared" si="20"/>
        <v>157006.8762</v>
      </c>
      <c r="Y241" s="101">
        <f t="shared" si="21"/>
        <v>68721.298439999999</v>
      </c>
      <c r="AA241" s="101">
        <v>86</v>
      </c>
      <c r="AB241" s="101">
        <v>2644</v>
      </c>
      <c r="AC241" s="101">
        <v>22322</v>
      </c>
      <c r="AD241" s="101">
        <v>198313</v>
      </c>
      <c r="AE241" s="101">
        <v>101160</v>
      </c>
    </row>
    <row r="242" spans="1:31" ht="11.25" hidden="1" customHeight="1" x14ac:dyDescent="0.3">
      <c r="A242" s="126" t="s">
        <v>174</v>
      </c>
      <c r="B242" s="126">
        <v>10</v>
      </c>
      <c r="C242" s="126">
        <v>41</v>
      </c>
      <c r="D242" s="126" t="str">
        <f t="shared" si="11"/>
        <v>1041</v>
      </c>
      <c r="O242" s="101">
        <v>1</v>
      </c>
      <c r="P242" s="101">
        <v>1</v>
      </c>
      <c r="Q242" s="101">
        <v>1</v>
      </c>
      <c r="R242" s="101">
        <v>52.89</v>
      </c>
      <c r="S242" s="101">
        <v>9.2379999999999995</v>
      </c>
      <c r="T242" s="169">
        <v>1.02</v>
      </c>
      <c r="U242" s="101">
        <f t="shared" si="17"/>
        <v>1.02</v>
      </c>
      <c r="V242" s="101">
        <f t="shared" si="18"/>
        <v>1.02</v>
      </c>
      <c r="W242" s="101">
        <f t="shared" si="19"/>
        <v>1.02</v>
      </c>
      <c r="X242" s="101">
        <f t="shared" si="20"/>
        <v>53.947800000000001</v>
      </c>
      <c r="Y242" s="101">
        <f t="shared" si="21"/>
        <v>9.4227600000000002</v>
      </c>
      <c r="AA242" s="101">
        <v>3</v>
      </c>
      <c r="AB242" s="101">
        <v>3</v>
      </c>
      <c r="AC242" s="101">
        <v>14</v>
      </c>
      <c r="AD242" s="101">
        <v>154</v>
      </c>
      <c r="AE242" s="101">
        <v>15</v>
      </c>
    </row>
    <row r="243" spans="1:31" ht="11.25" customHeight="1" x14ac:dyDescent="0.3">
      <c r="A243" s="126" t="s">
        <v>174</v>
      </c>
      <c r="B243" s="126">
        <v>10</v>
      </c>
      <c r="C243" s="126" t="s">
        <v>172</v>
      </c>
      <c r="D243" s="126" t="str">
        <f t="shared" si="11"/>
        <v>10Uml</v>
      </c>
      <c r="J243" s="101">
        <v>221</v>
      </c>
      <c r="K243" s="101">
        <v>221</v>
      </c>
      <c r="L243" s="101">
        <v>106644</v>
      </c>
      <c r="N243" s="101">
        <v>631558</v>
      </c>
      <c r="O243" s="101">
        <v>246</v>
      </c>
      <c r="P243" s="101">
        <v>251</v>
      </c>
      <c r="Q243" s="101">
        <v>84561</v>
      </c>
      <c r="S243" s="101">
        <v>193439.03899999999</v>
      </c>
      <c r="T243" s="169">
        <v>1.02</v>
      </c>
      <c r="U243" s="101">
        <f t="shared" si="17"/>
        <v>250.92000000000002</v>
      </c>
      <c r="V243" s="101">
        <f t="shared" si="18"/>
        <v>256.02</v>
      </c>
      <c r="W243" s="101">
        <f t="shared" si="19"/>
        <v>86252.22</v>
      </c>
      <c r="X243" s="101">
        <f t="shared" si="20"/>
        <v>0</v>
      </c>
      <c r="Y243" s="101">
        <f t="shared" si="21"/>
        <v>197307.81977999999</v>
      </c>
      <c r="AA243" s="101">
        <v>371</v>
      </c>
      <c r="AB243" s="101">
        <v>374</v>
      </c>
      <c r="AC243" s="101">
        <v>97420</v>
      </c>
      <c r="AE243" s="101">
        <v>358904.29300000001</v>
      </c>
    </row>
    <row r="244" spans="1:31" ht="11.25" hidden="1" customHeight="1" x14ac:dyDescent="0.3">
      <c r="A244" s="126" t="s">
        <v>174</v>
      </c>
      <c r="B244" s="126">
        <v>10</v>
      </c>
      <c r="C244" s="126">
        <v>37</v>
      </c>
      <c r="D244" s="126" t="str">
        <f t="shared" si="11"/>
        <v>1037</v>
      </c>
      <c r="E244" s="101">
        <v>13.25</v>
      </c>
      <c r="F244" s="101">
        <v>51.75</v>
      </c>
      <c r="G244" s="101">
        <v>2081.5</v>
      </c>
      <c r="H244" s="101">
        <v>20532.9025</v>
      </c>
      <c r="I244" s="101">
        <v>3507.4482500000004</v>
      </c>
      <c r="J244" s="101">
        <v>26</v>
      </c>
      <c r="K244" s="101">
        <v>62</v>
      </c>
      <c r="L244" s="101">
        <v>783</v>
      </c>
      <c r="M244" s="101">
        <v>5509</v>
      </c>
      <c r="N244" s="101">
        <v>3609</v>
      </c>
      <c r="O244" s="101">
        <v>37</v>
      </c>
      <c r="P244" s="101">
        <v>173</v>
      </c>
      <c r="Q244" s="101">
        <v>5269</v>
      </c>
      <c r="R244" s="101">
        <v>36152.019999999997</v>
      </c>
      <c r="S244" s="101">
        <v>20142.621000000003</v>
      </c>
      <c r="T244" s="169">
        <v>1.02</v>
      </c>
      <c r="U244" s="101">
        <f t="shared" si="17"/>
        <v>37.74</v>
      </c>
      <c r="V244" s="101">
        <f t="shared" si="18"/>
        <v>176.46</v>
      </c>
      <c r="W244" s="101">
        <f t="shared" si="19"/>
        <v>5374.38</v>
      </c>
      <c r="X244" s="101">
        <f t="shared" si="20"/>
        <v>36875.060399999995</v>
      </c>
      <c r="Y244" s="101">
        <f t="shared" si="21"/>
        <v>20545.473420000002</v>
      </c>
      <c r="AA244" s="101">
        <v>72</v>
      </c>
      <c r="AB244" s="101">
        <v>223</v>
      </c>
      <c r="AC244" s="101">
        <v>13763</v>
      </c>
      <c r="AD244" s="101">
        <v>159717</v>
      </c>
      <c r="AE244" s="101">
        <v>66627</v>
      </c>
    </row>
    <row r="245" spans="1:31" ht="11.25" hidden="1" customHeight="1" x14ac:dyDescent="0.3">
      <c r="A245" s="126" t="s">
        <v>174</v>
      </c>
      <c r="B245" s="126">
        <v>11</v>
      </c>
      <c r="C245" s="126">
        <v>12</v>
      </c>
      <c r="D245" s="126" t="str">
        <f t="shared" si="11"/>
        <v>1112</v>
      </c>
      <c r="E245" s="101">
        <v>55</v>
      </c>
      <c r="F245" s="101">
        <v>87</v>
      </c>
      <c r="G245" s="101">
        <v>121</v>
      </c>
      <c r="H245" s="101">
        <v>2221.61</v>
      </c>
      <c r="I245" s="101">
        <v>675.71699999999998</v>
      </c>
      <c r="J245" s="101">
        <v>19</v>
      </c>
      <c r="K245" s="101">
        <v>33</v>
      </c>
      <c r="L245" s="101">
        <v>38</v>
      </c>
      <c r="M245" s="101">
        <v>796</v>
      </c>
      <c r="N245" s="101">
        <v>158</v>
      </c>
      <c r="O245" s="101">
        <v>20</v>
      </c>
      <c r="P245" s="101">
        <v>28</v>
      </c>
      <c r="Q245" s="101">
        <v>34</v>
      </c>
      <c r="R245" s="101">
        <v>565.61</v>
      </c>
      <c r="S245" s="101">
        <v>173.22200000000001</v>
      </c>
      <c r="T245" s="169">
        <v>0.25</v>
      </c>
      <c r="U245" s="101">
        <f t="shared" si="17"/>
        <v>5</v>
      </c>
      <c r="V245" s="101">
        <f t="shared" si="18"/>
        <v>7</v>
      </c>
      <c r="W245" s="101">
        <f t="shared" si="19"/>
        <v>8.5</v>
      </c>
      <c r="X245" s="101">
        <f t="shared" si="20"/>
        <v>141.4025</v>
      </c>
      <c r="Y245" s="101">
        <f t="shared" si="21"/>
        <v>43.305500000000002</v>
      </c>
      <c r="AA245" s="101">
        <v>16</v>
      </c>
      <c r="AB245" s="101">
        <v>19</v>
      </c>
      <c r="AC245" s="101">
        <v>33</v>
      </c>
      <c r="AD245" s="101">
        <v>760</v>
      </c>
      <c r="AE245" s="101">
        <v>55</v>
      </c>
    </row>
    <row r="246" spans="1:31" ht="11.25" hidden="1" customHeight="1" x14ac:dyDescent="0.3">
      <c r="A246" s="126" t="s">
        <v>174</v>
      </c>
      <c r="B246" s="126">
        <v>11</v>
      </c>
      <c r="C246" s="126">
        <v>17</v>
      </c>
      <c r="D246" s="126" t="str">
        <f t="shared" si="11"/>
        <v>1117</v>
      </c>
      <c r="E246" s="101">
        <v>1381</v>
      </c>
      <c r="F246" s="101">
        <v>2072</v>
      </c>
      <c r="G246" s="101">
        <v>3200</v>
      </c>
      <c r="H246" s="101">
        <v>66097.34</v>
      </c>
      <c r="I246" s="101">
        <v>10511.298000000001</v>
      </c>
      <c r="J246" s="101">
        <v>2025</v>
      </c>
      <c r="K246" s="101">
        <v>2664</v>
      </c>
      <c r="L246" s="101">
        <v>3694</v>
      </c>
      <c r="M246" s="101">
        <v>136004</v>
      </c>
      <c r="N246" s="101">
        <v>25140</v>
      </c>
      <c r="O246" s="101">
        <v>1955</v>
      </c>
      <c r="P246" s="101">
        <v>6635</v>
      </c>
      <c r="Q246" s="101">
        <v>10558</v>
      </c>
      <c r="R246" s="101">
        <v>166858.32</v>
      </c>
      <c r="S246" s="101">
        <v>38864.305</v>
      </c>
      <c r="T246" s="169">
        <v>1.02</v>
      </c>
      <c r="U246" s="101">
        <v>1375</v>
      </c>
      <c r="V246" s="101">
        <v>2500</v>
      </c>
      <c r="W246" s="101">
        <v>3750</v>
      </c>
      <c r="X246" s="144">
        <f>R317*T246</f>
        <v>72022.699800000002</v>
      </c>
      <c r="Y246" s="101">
        <v>20000</v>
      </c>
      <c r="AA246" s="101">
        <v>2233</v>
      </c>
      <c r="AB246" s="101">
        <v>3367</v>
      </c>
      <c r="AC246" s="101">
        <v>4617</v>
      </c>
      <c r="AD246" s="101">
        <v>132919</v>
      </c>
      <c r="AE246" s="101">
        <v>25086</v>
      </c>
    </row>
    <row r="247" spans="1:31" ht="11.25" hidden="1" customHeight="1" x14ac:dyDescent="0.3">
      <c r="A247" s="126" t="s">
        <v>174</v>
      </c>
      <c r="B247" s="126">
        <v>11</v>
      </c>
      <c r="C247" s="126">
        <v>18</v>
      </c>
      <c r="D247" s="126" t="str">
        <f t="shared" ref="D247:D364" si="22">CONCATENATE(B247,C247)</f>
        <v>1118</v>
      </c>
      <c r="E247" s="101">
        <v>122</v>
      </c>
      <c r="F247" s="101">
        <v>191</v>
      </c>
      <c r="G247" s="101">
        <v>386</v>
      </c>
      <c r="H247" s="101">
        <v>5478.3399999999992</v>
      </c>
      <c r="I247" s="101">
        <v>750.82299999999998</v>
      </c>
      <c r="J247" s="101">
        <v>167</v>
      </c>
      <c r="K247" s="101">
        <v>246</v>
      </c>
      <c r="L247" s="101">
        <v>375</v>
      </c>
      <c r="M247" s="101">
        <v>11386</v>
      </c>
      <c r="N247" s="101">
        <v>1572</v>
      </c>
      <c r="O247" s="101">
        <v>2563</v>
      </c>
      <c r="P247" s="101">
        <v>2733</v>
      </c>
      <c r="Q247" s="101">
        <v>5270</v>
      </c>
      <c r="R247" s="101">
        <v>121204.02</v>
      </c>
      <c r="S247" s="101">
        <v>86632.84</v>
      </c>
      <c r="T247" s="169">
        <v>0.5</v>
      </c>
      <c r="U247" s="101">
        <f t="shared" si="17"/>
        <v>1281.5</v>
      </c>
      <c r="V247" s="101">
        <f t="shared" si="18"/>
        <v>1366.5</v>
      </c>
      <c r="W247" s="101">
        <f t="shared" si="19"/>
        <v>2635</v>
      </c>
      <c r="X247" s="101">
        <f t="shared" si="20"/>
        <v>60602.01</v>
      </c>
      <c r="Y247" s="101">
        <f t="shared" si="21"/>
        <v>43316.42</v>
      </c>
      <c r="AA247" s="101">
        <v>2234</v>
      </c>
      <c r="AB247" s="101">
        <v>2459</v>
      </c>
      <c r="AC247" s="101">
        <v>2816</v>
      </c>
      <c r="AD247" s="101">
        <v>144862</v>
      </c>
      <c r="AE247" s="101">
        <v>35728</v>
      </c>
    </row>
    <row r="248" spans="1:31" ht="11.25" hidden="1" customHeight="1" x14ac:dyDescent="0.3">
      <c r="A248" s="126" t="s">
        <v>174</v>
      </c>
      <c r="B248" s="126">
        <v>11</v>
      </c>
      <c r="C248" s="126">
        <v>28</v>
      </c>
      <c r="D248" s="126" t="str">
        <f t="shared" si="22"/>
        <v>1128</v>
      </c>
      <c r="E248" s="101">
        <v>231</v>
      </c>
      <c r="F248" s="101">
        <v>1886</v>
      </c>
      <c r="G248" s="101">
        <v>22118</v>
      </c>
      <c r="H248" s="101">
        <v>520856.76999999996</v>
      </c>
      <c r="I248" s="101">
        <v>124627.08499999999</v>
      </c>
      <c r="J248" s="101">
        <v>268</v>
      </c>
      <c r="K248" s="101">
        <v>2934</v>
      </c>
      <c r="L248" s="101">
        <v>18800</v>
      </c>
      <c r="M248" s="101">
        <v>440554</v>
      </c>
      <c r="N248" s="101">
        <v>96000</v>
      </c>
      <c r="O248" s="101">
        <v>369</v>
      </c>
      <c r="P248" s="101">
        <v>3071</v>
      </c>
      <c r="Q248" s="101">
        <v>24411</v>
      </c>
      <c r="R248" s="101">
        <v>640447.44999999995</v>
      </c>
      <c r="S248" s="101">
        <v>242590.182</v>
      </c>
      <c r="T248" s="169">
        <v>1.02</v>
      </c>
      <c r="U248" s="101">
        <f t="shared" si="17"/>
        <v>376.38</v>
      </c>
      <c r="V248" s="101">
        <f t="shared" si="18"/>
        <v>3132.42</v>
      </c>
      <c r="W248" s="101">
        <f t="shared" si="19"/>
        <v>24899.22</v>
      </c>
      <c r="X248" s="101">
        <f t="shared" si="20"/>
        <v>653256.39899999998</v>
      </c>
      <c r="Y248" s="101">
        <f t="shared" si="21"/>
        <v>247441.98564</v>
      </c>
      <c r="AA248" s="101">
        <v>317</v>
      </c>
      <c r="AB248" s="101">
        <v>5969</v>
      </c>
      <c r="AC248" s="101">
        <v>44651</v>
      </c>
      <c r="AD248" s="101">
        <v>904652</v>
      </c>
      <c r="AE248" s="101">
        <v>228843</v>
      </c>
    </row>
    <row r="249" spans="1:31" ht="11.25" hidden="1" customHeight="1" x14ac:dyDescent="0.3">
      <c r="A249" s="126" t="s">
        <v>174</v>
      </c>
      <c r="B249" s="126">
        <v>11</v>
      </c>
      <c r="C249" s="126">
        <v>46</v>
      </c>
      <c r="D249" s="126" t="str">
        <f t="shared" si="22"/>
        <v>1146</v>
      </c>
      <c r="E249" s="101">
        <v>270</v>
      </c>
      <c r="F249" s="101">
        <v>568</v>
      </c>
      <c r="G249" s="101">
        <v>19564</v>
      </c>
      <c r="H249" s="101">
        <v>230498.55</v>
      </c>
      <c r="I249" s="101">
        <v>145427.864</v>
      </c>
      <c r="J249" s="101">
        <v>232</v>
      </c>
      <c r="K249" s="101">
        <v>649</v>
      </c>
      <c r="L249" s="101">
        <v>19262</v>
      </c>
      <c r="M249" s="101">
        <v>210100</v>
      </c>
      <c r="N249" s="101">
        <v>56441</v>
      </c>
      <c r="O249" s="101">
        <v>251</v>
      </c>
      <c r="P249" s="101">
        <v>571</v>
      </c>
      <c r="Q249" s="101">
        <v>12244</v>
      </c>
      <c r="R249" s="101">
        <v>262676.90999999997</v>
      </c>
      <c r="S249" s="101">
        <v>100660.299</v>
      </c>
      <c r="T249" s="169">
        <v>1.02</v>
      </c>
      <c r="U249" s="101">
        <f t="shared" si="17"/>
        <v>256.02</v>
      </c>
      <c r="V249" s="101">
        <f t="shared" si="18"/>
        <v>582.41999999999996</v>
      </c>
      <c r="W249" s="101">
        <f t="shared" si="19"/>
        <v>12488.880000000001</v>
      </c>
      <c r="X249" s="101">
        <f t="shared" si="20"/>
        <v>267930.44819999998</v>
      </c>
      <c r="Y249" s="101">
        <f t="shared" si="21"/>
        <v>102673.50498</v>
      </c>
      <c r="AA249" s="101">
        <v>205</v>
      </c>
      <c r="AB249" s="101">
        <v>532</v>
      </c>
      <c r="AC249" s="101">
        <v>55998</v>
      </c>
      <c r="AD249" s="101">
        <v>295256</v>
      </c>
      <c r="AE249" s="101">
        <v>92348</v>
      </c>
    </row>
    <row r="250" spans="1:31" ht="11.25" hidden="1" customHeight="1" x14ac:dyDescent="0.3">
      <c r="A250" s="126" t="s">
        <v>174</v>
      </c>
      <c r="B250" s="126">
        <v>11</v>
      </c>
      <c r="C250" s="126">
        <v>47</v>
      </c>
      <c r="D250" s="126" t="str">
        <f t="shared" si="22"/>
        <v>1147</v>
      </c>
      <c r="E250" s="101">
        <v>2</v>
      </c>
      <c r="F250" s="101">
        <v>3</v>
      </c>
      <c r="G250" s="101">
        <v>4</v>
      </c>
      <c r="H250" s="101">
        <v>13.45</v>
      </c>
      <c r="I250" s="101">
        <v>64.194000000000003</v>
      </c>
      <c r="J250" s="101">
        <v>1</v>
      </c>
      <c r="K250" s="101">
        <v>1</v>
      </c>
      <c r="L250" s="101">
        <v>1</v>
      </c>
      <c r="M250" s="101">
        <v>10</v>
      </c>
      <c r="N250" s="101">
        <v>1</v>
      </c>
      <c r="O250" s="101">
        <v>0</v>
      </c>
      <c r="P250" s="101">
        <v>0</v>
      </c>
      <c r="Q250" s="101">
        <v>0</v>
      </c>
      <c r="R250" s="101">
        <v>0</v>
      </c>
      <c r="S250" s="101">
        <v>0</v>
      </c>
      <c r="T250" s="169">
        <v>1.02</v>
      </c>
      <c r="U250" s="101">
        <f t="shared" si="17"/>
        <v>0</v>
      </c>
      <c r="V250" s="101">
        <f t="shared" si="18"/>
        <v>0</v>
      </c>
      <c r="W250" s="101">
        <f t="shared" si="19"/>
        <v>0</v>
      </c>
      <c r="X250" s="101">
        <f t="shared" si="20"/>
        <v>0</v>
      </c>
      <c r="Y250" s="101">
        <f t="shared" si="21"/>
        <v>0</v>
      </c>
      <c r="AA250" s="101">
        <v>3</v>
      </c>
      <c r="AB250" s="101">
        <v>3</v>
      </c>
      <c r="AC250" s="101">
        <v>550</v>
      </c>
      <c r="AD250" s="101">
        <v>8247</v>
      </c>
      <c r="AE250" s="101">
        <v>1377</v>
      </c>
    </row>
    <row r="251" spans="1:31" ht="11.25" hidden="1" customHeight="1" x14ac:dyDescent="0.3">
      <c r="A251" s="126" t="s">
        <v>174</v>
      </c>
      <c r="B251" s="126">
        <v>11</v>
      </c>
      <c r="C251" s="126">
        <v>66</v>
      </c>
      <c r="D251" s="126" t="str">
        <f t="shared" si="22"/>
        <v>1166</v>
      </c>
      <c r="E251" s="101">
        <v>391</v>
      </c>
      <c r="F251" s="101">
        <v>1632</v>
      </c>
      <c r="G251" s="101">
        <v>23463</v>
      </c>
      <c r="H251" s="101">
        <v>145354.91</v>
      </c>
      <c r="I251" s="101">
        <v>84692.723999999987</v>
      </c>
      <c r="J251" s="101">
        <v>322</v>
      </c>
      <c r="K251" s="101">
        <v>1843</v>
      </c>
      <c r="L251" s="101">
        <v>27230</v>
      </c>
      <c r="M251" s="101">
        <v>182553</v>
      </c>
      <c r="N251" s="101">
        <v>90182</v>
      </c>
      <c r="O251" s="101">
        <v>328</v>
      </c>
      <c r="P251" s="101">
        <v>1524</v>
      </c>
      <c r="Q251" s="101">
        <v>35896</v>
      </c>
      <c r="R251" s="101">
        <v>226269.81</v>
      </c>
      <c r="S251" s="101">
        <v>127850.86900000001</v>
      </c>
      <c r="T251" s="169">
        <v>1.02</v>
      </c>
      <c r="U251" s="101">
        <f t="shared" si="17"/>
        <v>334.56</v>
      </c>
      <c r="V251" s="101">
        <f t="shared" si="18"/>
        <v>1554.48</v>
      </c>
      <c r="W251" s="101">
        <f t="shared" si="19"/>
        <v>36613.919999999998</v>
      </c>
      <c r="X251" s="101">
        <f t="shared" si="20"/>
        <v>230795.20620000002</v>
      </c>
      <c r="Y251" s="101">
        <f t="shared" si="21"/>
        <v>130407.88638000001</v>
      </c>
      <c r="AA251" s="101">
        <v>187</v>
      </c>
      <c r="AB251" s="101">
        <v>1280</v>
      </c>
      <c r="AC251" s="101">
        <v>26534</v>
      </c>
      <c r="AD251" s="101">
        <v>180774</v>
      </c>
      <c r="AE251" s="101">
        <v>88440</v>
      </c>
    </row>
    <row r="252" spans="1:31" ht="11.25" hidden="1" customHeight="1" x14ac:dyDescent="0.3">
      <c r="A252" s="126" t="s">
        <v>174</v>
      </c>
      <c r="B252" s="126">
        <v>11</v>
      </c>
      <c r="C252" s="126">
        <v>30</v>
      </c>
      <c r="D252" s="126" t="str">
        <f t="shared" si="22"/>
        <v>1130</v>
      </c>
      <c r="E252" s="101">
        <v>414</v>
      </c>
      <c r="F252" s="101">
        <v>3589</v>
      </c>
      <c r="G252" s="101">
        <v>14887</v>
      </c>
      <c r="H252" s="101">
        <v>342758.17</v>
      </c>
      <c r="I252" s="101">
        <v>122753.1355</v>
      </c>
      <c r="J252" s="101">
        <v>318</v>
      </c>
      <c r="K252" s="101">
        <v>5061</v>
      </c>
      <c r="L252" s="101">
        <v>40750</v>
      </c>
      <c r="M252" s="101">
        <v>1341747</v>
      </c>
      <c r="N252" s="101">
        <v>446289</v>
      </c>
      <c r="O252" s="138"/>
      <c r="P252" s="138"/>
      <c r="Q252" s="138"/>
      <c r="R252" s="138"/>
      <c r="S252" s="138"/>
      <c r="T252" s="169">
        <v>1.02</v>
      </c>
      <c r="U252" s="101">
        <f t="shared" si="17"/>
        <v>0</v>
      </c>
      <c r="V252" s="101">
        <f t="shared" si="18"/>
        <v>0</v>
      </c>
      <c r="W252" s="101">
        <f t="shared" si="19"/>
        <v>0</v>
      </c>
      <c r="X252" s="101">
        <f t="shared" si="20"/>
        <v>0</v>
      </c>
      <c r="Y252" s="101">
        <f t="shared" si="21"/>
        <v>0</v>
      </c>
      <c r="AA252" s="101">
        <v>90</v>
      </c>
      <c r="AB252" s="101">
        <v>112</v>
      </c>
      <c r="AC252" s="101">
        <v>1815</v>
      </c>
      <c r="AD252" s="101">
        <v>120515</v>
      </c>
      <c r="AE252" s="101">
        <v>75415</v>
      </c>
    </row>
    <row r="253" spans="1:31" ht="11.25" hidden="1" customHeight="1" x14ac:dyDescent="0.3">
      <c r="A253" s="126" t="s">
        <v>174</v>
      </c>
      <c r="B253" s="126">
        <v>11</v>
      </c>
      <c r="C253" s="126">
        <v>21</v>
      </c>
      <c r="D253" s="126" t="str">
        <f t="shared" si="22"/>
        <v>1121</v>
      </c>
      <c r="E253" s="101">
        <v>1684</v>
      </c>
      <c r="F253" s="101">
        <v>5277.5</v>
      </c>
      <c r="G253" s="101">
        <v>21066.5</v>
      </c>
      <c r="H253" s="101">
        <v>333868.95</v>
      </c>
      <c r="I253" s="101">
        <v>87915.012000000017</v>
      </c>
      <c r="J253" s="101">
        <v>875</v>
      </c>
      <c r="K253" s="101">
        <v>5971</v>
      </c>
      <c r="L253" s="101">
        <v>25748</v>
      </c>
      <c r="M253" s="101">
        <v>372196</v>
      </c>
      <c r="N253" s="101">
        <v>103906</v>
      </c>
      <c r="O253" s="138">
        <v>1145</v>
      </c>
      <c r="P253" s="138">
        <v>8217</v>
      </c>
      <c r="Q253" s="138">
        <v>37568</v>
      </c>
      <c r="R253" s="138">
        <v>452694.18000000005</v>
      </c>
      <c r="S253" s="138">
        <v>112280.26399999998</v>
      </c>
      <c r="T253" s="169">
        <v>1.02</v>
      </c>
      <c r="U253" s="101">
        <f t="shared" si="17"/>
        <v>1167.9000000000001</v>
      </c>
      <c r="V253" s="101">
        <f t="shared" si="18"/>
        <v>8381.34</v>
      </c>
      <c r="W253" s="101">
        <f t="shared" si="19"/>
        <v>38319.360000000001</v>
      </c>
      <c r="X253" s="101">
        <f t="shared" si="20"/>
        <v>461748.06360000005</v>
      </c>
      <c r="Y253" s="101">
        <f t="shared" si="21"/>
        <v>114525.86927999998</v>
      </c>
      <c r="AA253" s="101">
        <v>893</v>
      </c>
      <c r="AB253" s="101">
        <v>7486</v>
      </c>
      <c r="AC253" s="101">
        <v>48762</v>
      </c>
      <c r="AD253" s="101">
        <v>514278</v>
      </c>
      <c r="AE253" s="101">
        <v>154794</v>
      </c>
    </row>
    <row r="254" spans="1:31" ht="11.25" hidden="1" customHeight="1" x14ac:dyDescent="0.3">
      <c r="A254" s="126" t="s">
        <v>174</v>
      </c>
      <c r="B254" s="126">
        <v>11</v>
      </c>
      <c r="C254" s="126">
        <v>71</v>
      </c>
      <c r="D254" s="126" t="str">
        <f t="shared" si="22"/>
        <v>1171</v>
      </c>
      <c r="E254" s="101">
        <v>833</v>
      </c>
      <c r="F254" s="101">
        <v>6691.5</v>
      </c>
      <c r="G254" s="101">
        <v>24925.5</v>
      </c>
      <c r="H254" s="101">
        <v>179654.23499999999</v>
      </c>
      <c r="I254" s="101">
        <v>88363.660999999993</v>
      </c>
      <c r="J254" s="101">
        <v>478</v>
      </c>
      <c r="K254" s="101">
        <v>5156</v>
      </c>
      <c r="L254" s="101">
        <v>17586</v>
      </c>
      <c r="M254" s="101">
        <v>119426</v>
      </c>
      <c r="N254" s="101">
        <v>175303</v>
      </c>
      <c r="O254" s="101">
        <v>457</v>
      </c>
      <c r="P254" s="101">
        <v>6175</v>
      </c>
      <c r="Q254" s="101">
        <v>19133</v>
      </c>
      <c r="R254" s="101">
        <v>155348.37</v>
      </c>
      <c r="S254" s="101">
        <v>80020.486999999994</v>
      </c>
      <c r="T254" s="176">
        <v>0.98</v>
      </c>
      <c r="U254" s="101">
        <f t="shared" si="17"/>
        <v>447.86</v>
      </c>
      <c r="V254" s="101">
        <f t="shared" si="18"/>
        <v>6051.5</v>
      </c>
      <c r="W254" s="101">
        <f t="shared" si="19"/>
        <v>18750.34</v>
      </c>
      <c r="X254" s="101">
        <f t="shared" si="20"/>
        <v>152241.4026</v>
      </c>
      <c r="Y254" s="101">
        <f t="shared" si="21"/>
        <v>78420.077259999991</v>
      </c>
      <c r="AA254" s="101">
        <v>429</v>
      </c>
      <c r="AB254" s="101">
        <v>6485</v>
      </c>
      <c r="AC254" s="101">
        <v>24629</v>
      </c>
      <c r="AD254" s="101">
        <v>177171</v>
      </c>
      <c r="AE254" s="101">
        <v>120218</v>
      </c>
    </row>
    <row r="255" spans="1:31" ht="11.25" hidden="1" customHeight="1" x14ac:dyDescent="0.3">
      <c r="A255" s="126" t="s">
        <v>174</v>
      </c>
      <c r="B255" s="126">
        <v>11</v>
      </c>
      <c r="C255" s="126">
        <v>25</v>
      </c>
      <c r="D255" s="126" t="str">
        <f t="shared" si="22"/>
        <v>1125</v>
      </c>
      <c r="E255" s="101">
        <v>1027</v>
      </c>
      <c r="F255" s="101">
        <v>5330</v>
      </c>
      <c r="G255" s="101">
        <v>29201</v>
      </c>
      <c r="H255" s="101">
        <v>349755.64</v>
      </c>
      <c r="I255" s="101">
        <v>168626.576</v>
      </c>
      <c r="J255" s="101">
        <v>763</v>
      </c>
      <c r="K255" s="101">
        <v>6577</v>
      </c>
      <c r="L255" s="101">
        <v>38487</v>
      </c>
      <c r="M255" s="101">
        <v>440146</v>
      </c>
      <c r="N255" s="101">
        <v>246274</v>
      </c>
      <c r="O255" s="101">
        <v>921</v>
      </c>
      <c r="P255" s="101">
        <v>7627</v>
      </c>
      <c r="Q255" s="101">
        <v>32098</v>
      </c>
      <c r="R255" s="101">
        <v>273509.83999999997</v>
      </c>
      <c r="S255" s="101">
        <v>156917.59299999999</v>
      </c>
      <c r="T255" s="169">
        <v>1.02</v>
      </c>
      <c r="U255" s="101">
        <f t="shared" si="17"/>
        <v>939.42000000000007</v>
      </c>
      <c r="V255" s="101">
        <f t="shared" si="18"/>
        <v>7779.54</v>
      </c>
      <c r="W255" s="101">
        <f t="shared" si="19"/>
        <v>32739.96</v>
      </c>
      <c r="X255" s="101">
        <f t="shared" si="20"/>
        <v>278980.03679999994</v>
      </c>
      <c r="Y255" s="101">
        <f t="shared" si="21"/>
        <v>160055.94485999999</v>
      </c>
      <c r="AA255" s="101">
        <v>941</v>
      </c>
      <c r="AB255" s="101">
        <v>7768</v>
      </c>
      <c r="AC255" s="101">
        <v>50404</v>
      </c>
      <c r="AD255" s="101">
        <v>428493</v>
      </c>
      <c r="AE255" s="101">
        <v>198230</v>
      </c>
    </row>
    <row r="256" spans="1:31" ht="11.25" hidden="1" customHeight="1" x14ac:dyDescent="0.3">
      <c r="A256" s="126" t="s">
        <v>174</v>
      </c>
      <c r="B256" s="126">
        <v>11</v>
      </c>
      <c r="C256" s="126">
        <v>14</v>
      </c>
      <c r="D256" s="126" t="str">
        <f t="shared" si="22"/>
        <v>1114</v>
      </c>
      <c r="J256" s="101">
        <v>0</v>
      </c>
      <c r="K256" s="101">
        <v>0</v>
      </c>
      <c r="L256" s="101">
        <v>0</v>
      </c>
      <c r="M256" s="101">
        <v>0</v>
      </c>
      <c r="N256" s="101">
        <v>0</v>
      </c>
      <c r="O256" s="101">
        <v>47</v>
      </c>
      <c r="P256" s="101">
        <v>79</v>
      </c>
      <c r="Q256" s="101">
        <v>120</v>
      </c>
      <c r="R256" s="101">
        <v>6027.5599999999995</v>
      </c>
      <c r="S256" s="101">
        <v>690.19899999999996</v>
      </c>
      <c r="T256" s="169">
        <v>1.02</v>
      </c>
      <c r="U256" s="101">
        <f t="shared" si="17"/>
        <v>47.94</v>
      </c>
      <c r="V256" s="101">
        <f t="shared" si="18"/>
        <v>80.58</v>
      </c>
      <c r="W256" s="101">
        <f t="shared" si="19"/>
        <v>122.4</v>
      </c>
      <c r="X256" s="101">
        <f t="shared" si="20"/>
        <v>6148.1111999999994</v>
      </c>
      <c r="Y256" s="101">
        <f t="shared" si="21"/>
        <v>704.00297999999998</v>
      </c>
      <c r="AA256" s="101">
        <v>123</v>
      </c>
      <c r="AB256" s="101">
        <v>160</v>
      </c>
      <c r="AC256" s="101">
        <v>224</v>
      </c>
      <c r="AD256" s="101">
        <v>10299</v>
      </c>
      <c r="AE256" s="101">
        <v>1911</v>
      </c>
    </row>
    <row r="257" spans="1:31" ht="11.25" hidden="1" customHeight="1" x14ac:dyDescent="0.3">
      <c r="A257" s="126" t="s">
        <v>174</v>
      </c>
      <c r="B257" s="126">
        <v>11</v>
      </c>
      <c r="C257" s="126">
        <v>22</v>
      </c>
      <c r="D257" s="126" t="str">
        <f t="shared" si="22"/>
        <v>1122</v>
      </c>
      <c r="J257" s="101">
        <v>9</v>
      </c>
      <c r="K257" s="101">
        <v>11</v>
      </c>
      <c r="L257" s="101">
        <v>376</v>
      </c>
      <c r="M257" s="101">
        <v>11430</v>
      </c>
      <c r="N257" s="101">
        <v>7940</v>
      </c>
      <c r="O257" s="101">
        <v>5</v>
      </c>
      <c r="P257" s="101">
        <v>16</v>
      </c>
      <c r="Q257" s="101">
        <v>857</v>
      </c>
      <c r="R257" s="101">
        <v>47532.729999999996</v>
      </c>
      <c r="S257" s="101">
        <v>27454.118999999999</v>
      </c>
      <c r="T257" s="169">
        <v>1.02</v>
      </c>
      <c r="U257" s="101">
        <f t="shared" si="17"/>
        <v>5.0999999999999996</v>
      </c>
      <c r="V257" s="101">
        <f t="shared" si="18"/>
        <v>16.32</v>
      </c>
      <c r="W257" s="101">
        <f t="shared" si="19"/>
        <v>874.14</v>
      </c>
      <c r="X257" s="101">
        <f t="shared" si="20"/>
        <v>48483.384599999998</v>
      </c>
      <c r="Y257" s="101">
        <f t="shared" si="21"/>
        <v>28003.201379999999</v>
      </c>
      <c r="AA257" s="101">
        <v>9</v>
      </c>
      <c r="AB257" s="101">
        <v>11</v>
      </c>
      <c r="AC257" s="101">
        <v>38</v>
      </c>
      <c r="AD257" s="101">
        <v>219</v>
      </c>
      <c r="AE257" s="101">
        <v>131</v>
      </c>
    </row>
    <row r="258" spans="1:31" ht="11.25" hidden="1" customHeight="1" x14ac:dyDescent="0.3">
      <c r="A258" s="126" t="s">
        <v>174</v>
      </c>
      <c r="B258" s="126">
        <v>11</v>
      </c>
      <c r="C258" s="126">
        <v>26</v>
      </c>
      <c r="D258" s="126" t="str">
        <f t="shared" si="22"/>
        <v>1126</v>
      </c>
      <c r="J258" s="101">
        <v>11</v>
      </c>
      <c r="K258" s="101">
        <v>19</v>
      </c>
      <c r="L258" s="101">
        <v>87</v>
      </c>
      <c r="M258" s="101">
        <v>2269</v>
      </c>
      <c r="N258" s="101">
        <v>412</v>
      </c>
      <c r="O258" s="101">
        <v>25</v>
      </c>
      <c r="P258" s="101">
        <v>47</v>
      </c>
      <c r="Q258" s="101">
        <v>987</v>
      </c>
      <c r="R258" s="101">
        <v>18076.3</v>
      </c>
      <c r="S258" s="101">
        <v>10599.876000000002</v>
      </c>
      <c r="T258" s="169">
        <v>1.02</v>
      </c>
      <c r="U258" s="101">
        <f t="shared" si="17"/>
        <v>25.5</v>
      </c>
      <c r="V258" s="101">
        <f t="shared" si="18"/>
        <v>47.94</v>
      </c>
      <c r="W258" s="101">
        <f t="shared" si="19"/>
        <v>1006.74</v>
      </c>
      <c r="X258" s="101">
        <f t="shared" si="20"/>
        <v>18437.826000000001</v>
      </c>
      <c r="Y258" s="101">
        <f t="shared" si="21"/>
        <v>10811.873520000003</v>
      </c>
      <c r="AA258" s="101">
        <v>1</v>
      </c>
      <c r="AB258" s="101">
        <v>18</v>
      </c>
      <c r="AC258" s="101">
        <v>120</v>
      </c>
      <c r="AD258" s="101">
        <v>3717</v>
      </c>
      <c r="AE258" s="101">
        <v>695</v>
      </c>
    </row>
    <row r="259" spans="1:31" ht="11.25" hidden="1" customHeight="1" x14ac:dyDescent="0.3">
      <c r="A259" s="126" t="s">
        <v>174</v>
      </c>
      <c r="B259" s="126">
        <v>11</v>
      </c>
      <c r="C259" s="126">
        <v>32</v>
      </c>
      <c r="D259" s="126" t="str">
        <f t="shared" si="22"/>
        <v>1132</v>
      </c>
      <c r="J259" s="101">
        <v>50</v>
      </c>
      <c r="K259" s="101">
        <v>74</v>
      </c>
      <c r="L259" s="101">
        <v>877</v>
      </c>
      <c r="M259" s="101">
        <v>19010</v>
      </c>
      <c r="N259" s="101">
        <v>3487</v>
      </c>
      <c r="O259" s="101">
        <v>42</v>
      </c>
      <c r="P259" s="101">
        <v>85</v>
      </c>
      <c r="Q259" s="101">
        <v>2173</v>
      </c>
      <c r="R259" s="101">
        <v>45656.49</v>
      </c>
      <c r="S259" s="101">
        <v>25316.972999999998</v>
      </c>
      <c r="T259" s="169">
        <v>1.02</v>
      </c>
      <c r="U259" s="101">
        <f t="shared" si="17"/>
        <v>42.84</v>
      </c>
      <c r="V259" s="101">
        <f t="shared" si="18"/>
        <v>86.7</v>
      </c>
      <c r="W259" s="101">
        <f t="shared" si="19"/>
        <v>2216.46</v>
      </c>
      <c r="X259" s="101">
        <f t="shared" si="20"/>
        <v>46569.6198</v>
      </c>
      <c r="Y259" s="101">
        <f t="shared" si="21"/>
        <v>25823.312459999997</v>
      </c>
      <c r="AA259" s="101">
        <v>25</v>
      </c>
      <c r="AB259" s="101">
        <v>92</v>
      </c>
      <c r="AC259" s="101">
        <v>5575</v>
      </c>
      <c r="AD259" s="101">
        <v>39736</v>
      </c>
      <c r="AE259" s="101">
        <v>14172</v>
      </c>
    </row>
    <row r="260" spans="1:31" ht="11.25" hidden="1" customHeight="1" x14ac:dyDescent="0.3">
      <c r="A260" s="126" t="s">
        <v>174</v>
      </c>
      <c r="B260" s="126">
        <v>11</v>
      </c>
      <c r="C260" s="126">
        <v>43</v>
      </c>
      <c r="D260" s="126" t="str">
        <f t="shared" si="22"/>
        <v>1143</v>
      </c>
      <c r="J260" s="101">
        <v>0</v>
      </c>
      <c r="K260" s="101">
        <v>0</v>
      </c>
      <c r="L260" s="101">
        <v>0</v>
      </c>
      <c r="M260" s="101">
        <v>0</v>
      </c>
      <c r="N260" s="101">
        <v>0</v>
      </c>
      <c r="O260" s="101">
        <v>0</v>
      </c>
      <c r="P260" s="101">
        <v>0</v>
      </c>
      <c r="Q260" s="101">
        <v>0</v>
      </c>
      <c r="R260" s="101">
        <v>0</v>
      </c>
      <c r="S260" s="101">
        <v>0</v>
      </c>
      <c r="T260" s="169">
        <v>1.02</v>
      </c>
      <c r="U260" s="101">
        <f t="shared" si="17"/>
        <v>0</v>
      </c>
      <c r="V260" s="101">
        <f t="shared" si="18"/>
        <v>0</v>
      </c>
      <c r="W260" s="101">
        <f t="shared" si="19"/>
        <v>0</v>
      </c>
      <c r="X260" s="101">
        <f t="shared" si="20"/>
        <v>0</v>
      </c>
      <c r="Y260" s="101">
        <f t="shared" si="21"/>
        <v>0</v>
      </c>
      <c r="AA260" s="101">
        <v>0</v>
      </c>
      <c r="AB260" s="101">
        <v>0</v>
      </c>
      <c r="AC260" s="101">
        <v>0</v>
      </c>
      <c r="AD260" s="101">
        <v>0</v>
      </c>
      <c r="AE260" s="101">
        <v>0</v>
      </c>
    </row>
    <row r="261" spans="1:31" ht="11.25" hidden="1" customHeight="1" x14ac:dyDescent="0.3">
      <c r="A261" s="126" t="s">
        <v>174</v>
      </c>
      <c r="B261" s="126">
        <v>11</v>
      </c>
      <c r="C261" s="126">
        <v>44</v>
      </c>
      <c r="D261" s="126" t="str">
        <f t="shared" si="22"/>
        <v>1144</v>
      </c>
      <c r="J261" s="101">
        <v>0</v>
      </c>
      <c r="K261" s="101">
        <v>0</v>
      </c>
      <c r="L261" s="101">
        <v>0</v>
      </c>
      <c r="M261" s="101">
        <v>0</v>
      </c>
      <c r="N261" s="101">
        <v>0</v>
      </c>
      <c r="O261" s="101">
        <v>0</v>
      </c>
      <c r="P261" s="101">
        <v>0</v>
      </c>
      <c r="Q261" s="101">
        <v>0</v>
      </c>
      <c r="R261" s="101">
        <v>0</v>
      </c>
      <c r="S261" s="101">
        <v>0</v>
      </c>
      <c r="T261" s="169">
        <v>1.02</v>
      </c>
      <c r="U261" s="101">
        <f t="shared" si="17"/>
        <v>0</v>
      </c>
      <c r="V261" s="101">
        <f t="shared" si="18"/>
        <v>0</v>
      </c>
      <c r="W261" s="101">
        <f t="shared" si="19"/>
        <v>0</v>
      </c>
      <c r="X261" s="101">
        <f t="shared" si="20"/>
        <v>0</v>
      </c>
      <c r="Y261" s="101">
        <f t="shared" si="21"/>
        <v>0</v>
      </c>
      <c r="AA261" s="101">
        <v>0</v>
      </c>
      <c r="AB261" s="101">
        <v>0</v>
      </c>
      <c r="AC261" s="101">
        <v>0</v>
      </c>
      <c r="AD261" s="101">
        <v>0</v>
      </c>
      <c r="AE261" s="101">
        <v>0</v>
      </c>
    </row>
    <row r="262" spans="1:31" ht="11.25" hidden="1" customHeight="1" x14ac:dyDescent="0.3">
      <c r="A262" s="126" t="s">
        <v>174</v>
      </c>
      <c r="B262" s="126">
        <v>11</v>
      </c>
      <c r="C262" s="126">
        <v>45</v>
      </c>
      <c r="D262" s="126" t="str">
        <f t="shared" si="22"/>
        <v>1145</v>
      </c>
      <c r="J262" s="101">
        <v>0</v>
      </c>
      <c r="K262" s="101">
        <v>0</v>
      </c>
      <c r="L262" s="101">
        <v>0</v>
      </c>
      <c r="M262" s="101">
        <v>0</v>
      </c>
      <c r="N262" s="101">
        <v>0</v>
      </c>
      <c r="O262" s="101">
        <v>0</v>
      </c>
      <c r="P262" s="101">
        <v>0</v>
      </c>
      <c r="Q262" s="101">
        <v>0</v>
      </c>
      <c r="R262" s="101">
        <v>0</v>
      </c>
      <c r="S262" s="101">
        <v>0</v>
      </c>
      <c r="T262" s="169">
        <v>1.02</v>
      </c>
      <c r="U262" s="101">
        <f t="shared" ref="U262:U325" si="23">O262*T262</f>
        <v>0</v>
      </c>
      <c r="V262" s="101">
        <f t="shared" ref="V262:V322" si="24">P262*T262</f>
        <v>0</v>
      </c>
      <c r="W262" s="101">
        <f t="shared" ref="W262:W325" si="25">Q262*T262</f>
        <v>0</v>
      </c>
      <c r="X262" s="101">
        <f t="shared" ref="X262:X325" si="26">R262*T262</f>
        <v>0</v>
      </c>
      <c r="Y262" s="101">
        <f t="shared" ref="Y262:Y325" si="27">S262*T262</f>
        <v>0</v>
      </c>
      <c r="AA262" s="101">
        <v>0</v>
      </c>
      <c r="AB262" s="101">
        <v>0</v>
      </c>
      <c r="AC262" s="101">
        <v>0</v>
      </c>
      <c r="AD262" s="101">
        <v>0</v>
      </c>
      <c r="AE262" s="101">
        <v>0</v>
      </c>
    </row>
    <row r="263" spans="1:31" ht="11.25" hidden="1" customHeight="1" x14ac:dyDescent="0.3">
      <c r="A263" s="126" t="s">
        <v>174</v>
      </c>
      <c r="B263" s="126">
        <v>11</v>
      </c>
      <c r="C263" s="126">
        <v>48</v>
      </c>
      <c r="D263" s="126" t="str">
        <f t="shared" si="22"/>
        <v>1148</v>
      </c>
      <c r="J263" s="101">
        <v>0</v>
      </c>
      <c r="K263" s="101">
        <v>0</v>
      </c>
      <c r="L263" s="101">
        <v>0</v>
      </c>
      <c r="M263" s="101">
        <v>0</v>
      </c>
      <c r="N263" s="101">
        <v>0</v>
      </c>
      <c r="O263" s="101">
        <v>0</v>
      </c>
      <c r="P263" s="101">
        <v>0</v>
      </c>
      <c r="Q263" s="101">
        <v>0</v>
      </c>
      <c r="R263" s="101">
        <v>0</v>
      </c>
      <c r="S263" s="101">
        <v>0</v>
      </c>
      <c r="T263" s="169">
        <v>1.02</v>
      </c>
      <c r="U263" s="101">
        <f t="shared" si="23"/>
        <v>0</v>
      </c>
      <c r="V263" s="101">
        <f t="shared" si="24"/>
        <v>0</v>
      </c>
      <c r="W263" s="101">
        <f t="shared" si="25"/>
        <v>0</v>
      </c>
      <c r="X263" s="101">
        <f t="shared" si="26"/>
        <v>0</v>
      </c>
      <c r="Y263" s="101">
        <f t="shared" si="27"/>
        <v>0</v>
      </c>
      <c r="AA263" s="101">
        <v>0</v>
      </c>
      <c r="AB263" s="101">
        <v>0</v>
      </c>
      <c r="AC263" s="101">
        <v>0</v>
      </c>
      <c r="AD263" s="101">
        <v>0</v>
      </c>
      <c r="AE263" s="101">
        <v>0</v>
      </c>
    </row>
    <row r="264" spans="1:31" ht="11.25" hidden="1" customHeight="1" x14ac:dyDescent="0.3">
      <c r="A264" s="126" t="s">
        <v>174</v>
      </c>
      <c r="B264" s="126">
        <v>11</v>
      </c>
      <c r="C264" s="126">
        <v>91</v>
      </c>
      <c r="D264" s="126" t="str">
        <f t="shared" si="22"/>
        <v>1191</v>
      </c>
      <c r="J264" s="101">
        <v>68</v>
      </c>
      <c r="K264" s="101">
        <v>183</v>
      </c>
      <c r="L264" s="101">
        <v>669</v>
      </c>
      <c r="M264" s="101">
        <v>6066</v>
      </c>
      <c r="N264" s="101">
        <v>3417</v>
      </c>
      <c r="O264" s="101">
        <v>46</v>
      </c>
      <c r="P264" s="101">
        <v>180</v>
      </c>
      <c r="Q264" s="101">
        <v>1185</v>
      </c>
      <c r="R264" s="101">
        <v>5910.41</v>
      </c>
      <c r="S264" s="101">
        <v>3986.1929999999998</v>
      </c>
      <c r="T264" s="169">
        <v>1.02</v>
      </c>
      <c r="U264" s="101">
        <f t="shared" si="23"/>
        <v>46.92</v>
      </c>
      <c r="V264" s="101">
        <f t="shared" si="24"/>
        <v>183.6</v>
      </c>
      <c r="W264" s="101">
        <f t="shared" si="25"/>
        <v>1208.7</v>
      </c>
      <c r="X264" s="101">
        <f t="shared" si="26"/>
        <v>6028.6181999999999</v>
      </c>
      <c r="Y264" s="101">
        <f t="shared" si="27"/>
        <v>4065.9168599999998</v>
      </c>
      <c r="AA264" s="101">
        <v>42</v>
      </c>
      <c r="AB264" s="101">
        <v>203</v>
      </c>
      <c r="AC264" s="101">
        <v>844</v>
      </c>
      <c r="AD264" s="101">
        <v>6426</v>
      </c>
      <c r="AE264" s="101">
        <v>3433</v>
      </c>
    </row>
    <row r="265" spans="1:31" ht="11.25" hidden="1" customHeight="1" x14ac:dyDescent="0.3">
      <c r="A265" s="126" t="s">
        <v>174</v>
      </c>
      <c r="B265" s="126">
        <v>11</v>
      </c>
      <c r="C265" s="126">
        <v>27</v>
      </c>
      <c r="D265" s="126" t="str">
        <f t="shared" si="22"/>
        <v>1127</v>
      </c>
      <c r="E265" s="101">
        <v>108</v>
      </c>
      <c r="F265" s="101">
        <v>1211</v>
      </c>
      <c r="G265" s="101">
        <v>3854</v>
      </c>
      <c r="H265" s="101">
        <v>49741.97</v>
      </c>
      <c r="I265" s="101">
        <v>16522.805999999997</v>
      </c>
      <c r="J265" s="101">
        <v>80</v>
      </c>
      <c r="K265" s="101">
        <v>1513</v>
      </c>
      <c r="L265" s="101">
        <v>6496</v>
      </c>
      <c r="M265" s="101">
        <v>78216</v>
      </c>
      <c r="N265" s="101">
        <v>46307</v>
      </c>
      <c r="O265" s="101">
        <v>84</v>
      </c>
      <c r="P265" s="101">
        <v>2240</v>
      </c>
      <c r="Q265" s="101">
        <v>11762</v>
      </c>
      <c r="R265" s="101">
        <v>95662.180000000008</v>
      </c>
      <c r="S265" s="101">
        <v>40959.590000000004</v>
      </c>
      <c r="T265" s="169">
        <v>1.02</v>
      </c>
      <c r="U265" s="101">
        <f t="shared" si="23"/>
        <v>85.68</v>
      </c>
      <c r="V265" s="101">
        <f t="shared" si="24"/>
        <v>2284.8000000000002</v>
      </c>
      <c r="W265" s="101">
        <f t="shared" si="25"/>
        <v>11997.24</v>
      </c>
      <c r="X265" s="101">
        <f t="shared" si="26"/>
        <v>97575.423600000009</v>
      </c>
      <c r="Y265" s="101">
        <f t="shared" si="27"/>
        <v>41778.781800000004</v>
      </c>
      <c r="AA265" s="101">
        <v>81</v>
      </c>
      <c r="AB265" s="101">
        <v>2699</v>
      </c>
      <c r="AC265" s="101">
        <v>19054</v>
      </c>
      <c r="AD265" s="101">
        <v>159012</v>
      </c>
      <c r="AE265" s="101">
        <v>77078</v>
      </c>
    </row>
    <row r="266" spans="1:31" ht="11.25" hidden="1" customHeight="1" x14ac:dyDescent="0.3">
      <c r="A266" s="126" t="s">
        <v>174</v>
      </c>
      <c r="B266" s="126">
        <v>11</v>
      </c>
      <c r="C266" s="126">
        <v>41</v>
      </c>
      <c r="D266" s="126" t="str">
        <f t="shared" si="22"/>
        <v>1141</v>
      </c>
      <c r="O266" s="101">
        <v>11</v>
      </c>
      <c r="P266" s="101">
        <v>15</v>
      </c>
      <c r="Q266" s="101">
        <v>519</v>
      </c>
      <c r="R266" s="101">
        <v>2001.9299999999998</v>
      </c>
      <c r="S266" s="101">
        <v>695.42399999999998</v>
      </c>
      <c r="T266" s="169">
        <v>1.02</v>
      </c>
      <c r="U266" s="101">
        <f t="shared" si="23"/>
        <v>11.22</v>
      </c>
      <c r="V266" s="101">
        <f t="shared" si="24"/>
        <v>15.3</v>
      </c>
      <c r="W266" s="101">
        <f t="shared" si="25"/>
        <v>529.38</v>
      </c>
      <c r="X266" s="101">
        <f t="shared" si="26"/>
        <v>2041.9685999999999</v>
      </c>
      <c r="Y266" s="101">
        <f t="shared" si="27"/>
        <v>709.33248000000003</v>
      </c>
      <c r="AA266" s="101">
        <v>2</v>
      </c>
      <c r="AB266" s="101">
        <v>2</v>
      </c>
      <c r="AC266" s="101">
        <v>83</v>
      </c>
      <c r="AD266" s="101">
        <v>325</v>
      </c>
      <c r="AE266" s="101">
        <v>106</v>
      </c>
    </row>
    <row r="267" spans="1:31" ht="11.25" customHeight="1" x14ac:dyDescent="0.3">
      <c r="A267" s="126" t="s">
        <v>174</v>
      </c>
      <c r="B267" s="126">
        <v>11</v>
      </c>
      <c r="C267" s="126" t="s">
        <v>172</v>
      </c>
      <c r="D267" s="126" t="str">
        <f t="shared" si="22"/>
        <v>11Uml</v>
      </c>
      <c r="J267" s="101">
        <v>213</v>
      </c>
      <c r="K267" s="101">
        <v>213</v>
      </c>
      <c r="L267" s="101">
        <v>108770</v>
      </c>
      <c r="N267" s="101">
        <v>584769</v>
      </c>
      <c r="O267" s="101">
        <v>340</v>
      </c>
      <c r="P267" s="101">
        <v>347</v>
      </c>
      <c r="Q267" s="101">
        <v>78461</v>
      </c>
      <c r="S267" s="101">
        <v>316197</v>
      </c>
      <c r="T267" s="169">
        <v>1.02</v>
      </c>
      <c r="U267" s="101">
        <f t="shared" si="23"/>
        <v>346.8</v>
      </c>
      <c r="V267" s="101">
        <f t="shared" si="24"/>
        <v>353.94</v>
      </c>
      <c r="W267" s="101">
        <f t="shared" si="25"/>
        <v>80030.22</v>
      </c>
      <c r="X267" s="101">
        <f t="shared" si="26"/>
        <v>0</v>
      </c>
      <c r="Y267" s="101">
        <f t="shared" si="27"/>
        <v>322520.94</v>
      </c>
      <c r="AA267" s="101">
        <v>451</v>
      </c>
      <c r="AB267" s="101">
        <v>455</v>
      </c>
      <c r="AC267" s="101">
        <v>120603</v>
      </c>
      <c r="AE267" s="101">
        <v>287440.21299999999</v>
      </c>
    </row>
    <row r="268" spans="1:31" ht="11.25" hidden="1" customHeight="1" x14ac:dyDescent="0.3">
      <c r="A268" s="126" t="s">
        <v>174</v>
      </c>
      <c r="B268" s="126">
        <v>11</v>
      </c>
      <c r="C268" s="126">
        <v>37</v>
      </c>
      <c r="D268" s="126" t="str">
        <f t="shared" si="22"/>
        <v>1137</v>
      </c>
      <c r="E268" s="101">
        <v>9</v>
      </c>
      <c r="F268" s="101">
        <v>22.75</v>
      </c>
      <c r="G268" s="101">
        <v>1453.25</v>
      </c>
      <c r="H268" s="101">
        <v>21461.055</v>
      </c>
      <c r="I268" s="101">
        <v>1079.9402500000001</v>
      </c>
      <c r="J268" s="101">
        <v>21</v>
      </c>
      <c r="K268" s="101">
        <v>86</v>
      </c>
      <c r="L268" s="101">
        <v>1874</v>
      </c>
      <c r="M268" s="101">
        <v>13322</v>
      </c>
      <c r="N268" s="101">
        <v>8698</v>
      </c>
      <c r="O268" s="101">
        <v>42</v>
      </c>
      <c r="P268" s="101">
        <v>204</v>
      </c>
      <c r="Q268" s="101">
        <v>3335</v>
      </c>
      <c r="R268" s="101">
        <v>18755.099999999999</v>
      </c>
      <c r="S268" s="101">
        <v>11367.417000000001</v>
      </c>
      <c r="T268" s="169">
        <v>1.02</v>
      </c>
      <c r="U268" s="101">
        <f t="shared" si="23"/>
        <v>42.84</v>
      </c>
      <c r="V268" s="101">
        <f t="shared" si="24"/>
        <v>208.08</v>
      </c>
      <c r="W268" s="101">
        <f t="shared" si="25"/>
        <v>3401.7000000000003</v>
      </c>
      <c r="X268" s="101">
        <f t="shared" si="26"/>
        <v>19130.201999999997</v>
      </c>
      <c r="Y268" s="101">
        <f t="shared" si="27"/>
        <v>11594.765340000002</v>
      </c>
      <c r="AA268" s="101">
        <v>63</v>
      </c>
      <c r="AB268" s="101">
        <v>230</v>
      </c>
      <c r="AC268" s="101">
        <v>9735</v>
      </c>
      <c r="AD268" s="101">
        <v>71237</v>
      </c>
      <c r="AE268" s="101">
        <v>34745</v>
      </c>
    </row>
    <row r="269" spans="1:31" ht="11.25" hidden="1" customHeight="1" x14ac:dyDescent="0.3">
      <c r="A269" s="126" t="s">
        <v>174</v>
      </c>
      <c r="B269" s="126">
        <v>12</v>
      </c>
      <c r="C269" s="126">
        <v>12</v>
      </c>
      <c r="D269" s="126" t="str">
        <f t="shared" si="22"/>
        <v>1212</v>
      </c>
      <c r="E269" s="101">
        <v>27</v>
      </c>
      <c r="F269" s="101">
        <v>49</v>
      </c>
      <c r="G269" s="101">
        <v>70</v>
      </c>
      <c r="H269" s="101">
        <v>1763.51</v>
      </c>
      <c r="I269" s="101">
        <v>485.56299999999999</v>
      </c>
      <c r="J269" s="101">
        <v>43</v>
      </c>
      <c r="K269" s="101">
        <v>153</v>
      </c>
      <c r="L269" s="101">
        <v>201</v>
      </c>
      <c r="M269" s="101">
        <v>2633.03</v>
      </c>
      <c r="N269" s="101">
        <v>587.37699999999995</v>
      </c>
      <c r="O269" s="101">
        <v>15</v>
      </c>
      <c r="P269" s="101">
        <v>22</v>
      </c>
      <c r="Q269" s="101">
        <v>23</v>
      </c>
      <c r="R269" s="101">
        <v>444.49</v>
      </c>
      <c r="S269" s="101">
        <v>97.187999999999988</v>
      </c>
      <c r="T269" s="169">
        <v>0.25</v>
      </c>
      <c r="U269" s="101">
        <f t="shared" si="23"/>
        <v>3.75</v>
      </c>
      <c r="V269" s="101">
        <f t="shared" si="24"/>
        <v>5.5</v>
      </c>
      <c r="W269" s="101">
        <f t="shared" si="25"/>
        <v>5.75</v>
      </c>
      <c r="X269" s="101">
        <f t="shared" si="26"/>
        <v>111.1225</v>
      </c>
      <c r="Y269" s="101">
        <f t="shared" si="27"/>
        <v>24.296999999999997</v>
      </c>
      <c r="AA269" s="101">
        <v>15</v>
      </c>
      <c r="AB269" s="101">
        <v>19</v>
      </c>
      <c r="AC269" s="101">
        <v>48</v>
      </c>
      <c r="AD269" s="101">
        <v>549</v>
      </c>
      <c r="AE269" s="101">
        <v>139</v>
      </c>
    </row>
    <row r="270" spans="1:31" ht="11.25" hidden="1" customHeight="1" x14ac:dyDescent="0.3">
      <c r="A270" s="126" t="s">
        <v>174</v>
      </c>
      <c r="B270" s="126">
        <v>12</v>
      </c>
      <c r="C270" s="126">
        <v>17</v>
      </c>
      <c r="D270" s="126" t="str">
        <f t="shared" si="22"/>
        <v>1217</v>
      </c>
      <c r="E270" s="101">
        <v>1397</v>
      </c>
      <c r="F270" s="101">
        <v>2130</v>
      </c>
      <c r="G270" s="101">
        <v>3234</v>
      </c>
      <c r="H270" s="101">
        <v>64447.41</v>
      </c>
      <c r="I270" s="101">
        <v>10449.911</v>
      </c>
      <c r="J270" s="101">
        <v>2018</v>
      </c>
      <c r="K270" s="101">
        <v>3181</v>
      </c>
      <c r="L270" s="101">
        <v>4064</v>
      </c>
      <c r="M270" s="101">
        <v>133915.51</v>
      </c>
      <c r="N270" s="101">
        <v>23783.132000000001</v>
      </c>
      <c r="O270" s="101">
        <v>1143</v>
      </c>
      <c r="P270" s="101">
        <v>2431</v>
      </c>
      <c r="Q270" s="101">
        <v>3544</v>
      </c>
      <c r="R270" s="101">
        <v>87587.34</v>
      </c>
      <c r="S270" s="101">
        <v>17181.685999999998</v>
      </c>
      <c r="T270" s="169">
        <v>1.02</v>
      </c>
      <c r="U270" s="101">
        <v>1375</v>
      </c>
      <c r="V270" s="101">
        <v>2500</v>
      </c>
      <c r="W270" s="101">
        <v>3750</v>
      </c>
      <c r="X270" s="144">
        <f t="shared" si="26"/>
        <v>89339.086800000005</v>
      </c>
      <c r="Y270" s="101">
        <v>20000</v>
      </c>
      <c r="AA270" s="101">
        <v>2376</v>
      </c>
      <c r="AB270" s="101">
        <v>3812</v>
      </c>
      <c r="AC270" s="101">
        <v>5012</v>
      </c>
      <c r="AD270" s="101">
        <v>144855</v>
      </c>
      <c r="AE270" s="101">
        <v>26989</v>
      </c>
    </row>
    <row r="271" spans="1:31" ht="11.25" hidden="1" customHeight="1" x14ac:dyDescent="0.3">
      <c r="A271" s="126" t="s">
        <v>174</v>
      </c>
      <c r="B271" s="126">
        <v>12</v>
      </c>
      <c r="C271" s="126">
        <v>18</v>
      </c>
      <c r="D271" s="126" t="str">
        <f t="shared" si="22"/>
        <v>1218</v>
      </c>
      <c r="E271" s="101">
        <v>145</v>
      </c>
      <c r="F271" s="101">
        <v>211</v>
      </c>
      <c r="G271" s="101">
        <v>471</v>
      </c>
      <c r="H271" s="101">
        <v>10131.86</v>
      </c>
      <c r="I271" s="101">
        <v>1354.2860000000001</v>
      </c>
      <c r="J271" s="101">
        <v>164</v>
      </c>
      <c r="K271" s="101">
        <v>285</v>
      </c>
      <c r="L271" s="101">
        <v>450</v>
      </c>
      <c r="M271" s="101">
        <v>11129.65</v>
      </c>
      <c r="N271" s="101">
        <v>1548.4820000000002</v>
      </c>
      <c r="O271" s="101">
        <v>2840</v>
      </c>
      <c r="P271" s="101">
        <v>3039</v>
      </c>
      <c r="Q271" s="101">
        <v>5459</v>
      </c>
      <c r="R271" s="101">
        <v>130033.04999999999</v>
      </c>
      <c r="S271" s="101">
        <v>51382.676000000007</v>
      </c>
      <c r="T271" s="169">
        <v>0.5</v>
      </c>
      <c r="U271" s="101">
        <f t="shared" si="23"/>
        <v>1420</v>
      </c>
      <c r="V271" s="101">
        <f t="shared" si="24"/>
        <v>1519.5</v>
      </c>
      <c r="W271" s="101">
        <f t="shared" si="25"/>
        <v>2729.5</v>
      </c>
      <c r="X271" s="101">
        <f t="shared" si="26"/>
        <v>65016.524999999994</v>
      </c>
      <c r="Y271" s="101">
        <f t="shared" si="27"/>
        <v>25691.338000000003</v>
      </c>
      <c r="AA271" s="101">
        <v>1977</v>
      </c>
      <c r="AB271" s="101">
        <v>2145</v>
      </c>
      <c r="AC271" s="101">
        <v>2408</v>
      </c>
      <c r="AD271" s="101">
        <v>118196</v>
      </c>
      <c r="AE271" s="101">
        <v>26094</v>
      </c>
    </row>
    <row r="272" spans="1:31" ht="11.25" hidden="1" customHeight="1" x14ac:dyDescent="0.3">
      <c r="A272" s="126" t="s">
        <v>174</v>
      </c>
      <c r="B272" s="126">
        <v>12</v>
      </c>
      <c r="C272" s="126">
        <v>28</v>
      </c>
      <c r="D272" s="126" t="str">
        <f t="shared" si="22"/>
        <v>1228</v>
      </c>
      <c r="E272" s="101">
        <v>433</v>
      </c>
      <c r="F272" s="101">
        <v>4448</v>
      </c>
      <c r="G272" s="101">
        <v>48427</v>
      </c>
      <c r="H272" s="101">
        <v>875444.78</v>
      </c>
      <c r="I272" s="101">
        <v>210263.56</v>
      </c>
      <c r="J272" s="101">
        <v>228</v>
      </c>
      <c r="K272" s="101">
        <v>2114</v>
      </c>
      <c r="L272" s="101">
        <v>12451</v>
      </c>
      <c r="M272" s="101">
        <v>355423.67</v>
      </c>
      <c r="N272" s="101">
        <v>96820.985000000015</v>
      </c>
      <c r="O272" s="101">
        <v>589</v>
      </c>
      <c r="P272" s="101">
        <v>4592</v>
      </c>
      <c r="Q272" s="101">
        <v>41932</v>
      </c>
      <c r="R272" s="101">
        <v>665464.1</v>
      </c>
      <c r="S272" s="101">
        <v>173459.62000000005</v>
      </c>
      <c r="T272" s="169">
        <v>1.02</v>
      </c>
      <c r="U272" s="101">
        <f t="shared" si="23"/>
        <v>600.78</v>
      </c>
      <c r="V272" s="101">
        <f t="shared" si="24"/>
        <v>4683.84</v>
      </c>
      <c r="W272" s="101">
        <f t="shared" si="25"/>
        <v>42770.64</v>
      </c>
      <c r="X272" s="101">
        <f t="shared" si="26"/>
        <v>678773.38199999998</v>
      </c>
      <c r="Y272" s="101">
        <f t="shared" si="27"/>
        <v>176928.81240000005</v>
      </c>
      <c r="AA272" s="101">
        <v>247</v>
      </c>
      <c r="AB272" s="101">
        <v>4980</v>
      </c>
      <c r="AC272" s="101">
        <v>34230</v>
      </c>
      <c r="AD272" s="101">
        <v>784056</v>
      </c>
      <c r="AE272" s="101">
        <v>231622</v>
      </c>
    </row>
    <row r="273" spans="1:31" ht="11.25" hidden="1" customHeight="1" x14ac:dyDescent="0.3">
      <c r="A273" s="126" t="s">
        <v>174</v>
      </c>
      <c r="B273" s="126">
        <v>12</v>
      </c>
      <c r="C273" s="126">
        <v>46</v>
      </c>
      <c r="D273" s="126" t="str">
        <f t="shared" si="22"/>
        <v>1246</v>
      </c>
      <c r="E273" s="101">
        <v>316</v>
      </c>
      <c r="F273" s="101">
        <v>753</v>
      </c>
      <c r="G273" s="101">
        <v>19945</v>
      </c>
      <c r="H273" s="101">
        <v>268906.69</v>
      </c>
      <c r="I273" s="101">
        <v>80601.421999999991</v>
      </c>
      <c r="J273" s="101">
        <v>278</v>
      </c>
      <c r="K273" s="101">
        <v>675</v>
      </c>
      <c r="L273" s="101">
        <v>18486</v>
      </c>
      <c r="M273" s="101">
        <v>164738.09</v>
      </c>
      <c r="N273" s="101">
        <v>39607.348999999995</v>
      </c>
      <c r="O273" s="101">
        <v>307</v>
      </c>
      <c r="P273" s="101">
        <v>805</v>
      </c>
      <c r="Q273" s="101">
        <v>49039</v>
      </c>
      <c r="R273" s="101">
        <v>525307.25</v>
      </c>
      <c r="S273" s="101">
        <v>237552.83</v>
      </c>
      <c r="T273" s="169">
        <v>1.02</v>
      </c>
      <c r="U273" s="101">
        <f t="shared" si="23"/>
        <v>313.14</v>
      </c>
      <c r="V273" s="101">
        <f t="shared" si="24"/>
        <v>821.1</v>
      </c>
      <c r="W273" s="101">
        <f t="shared" si="25"/>
        <v>50019.78</v>
      </c>
      <c r="X273" s="101">
        <f t="shared" si="26"/>
        <v>535813.39500000002</v>
      </c>
      <c r="Y273" s="101">
        <f t="shared" si="27"/>
        <v>242303.8866</v>
      </c>
      <c r="AA273" s="101">
        <v>270</v>
      </c>
      <c r="AB273" s="101">
        <v>491</v>
      </c>
      <c r="AC273" s="101">
        <v>29864</v>
      </c>
      <c r="AD273" s="101">
        <v>458944</v>
      </c>
      <c r="AE273" s="101">
        <v>162040</v>
      </c>
    </row>
    <row r="274" spans="1:31" ht="11.25" hidden="1" customHeight="1" x14ac:dyDescent="0.3">
      <c r="A274" s="126" t="s">
        <v>174</v>
      </c>
      <c r="B274" s="126">
        <v>12</v>
      </c>
      <c r="C274" s="126">
        <v>48</v>
      </c>
      <c r="D274" s="126" t="str">
        <f t="shared" si="22"/>
        <v>1248</v>
      </c>
      <c r="E274" s="101">
        <v>1</v>
      </c>
      <c r="F274" s="101">
        <v>1</v>
      </c>
      <c r="G274" s="101">
        <v>1000</v>
      </c>
      <c r="H274" s="101">
        <v>4450</v>
      </c>
      <c r="I274" s="101">
        <v>1267.5</v>
      </c>
      <c r="J274" s="101">
        <v>0</v>
      </c>
      <c r="K274" s="101">
        <v>0</v>
      </c>
      <c r="L274" s="101">
        <v>0</v>
      </c>
      <c r="M274" s="101">
        <v>0</v>
      </c>
      <c r="N274" s="101">
        <v>0</v>
      </c>
      <c r="O274" s="101">
        <v>0</v>
      </c>
      <c r="P274" s="101">
        <v>0</v>
      </c>
      <c r="Q274" s="101">
        <v>0</v>
      </c>
      <c r="R274" s="101">
        <v>0</v>
      </c>
      <c r="S274" s="101">
        <v>0</v>
      </c>
      <c r="T274" s="169">
        <v>1.02</v>
      </c>
      <c r="U274" s="101">
        <f t="shared" si="23"/>
        <v>0</v>
      </c>
      <c r="V274" s="101">
        <f t="shared" si="24"/>
        <v>0</v>
      </c>
      <c r="W274" s="101">
        <f t="shared" si="25"/>
        <v>0</v>
      </c>
      <c r="X274" s="101">
        <f t="shared" si="26"/>
        <v>0</v>
      </c>
      <c r="Y274" s="101">
        <f t="shared" si="27"/>
        <v>0</v>
      </c>
      <c r="AA274" s="101">
        <v>0</v>
      </c>
      <c r="AB274" s="101">
        <v>0</v>
      </c>
      <c r="AC274" s="101">
        <v>0</v>
      </c>
      <c r="AD274" s="101">
        <v>0</v>
      </c>
      <c r="AE274" s="101">
        <v>0</v>
      </c>
    </row>
    <row r="275" spans="1:31" ht="11.25" hidden="1" customHeight="1" x14ac:dyDescent="0.3">
      <c r="A275" s="126" t="s">
        <v>174</v>
      </c>
      <c r="B275" s="126">
        <v>12</v>
      </c>
      <c r="C275" s="126">
        <v>66</v>
      </c>
      <c r="D275" s="126" t="str">
        <f t="shared" si="22"/>
        <v>1266</v>
      </c>
      <c r="E275" s="101">
        <v>385</v>
      </c>
      <c r="F275" s="101">
        <v>1322</v>
      </c>
      <c r="G275" s="101">
        <v>25406</v>
      </c>
      <c r="H275" s="101">
        <v>142205.25</v>
      </c>
      <c r="I275" s="101">
        <v>71661.290999999997</v>
      </c>
      <c r="J275" s="101">
        <v>327</v>
      </c>
      <c r="K275" s="101">
        <v>1102</v>
      </c>
      <c r="L275" s="101">
        <v>16747</v>
      </c>
      <c r="M275" s="101">
        <v>91008.81</v>
      </c>
      <c r="N275" s="101">
        <v>44651.292000000001</v>
      </c>
      <c r="O275" s="101">
        <v>333</v>
      </c>
      <c r="P275" s="101">
        <v>1368</v>
      </c>
      <c r="Q275" s="101">
        <v>32436</v>
      </c>
      <c r="R275" s="101">
        <v>167231.94</v>
      </c>
      <c r="S275" s="101">
        <v>95585.479000000007</v>
      </c>
      <c r="T275" s="169">
        <v>1.02</v>
      </c>
      <c r="U275" s="101">
        <f t="shared" si="23"/>
        <v>339.66</v>
      </c>
      <c r="V275" s="101">
        <f t="shared" si="24"/>
        <v>1395.3600000000001</v>
      </c>
      <c r="W275" s="101">
        <f t="shared" si="25"/>
        <v>33084.720000000001</v>
      </c>
      <c r="X275" s="101">
        <f t="shared" si="26"/>
        <v>170576.57880000002</v>
      </c>
      <c r="Y275" s="101">
        <f t="shared" si="27"/>
        <v>97497.188580000002</v>
      </c>
      <c r="AA275" s="101">
        <v>136</v>
      </c>
      <c r="AB275" s="101">
        <v>1310</v>
      </c>
      <c r="AC275" s="101">
        <v>32319</v>
      </c>
      <c r="AD275" s="101">
        <v>203759</v>
      </c>
      <c r="AE275" s="101">
        <v>102106</v>
      </c>
    </row>
    <row r="276" spans="1:31" ht="11.25" hidden="1" customHeight="1" x14ac:dyDescent="0.3">
      <c r="A276" s="126" t="s">
        <v>174</v>
      </c>
      <c r="B276" s="126">
        <v>12</v>
      </c>
      <c r="C276" s="126">
        <v>30</v>
      </c>
      <c r="D276" s="126" t="str">
        <f t="shared" si="22"/>
        <v>1230</v>
      </c>
      <c r="E276" s="101">
        <v>710.5</v>
      </c>
      <c r="F276" s="101">
        <v>6945</v>
      </c>
      <c r="G276" s="101">
        <v>22397.5</v>
      </c>
      <c r="H276" s="101">
        <v>451525.26</v>
      </c>
      <c r="I276" s="101">
        <v>147972.057</v>
      </c>
      <c r="J276" s="101">
        <v>439</v>
      </c>
      <c r="K276" s="101">
        <v>6861</v>
      </c>
      <c r="L276" s="101">
        <v>29618</v>
      </c>
      <c r="M276" s="101">
        <v>858803.41</v>
      </c>
      <c r="N276" s="101">
        <v>318052.52600000001</v>
      </c>
      <c r="O276" s="138"/>
      <c r="P276" s="138"/>
      <c r="Q276" s="138"/>
      <c r="R276" s="138"/>
      <c r="S276" s="138"/>
      <c r="T276" s="169">
        <v>1.02</v>
      </c>
      <c r="U276" s="101">
        <f t="shared" si="23"/>
        <v>0</v>
      </c>
      <c r="V276" s="101">
        <f t="shared" si="24"/>
        <v>0</v>
      </c>
      <c r="W276" s="101">
        <f t="shared" si="25"/>
        <v>0</v>
      </c>
      <c r="X276" s="101">
        <f t="shared" si="26"/>
        <v>0</v>
      </c>
      <c r="Y276" s="101">
        <f t="shared" si="27"/>
        <v>0</v>
      </c>
      <c r="AA276" s="101">
        <v>158</v>
      </c>
      <c r="AB276" s="101">
        <v>203</v>
      </c>
      <c r="AC276" s="101">
        <v>8850</v>
      </c>
      <c r="AD276" s="101">
        <v>221854</v>
      </c>
      <c r="AE276" s="101">
        <v>85958</v>
      </c>
    </row>
    <row r="277" spans="1:31" ht="11.25" hidden="1" customHeight="1" x14ac:dyDescent="0.3">
      <c r="A277" s="126" t="s">
        <v>174</v>
      </c>
      <c r="B277" s="126">
        <v>12</v>
      </c>
      <c r="C277" s="126">
        <v>21</v>
      </c>
      <c r="D277" s="126" t="str">
        <f t="shared" si="22"/>
        <v>1221</v>
      </c>
      <c r="E277" s="101">
        <v>1454</v>
      </c>
      <c r="F277" s="101">
        <v>4511</v>
      </c>
      <c r="G277" s="101">
        <v>18791.5</v>
      </c>
      <c r="H277" s="101">
        <v>350500.51999999996</v>
      </c>
      <c r="I277" s="101">
        <v>96205.258999999991</v>
      </c>
      <c r="J277" s="101">
        <v>901</v>
      </c>
      <c r="K277" s="101">
        <v>5017</v>
      </c>
      <c r="L277" s="101">
        <v>38786</v>
      </c>
      <c r="M277" s="101">
        <v>465536.64999999997</v>
      </c>
      <c r="N277" s="101">
        <v>139457.97399999999</v>
      </c>
      <c r="O277" s="138">
        <v>1076</v>
      </c>
      <c r="P277" s="138">
        <v>8805</v>
      </c>
      <c r="Q277" s="138">
        <v>56278</v>
      </c>
      <c r="R277" s="138">
        <v>736637.9</v>
      </c>
      <c r="S277" s="138">
        <v>230948.77299999999</v>
      </c>
      <c r="T277" s="169">
        <v>1.02</v>
      </c>
      <c r="U277" s="101">
        <f t="shared" si="23"/>
        <v>1097.52</v>
      </c>
      <c r="V277" s="101">
        <f t="shared" si="24"/>
        <v>8981.1</v>
      </c>
      <c r="W277" s="101">
        <f t="shared" si="25"/>
        <v>57403.56</v>
      </c>
      <c r="X277" s="101">
        <f t="shared" si="26"/>
        <v>751370.65800000005</v>
      </c>
      <c r="Y277" s="101">
        <f t="shared" si="27"/>
        <v>235567.74846</v>
      </c>
      <c r="AA277" s="101">
        <v>1046</v>
      </c>
      <c r="AB277" s="101">
        <v>7969</v>
      </c>
      <c r="AC277" s="101">
        <v>38336</v>
      </c>
      <c r="AD277" s="101">
        <v>461289</v>
      </c>
      <c r="AE277" s="101">
        <v>121877</v>
      </c>
    </row>
    <row r="278" spans="1:31" ht="11.25" hidden="1" customHeight="1" x14ac:dyDescent="0.3">
      <c r="A278" s="126" t="s">
        <v>174</v>
      </c>
      <c r="B278" s="126">
        <v>12</v>
      </c>
      <c r="C278" s="126">
        <v>71</v>
      </c>
      <c r="D278" s="126" t="str">
        <f t="shared" si="22"/>
        <v>1271</v>
      </c>
      <c r="E278" s="101">
        <v>662</v>
      </c>
      <c r="F278" s="101">
        <v>4988.5</v>
      </c>
      <c r="G278" s="101">
        <v>12859</v>
      </c>
      <c r="H278" s="101">
        <v>110053.785</v>
      </c>
      <c r="I278" s="101">
        <v>41772.7045</v>
      </c>
      <c r="J278" s="101">
        <v>479</v>
      </c>
      <c r="K278" s="101">
        <v>5070</v>
      </c>
      <c r="L278" s="101">
        <v>17390</v>
      </c>
      <c r="M278" s="101">
        <v>125981.95</v>
      </c>
      <c r="N278" s="101">
        <v>49020.965999999993</v>
      </c>
      <c r="O278" s="101">
        <v>563</v>
      </c>
      <c r="P278" s="101">
        <v>6264</v>
      </c>
      <c r="Q278" s="101">
        <v>20299</v>
      </c>
      <c r="R278" s="101">
        <v>194849.81</v>
      </c>
      <c r="S278" s="101">
        <v>94413.751000000004</v>
      </c>
      <c r="T278" s="169">
        <v>1.5</v>
      </c>
      <c r="U278" s="101">
        <f t="shared" si="23"/>
        <v>844.5</v>
      </c>
      <c r="V278" s="101">
        <f t="shared" si="24"/>
        <v>9396</v>
      </c>
      <c r="W278" s="101">
        <v>20907.97</v>
      </c>
      <c r="X278" s="101">
        <f t="shared" si="26"/>
        <v>292274.71499999997</v>
      </c>
      <c r="Y278" s="101">
        <f t="shared" si="27"/>
        <v>141620.62650000001</v>
      </c>
      <c r="AA278" s="101">
        <v>430</v>
      </c>
      <c r="AB278" s="101">
        <v>7318</v>
      </c>
      <c r="AC278" s="101">
        <v>23519</v>
      </c>
      <c r="AD278" s="101">
        <v>181785</v>
      </c>
      <c r="AE278" s="101">
        <v>115838</v>
      </c>
    </row>
    <row r="279" spans="1:31" ht="11.25" hidden="1" customHeight="1" x14ac:dyDescent="0.3">
      <c r="A279" s="126" t="s">
        <v>174</v>
      </c>
      <c r="B279" s="126">
        <v>12</v>
      </c>
      <c r="C279" s="126">
        <v>25</v>
      </c>
      <c r="D279" s="126" t="str">
        <f t="shared" si="22"/>
        <v>1225</v>
      </c>
      <c r="E279" s="101">
        <v>794</v>
      </c>
      <c r="F279" s="101">
        <v>4748</v>
      </c>
      <c r="G279" s="101">
        <v>28630</v>
      </c>
      <c r="H279" s="101">
        <v>310546.43</v>
      </c>
      <c r="I279" s="101">
        <v>122186.325</v>
      </c>
      <c r="J279" s="101">
        <v>761</v>
      </c>
      <c r="K279" s="101">
        <v>6914</v>
      </c>
      <c r="L279" s="101">
        <v>34615</v>
      </c>
      <c r="M279" s="101">
        <v>427129.83000000007</v>
      </c>
      <c r="N279" s="101">
        <v>196010.18400000001</v>
      </c>
      <c r="O279" s="101">
        <v>737</v>
      </c>
      <c r="P279" s="101">
        <v>6572</v>
      </c>
      <c r="Q279" s="101">
        <v>26829</v>
      </c>
      <c r="R279" s="101">
        <v>317090.30000000005</v>
      </c>
      <c r="S279" s="101">
        <v>157448.57699999999</v>
      </c>
      <c r="T279" s="169">
        <v>1.02</v>
      </c>
      <c r="U279" s="101">
        <f t="shared" si="23"/>
        <v>751.74</v>
      </c>
      <c r="V279" s="101">
        <f t="shared" si="24"/>
        <v>6703.4400000000005</v>
      </c>
      <c r="W279" s="101">
        <f t="shared" si="25"/>
        <v>27365.58</v>
      </c>
      <c r="X279" s="101">
        <f t="shared" si="26"/>
        <v>323432.10600000003</v>
      </c>
      <c r="Y279" s="101">
        <f t="shared" si="27"/>
        <v>160597.54853999999</v>
      </c>
      <c r="AA279" s="101">
        <v>820</v>
      </c>
      <c r="AB279" s="101">
        <v>6784</v>
      </c>
      <c r="AC279" s="101">
        <v>46387</v>
      </c>
      <c r="AD279" s="101">
        <v>389700</v>
      </c>
      <c r="AE279" s="101">
        <v>221697</v>
      </c>
    </row>
    <row r="280" spans="1:31" ht="11.25" hidden="1" customHeight="1" x14ac:dyDescent="0.3">
      <c r="A280" s="126" t="s">
        <v>174</v>
      </c>
      <c r="B280" s="126">
        <v>12</v>
      </c>
      <c r="C280" s="126">
        <v>14</v>
      </c>
      <c r="D280" s="126" t="str">
        <f t="shared" si="22"/>
        <v>1214</v>
      </c>
      <c r="J280" s="101">
        <v>3</v>
      </c>
      <c r="K280" s="101">
        <v>17</v>
      </c>
      <c r="L280" s="101">
        <v>49</v>
      </c>
      <c r="M280" s="101">
        <v>1507.1899999999998</v>
      </c>
      <c r="N280" s="101">
        <v>216.1</v>
      </c>
      <c r="O280" s="101">
        <v>43</v>
      </c>
      <c r="P280" s="101">
        <v>75</v>
      </c>
      <c r="Q280" s="101">
        <v>149</v>
      </c>
      <c r="R280" s="101">
        <v>6730.2999999999993</v>
      </c>
      <c r="S280" s="101">
        <v>942.00099999999998</v>
      </c>
      <c r="T280" s="169">
        <v>1.02</v>
      </c>
      <c r="U280" s="101">
        <f t="shared" si="23"/>
        <v>43.86</v>
      </c>
      <c r="V280" s="101">
        <f t="shared" si="24"/>
        <v>76.5</v>
      </c>
      <c r="W280" s="101">
        <f t="shared" si="25"/>
        <v>151.97999999999999</v>
      </c>
      <c r="X280" s="101">
        <f t="shared" si="26"/>
        <v>6864.905999999999</v>
      </c>
      <c r="Y280" s="101">
        <f t="shared" si="27"/>
        <v>960.84101999999996</v>
      </c>
      <c r="AA280" s="101">
        <v>152</v>
      </c>
      <c r="AB280" s="101">
        <v>205</v>
      </c>
      <c r="AC280" s="101">
        <v>255</v>
      </c>
      <c r="AD280" s="101">
        <v>9098</v>
      </c>
      <c r="AE280" s="101">
        <v>1685</v>
      </c>
    </row>
    <row r="281" spans="1:31" ht="11.25" hidden="1" customHeight="1" x14ac:dyDescent="0.3">
      <c r="A281" s="126" t="s">
        <v>174</v>
      </c>
      <c r="B281" s="126">
        <v>12</v>
      </c>
      <c r="C281" s="126">
        <v>22</v>
      </c>
      <c r="D281" s="126" t="str">
        <f t="shared" si="22"/>
        <v>1222</v>
      </c>
      <c r="J281" s="101">
        <v>3</v>
      </c>
      <c r="K281" s="101">
        <v>7</v>
      </c>
      <c r="L281" s="101">
        <v>30</v>
      </c>
      <c r="M281" s="101">
        <v>143.32</v>
      </c>
      <c r="N281" s="101">
        <v>31.734999999999999</v>
      </c>
      <c r="O281" s="101">
        <v>4</v>
      </c>
      <c r="P281" s="101">
        <v>10</v>
      </c>
      <c r="Q281" s="101">
        <v>37</v>
      </c>
      <c r="R281" s="101">
        <v>1550.63</v>
      </c>
      <c r="S281" s="101">
        <v>604.08100000000002</v>
      </c>
      <c r="T281" s="169">
        <v>1.02</v>
      </c>
      <c r="U281" s="101">
        <f t="shared" si="23"/>
        <v>4.08</v>
      </c>
      <c r="V281" s="101">
        <f t="shared" si="24"/>
        <v>10.199999999999999</v>
      </c>
      <c r="W281" s="101">
        <f t="shared" si="25"/>
        <v>37.74</v>
      </c>
      <c r="X281" s="101">
        <f t="shared" si="26"/>
        <v>1581.6426000000001</v>
      </c>
      <c r="Y281" s="101">
        <f t="shared" si="27"/>
        <v>616.16262000000006</v>
      </c>
      <c r="AA281" s="101">
        <v>3</v>
      </c>
      <c r="AB281" s="101">
        <v>3</v>
      </c>
      <c r="AC281" s="101">
        <v>12</v>
      </c>
      <c r="AD281" s="101">
        <v>54</v>
      </c>
      <c r="AE281" s="101">
        <v>17</v>
      </c>
    </row>
    <row r="282" spans="1:31" ht="11.25" hidden="1" customHeight="1" x14ac:dyDescent="0.3">
      <c r="A282" s="126" t="s">
        <v>174</v>
      </c>
      <c r="B282" s="126">
        <v>12</v>
      </c>
      <c r="C282" s="126">
        <v>26</v>
      </c>
      <c r="D282" s="126" t="str">
        <f t="shared" si="22"/>
        <v>1226</v>
      </c>
      <c r="J282" s="101">
        <v>12</v>
      </c>
      <c r="K282" s="101">
        <v>43</v>
      </c>
      <c r="L282" s="101">
        <v>908</v>
      </c>
      <c r="M282" s="101">
        <v>9352.1</v>
      </c>
      <c r="N282" s="101">
        <v>3523.4070000000002</v>
      </c>
      <c r="O282" s="101">
        <v>15</v>
      </c>
      <c r="P282" s="101">
        <v>27</v>
      </c>
      <c r="Q282" s="101">
        <v>1414</v>
      </c>
      <c r="R282" s="101">
        <v>18191.400000000001</v>
      </c>
      <c r="S282" s="101">
        <v>15557.706999999999</v>
      </c>
      <c r="T282" s="169">
        <v>1.02</v>
      </c>
      <c r="U282" s="101">
        <f t="shared" si="23"/>
        <v>15.3</v>
      </c>
      <c r="V282" s="101">
        <f t="shared" si="24"/>
        <v>27.54</v>
      </c>
      <c r="W282" s="101">
        <f t="shared" si="25"/>
        <v>1442.28</v>
      </c>
      <c r="X282" s="101">
        <f t="shared" si="26"/>
        <v>18555.228000000003</v>
      </c>
      <c r="Y282" s="101">
        <f t="shared" si="27"/>
        <v>15868.861139999999</v>
      </c>
      <c r="AA282" s="101">
        <v>1</v>
      </c>
      <c r="AB282" s="101">
        <v>3</v>
      </c>
      <c r="AC282" s="101">
        <v>3</v>
      </c>
      <c r="AD282" s="101">
        <v>144</v>
      </c>
      <c r="AE282" s="101">
        <v>58</v>
      </c>
    </row>
    <row r="283" spans="1:31" ht="11.25" hidden="1" customHeight="1" x14ac:dyDescent="0.3">
      <c r="A283" s="126" t="s">
        <v>174</v>
      </c>
      <c r="B283" s="126">
        <v>12</v>
      </c>
      <c r="C283" s="126">
        <v>32</v>
      </c>
      <c r="D283" s="126" t="str">
        <f t="shared" si="22"/>
        <v>1232</v>
      </c>
      <c r="J283" s="101">
        <v>57</v>
      </c>
      <c r="K283" s="101">
        <v>74</v>
      </c>
      <c r="L283" s="101">
        <v>1417</v>
      </c>
      <c r="M283" s="101">
        <v>50240.89</v>
      </c>
      <c r="N283" s="101">
        <v>23111.178</v>
      </c>
      <c r="O283" s="101">
        <v>89</v>
      </c>
      <c r="P283" s="101">
        <v>148</v>
      </c>
      <c r="Q283" s="101">
        <v>2713</v>
      </c>
      <c r="R283" s="101">
        <v>14173.51</v>
      </c>
      <c r="S283" s="101">
        <v>5388.3720000000003</v>
      </c>
      <c r="T283" s="169">
        <v>1.02</v>
      </c>
      <c r="U283" s="101">
        <f t="shared" si="23"/>
        <v>90.78</v>
      </c>
      <c r="V283" s="101">
        <f t="shared" si="24"/>
        <v>150.96</v>
      </c>
      <c r="W283" s="101">
        <f t="shared" si="25"/>
        <v>2767.26</v>
      </c>
      <c r="X283" s="101">
        <f t="shared" si="26"/>
        <v>14456.9802</v>
      </c>
      <c r="Y283" s="101">
        <f t="shared" si="27"/>
        <v>5496.1394400000008</v>
      </c>
      <c r="AA283" s="101">
        <v>47</v>
      </c>
      <c r="AB283" s="101">
        <v>100</v>
      </c>
      <c r="AC283" s="101">
        <v>7539</v>
      </c>
      <c r="AD283" s="101">
        <v>39527</v>
      </c>
      <c r="AE283" s="101">
        <v>33666</v>
      </c>
    </row>
    <row r="284" spans="1:31" ht="11.25" hidden="1" customHeight="1" x14ac:dyDescent="0.3">
      <c r="A284" s="126" t="s">
        <v>174</v>
      </c>
      <c r="B284" s="126">
        <v>12</v>
      </c>
      <c r="C284" s="126">
        <v>43</v>
      </c>
      <c r="D284" s="126" t="str">
        <f t="shared" si="22"/>
        <v>1243</v>
      </c>
      <c r="J284" s="101">
        <v>0</v>
      </c>
      <c r="K284" s="101">
        <v>0</v>
      </c>
      <c r="L284" s="101">
        <v>0</v>
      </c>
      <c r="M284" s="101">
        <v>0</v>
      </c>
      <c r="N284" s="101">
        <v>0</v>
      </c>
      <c r="O284" s="101">
        <v>0</v>
      </c>
      <c r="P284" s="101">
        <v>0</v>
      </c>
      <c r="Q284" s="101">
        <v>0</v>
      </c>
      <c r="R284" s="101">
        <v>0</v>
      </c>
      <c r="S284" s="101">
        <v>0</v>
      </c>
      <c r="T284" s="169">
        <v>1.02</v>
      </c>
      <c r="U284" s="101">
        <f t="shared" si="23"/>
        <v>0</v>
      </c>
      <c r="V284" s="101">
        <f t="shared" si="24"/>
        <v>0</v>
      </c>
      <c r="W284" s="101">
        <f t="shared" si="25"/>
        <v>0</v>
      </c>
      <c r="X284" s="101">
        <f t="shared" si="26"/>
        <v>0</v>
      </c>
      <c r="Y284" s="101">
        <f t="shared" si="27"/>
        <v>0</v>
      </c>
      <c r="AA284" s="101">
        <v>0</v>
      </c>
      <c r="AB284" s="101">
        <v>0</v>
      </c>
      <c r="AC284" s="101">
        <v>0</v>
      </c>
      <c r="AD284" s="101">
        <v>0</v>
      </c>
      <c r="AE284" s="101">
        <v>0</v>
      </c>
    </row>
    <row r="285" spans="1:31" ht="11.25" hidden="1" customHeight="1" x14ac:dyDescent="0.3">
      <c r="A285" s="126" t="s">
        <v>174</v>
      </c>
      <c r="B285" s="126">
        <v>12</v>
      </c>
      <c r="C285" s="126">
        <v>44</v>
      </c>
      <c r="D285" s="126" t="str">
        <f t="shared" si="22"/>
        <v>1244</v>
      </c>
      <c r="J285" s="101">
        <v>0</v>
      </c>
      <c r="K285" s="101">
        <v>0</v>
      </c>
      <c r="L285" s="101">
        <v>0</v>
      </c>
      <c r="M285" s="101">
        <v>0</v>
      </c>
      <c r="N285" s="101">
        <v>0</v>
      </c>
      <c r="O285" s="101">
        <v>0</v>
      </c>
      <c r="P285" s="101">
        <v>0</v>
      </c>
      <c r="Q285" s="101">
        <v>0</v>
      </c>
      <c r="R285" s="101">
        <v>0</v>
      </c>
      <c r="S285" s="101">
        <v>0</v>
      </c>
      <c r="T285" s="169">
        <v>1.02</v>
      </c>
      <c r="U285" s="101">
        <f t="shared" si="23"/>
        <v>0</v>
      </c>
      <c r="V285" s="101">
        <f t="shared" si="24"/>
        <v>0</v>
      </c>
      <c r="W285" s="101">
        <f t="shared" si="25"/>
        <v>0</v>
      </c>
      <c r="X285" s="101">
        <f t="shared" si="26"/>
        <v>0</v>
      </c>
      <c r="Y285" s="101">
        <f t="shared" si="27"/>
        <v>0</v>
      </c>
      <c r="AA285" s="101">
        <v>0</v>
      </c>
      <c r="AB285" s="101">
        <v>0</v>
      </c>
      <c r="AC285" s="101">
        <v>0</v>
      </c>
      <c r="AD285" s="101">
        <v>0</v>
      </c>
      <c r="AE285" s="101">
        <v>0</v>
      </c>
    </row>
    <row r="286" spans="1:31" ht="11.25" hidden="1" customHeight="1" x14ac:dyDescent="0.3">
      <c r="A286" s="126" t="s">
        <v>174</v>
      </c>
      <c r="B286" s="126">
        <v>12</v>
      </c>
      <c r="C286" s="126">
        <v>45</v>
      </c>
      <c r="D286" s="126" t="str">
        <f t="shared" si="22"/>
        <v>1245</v>
      </c>
      <c r="J286" s="101">
        <v>0</v>
      </c>
      <c r="K286" s="101">
        <v>0</v>
      </c>
      <c r="L286" s="101">
        <v>0</v>
      </c>
      <c r="M286" s="101">
        <v>0</v>
      </c>
      <c r="N286" s="101">
        <v>0</v>
      </c>
      <c r="O286" s="101">
        <v>0</v>
      </c>
      <c r="P286" s="101">
        <v>0</v>
      </c>
      <c r="Q286" s="101">
        <v>0</v>
      </c>
      <c r="R286" s="101">
        <v>0</v>
      </c>
      <c r="S286" s="101">
        <v>0</v>
      </c>
      <c r="T286" s="169">
        <v>1.02</v>
      </c>
      <c r="U286" s="101">
        <f t="shared" si="23"/>
        <v>0</v>
      </c>
      <c r="V286" s="101">
        <f t="shared" si="24"/>
        <v>0</v>
      </c>
      <c r="W286" s="101">
        <f t="shared" si="25"/>
        <v>0</v>
      </c>
      <c r="X286" s="101">
        <f t="shared" si="26"/>
        <v>0</v>
      </c>
      <c r="Y286" s="101">
        <f t="shared" si="27"/>
        <v>0</v>
      </c>
      <c r="AA286" s="101">
        <v>0</v>
      </c>
      <c r="AB286" s="101">
        <v>0</v>
      </c>
      <c r="AC286" s="101">
        <v>0</v>
      </c>
      <c r="AD286" s="101">
        <v>0</v>
      </c>
      <c r="AE286" s="101">
        <v>0</v>
      </c>
    </row>
    <row r="287" spans="1:31" ht="11.25" hidden="1" customHeight="1" x14ac:dyDescent="0.3">
      <c r="A287" s="126" t="s">
        <v>174</v>
      </c>
      <c r="B287" s="126">
        <v>12</v>
      </c>
      <c r="C287" s="126">
        <v>47</v>
      </c>
      <c r="D287" s="126" t="str">
        <f t="shared" si="22"/>
        <v>1247</v>
      </c>
      <c r="J287" s="101">
        <v>0</v>
      </c>
      <c r="K287" s="101">
        <v>0</v>
      </c>
      <c r="L287" s="101">
        <v>0</v>
      </c>
      <c r="M287" s="101">
        <v>0</v>
      </c>
      <c r="N287" s="101">
        <v>0</v>
      </c>
      <c r="O287" s="101">
        <v>0</v>
      </c>
      <c r="P287" s="101">
        <v>0</v>
      </c>
      <c r="Q287" s="101">
        <v>0</v>
      </c>
      <c r="R287" s="101">
        <v>0</v>
      </c>
      <c r="S287" s="101">
        <v>0</v>
      </c>
      <c r="T287" s="169">
        <v>1.02</v>
      </c>
      <c r="U287" s="101">
        <f t="shared" si="23"/>
        <v>0</v>
      </c>
      <c r="V287" s="101">
        <f t="shared" si="24"/>
        <v>0</v>
      </c>
      <c r="W287" s="101">
        <f t="shared" si="25"/>
        <v>0</v>
      </c>
      <c r="X287" s="101">
        <f t="shared" si="26"/>
        <v>0</v>
      </c>
      <c r="Y287" s="101">
        <f t="shared" si="27"/>
        <v>0</v>
      </c>
      <c r="AA287" s="101">
        <v>9</v>
      </c>
      <c r="AB287" s="101">
        <v>31</v>
      </c>
      <c r="AC287" s="101">
        <v>2637</v>
      </c>
      <c r="AD287" s="101">
        <v>28822</v>
      </c>
      <c r="AE287" s="101">
        <v>5903</v>
      </c>
    </row>
    <row r="288" spans="1:31" ht="11.25" hidden="1" customHeight="1" x14ac:dyDescent="0.3">
      <c r="A288" s="126" t="s">
        <v>174</v>
      </c>
      <c r="B288" s="126">
        <v>12</v>
      </c>
      <c r="C288" s="126">
        <v>91</v>
      </c>
      <c r="D288" s="126" t="str">
        <f t="shared" si="22"/>
        <v>1291</v>
      </c>
      <c r="J288" s="101">
        <v>66</v>
      </c>
      <c r="K288" s="101">
        <v>153</v>
      </c>
      <c r="L288" s="101">
        <v>1149</v>
      </c>
      <c r="M288" s="101">
        <v>10155.280000000001</v>
      </c>
      <c r="N288" s="101">
        <v>3848.2360000000003</v>
      </c>
      <c r="O288" s="101">
        <v>37</v>
      </c>
      <c r="P288" s="101">
        <v>107</v>
      </c>
      <c r="Q288" s="101">
        <v>595</v>
      </c>
      <c r="R288" s="101">
        <v>3754.79</v>
      </c>
      <c r="S288" s="101">
        <v>1560.5039999999999</v>
      </c>
      <c r="T288" s="169">
        <v>1.02</v>
      </c>
      <c r="U288" s="101">
        <f t="shared" si="23"/>
        <v>37.74</v>
      </c>
      <c r="V288" s="101">
        <f t="shared" si="24"/>
        <v>109.14</v>
      </c>
      <c r="W288" s="101">
        <f t="shared" si="25"/>
        <v>606.9</v>
      </c>
      <c r="X288" s="101">
        <f t="shared" si="26"/>
        <v>3829.8858</v>
      </c>
      <c r="Y288" s="101">
        <f t="shared" si="27"/>
        <v>1591.71408</v>
      </c>
      <c r="AA288" s="101">
        <v>88</v>
      </c>
      <c r="AB288" s="101">
        <v>214</v>
      </c>
      <c r="AC288" s="101">
        <v>407</v>
      </c>
      <c r="AD288" s="101">
        <v>6250</v>
      </c>
      <c r="AE288" s="101">
        <v>3758</v>
      </c>
    </row>
    <row r="289" spans="1:31" ht="11.25" hidden="1" customHeight="1" x14ac:dyDescent="0.3">
      <c r="A289" s="126" t="s">
        <v>174</v>
      </c>
      <c r="B289" s="126">
        <v>12</v>
      </c>
      <c r="C289" s="126">
        <v>27</v>
      </c>
      <c r="D289" s="126" t="str">
        <f t="shared" si="22"/>
        <v>1227</v>
      </c>
      <c r="E289" s="101">
        <v>119</v>
      </c>
      <c r="F289" s="101">
        <v>1346.5</v>
      </c>
      <c r="G289" s="101">
        <v>6059</v>
      </c>
      <c r="H289" s="101">
        <v>55868.98</v>
      </c>
      <c r="I289" s="101">
        <v>21014.818000000003</v>
      </c>
      <c r="J289" s="101">
        <v>53</v>
      </c>
      <c r="K289" s="101">
        <v>1624</v>
      </c>
      <c r="L289" s="101">
        <v>8769</v>
      </c>
      <c r="M289" s="101">
        <v>78925.889999999985</v>
      </c>
      <c r="N289" s="101">
        <v>26903.935999999998</v>
      </c>
      <c r="O289" s="101">
        <v>67</v>
      </c>
      <c r="P289" s="101">
        <v>1914</v>
      </c>
      <c r="Q289" s="101">
        <v>8078</v>
      </c>
      <c r="R289" s="101">
        <v>75818.659999999989</v>
      </c>
      <c r="S289" s="101">
        <v>31864.702999999998</v>
      </c>
      <c r="T289" s="169">
        <v>1.02</v>
      </c>
      <c r="U289" s="101">
        <f t="shared" si="23"/>
        <v>68.34</v>
      </c>
      <c r="V289" s="101">
        <f t="shared" si="24"/>
        <v>1952.28</v>
      </c>
      <c r="W289" s="101">
        <f t="shared" si="25"/>
        <v>8239.56</v>
      </c>
      <c r="X289" s="101">
        <f t="shared" si="26"/>
        <v>77335.033199999991</v>
      </c>
      <c r="Y289" s="101">
        <f t="shared" si="27"/>
        <v>32501.997059999998</v>
      </c>
      <c r="AA289" s="101">
        <v>71</v>
      </c>
      <c r="AB289" s="101">
        <v>2699</v>
      </c>
      <c r="AC289" s="101">
        <v>18569</v>
      </c>
      <c r="AD289" s="101">
        <v>152622</v>
      </c>
      <c r="AE289" s="101">
        <v>65870</v>
      </c>
    </row>
    <row r="290" spans="1:31" ht="11.25" customHeight="1" x14ac:dyDescent="0.3">
      <c r="A290" s="126" t="s">
        <v>174</v>
      </c>
      <c r="B290" s="126">
        <v>12</v>
      </c>
      <c r="C290" s="126" t="s">
        <v>172</v>
      </c>
      <c r="D290" s="126" t="str">
        <f t="shared" si="22"/>
        <v>12Uml</v>
      </c>
      <c r="J290" s="101">
        <v>217</v>
      </c>
      <c r="K290" s="101">
        <v>217</v>
      </c>
      <c r="L290" s="101">
        <v>116716</v>
      </c>
      <c r="N290" s="101">
        <v>384919</v>
      </c>
      <c r="O290" s="101">
        <v>275</v>
      </c>
      <c r="P290" s="101">
        <v>284</v>
      </c>
      <c r="Q290" s="101">
        <v>100704</v>
      </c>
      <c r="S290" s="101">
        <v>410399</v>
      </c>
      <c r="T290" s="169">
        <v>1.02</v>
      </c>
      <c r="U290" s="101">
        <f t="shared" si="23"/>
        <v>280.5</v>
      </c>
      <c r="V290" s="101">
        <f t="shared" si="24"/>
        <v>289.68</v>
      </c>
      <c r="W290" s="101">
        <f t="shared" si="25"/>
        <v>102718.08</v>
      </c>
      <c r="X290" s="101">
        <f t="shared" si="26"/>
        <v>0</v>
      </c>
      <c r="Y290" s="101">
        <f t="shared" si="27"/>
        <v>418606.98</v>
      </c>
      <c r="AA290" s="101">
        <v>420</v>
      </c>
      <c r="AB290" s="101">
        <v>450</v>
      </c>
      <c r="AC290" s="101">
        <v>111323</v>
      </c>
      <c r="AE290" s="101">
        <v>379444.86800000002</v>
      </c>
    </row>
    <row r="291" spans="1:31" ht="11.25" hidden="1" customHeight="1" x14ac:dyDescent="0.3">
      <c r="A291" s="126" t="s">
        <v>174</v>
      </c>
      <c r="B291" s="126">
        <v>12</v>
      </c>
      <c r="C291" s="126">
        <v>37</v>
      </c>
      <c r="D291" s="126" t="str">
        <f t="shared" si="22"/>
        <v>1237</v>
      </c>
      <c r="E291" s="101">
        <v>11.75</v>
      </c>
      <c r="F291" s="101">
        <v>122.75</v>
      </c>
      <c r="G291" s="101">
        <v>1587.5</v>
      </c>
      <c r="H291" s="101">
        <v>11288.192499999999</v>
      </c>
      <c r="I291" s="101">
        <v>12933.856749999999</v>
      </c>
      <c r="J291" s="101">
        <v>30</v>
      </c>
      <c r="K291" s="101">
        <v>106</v>
      </c>
      <c r="L291" s="101">
        <v>1362</v>
      </c>
      <c r="M291" s="101">
        <v>7779.24</v>
      </c>
      <c r="N291" s="101">
        <v>3067.54</v>
      </c>
      <c r="O291" s="101">
        <v>37</v>
      </c>
      <c r="P291" s="101">
        <v>203</v>
      </c>
      <c r="Q291" s="101">
        <v>7724</v>
      </c>
      <c r="R291" s="101">
        <v>32864.280000000006</v>
      </c>
      <c r="S291" s="101">
        <v>27990.300999999999</v>
      </c>
      <c r="T291" s="169">
        <v>1.02</v>
      </c>
      <c r="U291" s="101">
        <f t="shared" si="23"/>
        <v>37.74</v>
      </c>
      <c r="V291" s="101">
        <f t="shared" si="24"/>
        <v>207.06</v>
      </c>
      <c r="W291" s="101">
        <f t="shared" si="25"/>
        <v>7878.4800000000005</v>
      </c>
      <c r="X291" s="101">
        <f t="shared" si="26"/>
        <v>33521.565600000009</v>
      </c>
      <c r="Y291" s="101">
        <f t="shared" si="27"/>
        <v>28550.107019999999</v>
      </c>
      <c r="AA291" s="101">
        <v>43</v>
      </c>
      <c r="AB291" s="101">
        <v>118</v>
      </c>
      <c r="AC291" s="101">
        <v>4193</v>
      </c>
      <c r="AD291" s="101">
        <v>43881</v>
      </c>
      <c r="AE291" s="101">
        <v>28908</v>
      </c>
    </row>
    <row r="292" spans="1:31" ht="11.25" hidden="1" customHeight="1" x14ac:dyDescent="0.3">
      <c r="A292" s="126" t="s">
        <v>174</v>
      </c>
      <c r="B292" s="126">
        <v>13</v>
      </c>
      <c r="C292" s="126">
        <v>12</v>
      </c>
      <c r="D292" s="126" t="str">
        <f t="shared" si="22"/>
        <v>1312</v>
      </c>
      <c r="E292" s="101">
        <v>36</v>
      </c>
      <c r="F292" s="101">
        <v>51</v>
      </c>
      <c r="G292" s="101">
        <v>62</v>
      </c>
      <c r="H292" s="101">
        <v>1636.44</v>
      </c>
      <c r="I292" s="101">
        <v>346.726</v>
      </c>
      <c r="J292" s="101">
        <v>19</v>
      </c>
      <c r="K292" s="101">
        <v>32</v>
      </c>
      <c r="L292" s="101">
        <v>47</v>
      </c>
      <c r="M292" s="101">
        <v>514</v>
      </c>
      <c r="N292" s="101">
        <v>94</v>
      </c>
      <c r="O292" s="101">
        <v>15</v>
      </c>
      <c r="P292" s="101">
        <v>19</v>
      </c>
      <c r="Q292" s="101">
        <v>23</v>
      </c>
      <c r="R292" s="101">
        <v>754.48</v>
      </c>
      <c r="S292" s="101">
        <v>106.259</v>
      </c>
      <c r="T292" s="169">
        <v>0.25</v>
      </c>
      <c r="U292" s="101">
        <f t="shared" si="23"/>
        <v>3.75</v>
      </c>
      <c r="V292" s="101">
        <f t="shared" si="24"/>
        <v>4.75</v>
      </c>
      <c r="W292" s="101">
        <f t="shared" si="25"/>
        <v>5.75</v>
      </c>
      <c r="X292" s="101">
        <f t="shared" si="26"/>
        <v>188.62</v>
      </c>
      <c r="Y292" s="101">
        <f t="shared" si="27"/>
        <v>26.56475</v>
      </c>
      <c r="AA292" s="101">
        <v>15</v>
      </c>
      <c r="AB292" s="101">
        <v>20</v>
      </c>
      <c r="AC292" s="101">
        <v>33</v>
      </c>
      <c r="AD292" s="101">
        <v>870.07</v>
      </c>
      <c r="AE292" s="101">
        <v>265.67599999999999</v>
      </c>
    </row>
    <row r="293" spans="1:31" ht="11.25" hidden="1" customHeight="1" x14ac:dyDescent="0.3">
      <c r="A293" s="126" t="s">
        <v>174</v>
      </c>
      <c r="B293" s="126">
        <v>13</v>
      </c>
      <c r="C293" s="126">
        <v>17</v>
      </c>
      <c r="D293" s="126" t="str">
        <f t="shared" si="22"/>
        <v>1317</v>
      </c>
      <c r="E293" s="101">
        <v>1858</v>
      </c>
      <c r="F293" s="101">
        <v>2717</v>
      </c>
      <c r="G293" s="101">
        <v>4021</v>
      </c>
      <c r="H293" s="101">
        <v>104406.18000000001</v>
      </c>
      <c r="I293" s="101">
        <v>18929.177</v>
      </c>
      <c r="J293" s="101">
        <v>1313</v>
      </c>
      <c r="K293" s="101">
        <v>2596</v>
      </c>
      <c r="L293" s="101">
        <v>3302</v>
      </c>
      <c r="M293" s="101">
        <v>86221</v>
      </c>
      <c r="N293" s="101">
        <v>15456</v>
      </c>
      <c r="O293" s="101">
        <v>984</v>
      </c>
      <c r="P293" s="101">
        <v>1666</v>
      </c>
      <c r="Q293" s="101">
        <v>2787</v>
      </c>
      <c r="R293" s="101">
        <v>69356.960000000006</v>
      </c>
      <c r="S293" s="101">
        <v>12709.272000000001</v>
      </c>
      <c r="T293" s="169">
        <v>1.02</v>
      </c>
      <c r="U293" s="101">
        <f>1375+3100</f>
        <v>4475</v>
      </c>
      <c r="V293" s="101">
        <f>2500+6912</f>
        <v>9412</v>
      </c>
      <c r="W293" s="101">
        <f>3750+9973</f>
        <v>13723</v>
      </c>
      <c r="X293" s="144">
        <f>R222*T293</f>
        <v>292771.72200000007</v>
      </c>
      <c r="Y293" s="101">
        <v>70000</v>
      </c>
      <c r="AA293" s="101">
        <v>3073</v>
      </c>
      <c r="AB293" s="101">
        <v>6812</v>
      </c>
      <c r="AC293" s="101">
        <v>10147</v>
      </c>
      <c r="AD293" s="101">
        <v>212270.56</v>
      </c>
      <c r="AE293" s="101">
        <v>46541.803</v>
      </c>
    </row>
    <row r="294" spans="1:31" ht="11.25" hidden="1" customHeight="1" x14ac:dyDescent="0.3">
      <c r="A294" s="126" t="s">
        <v>174</v>
      </c>
      <c r="B294" s="126">
        <v>13</v>
      </c>
      <c r="C294" s="126">
        <v>18</v>
      </c>
      <c r="D294" s="126" t="str">
        <f t="shared" si="22"/>
        <v>1318</v>
      </c>
      <c r="E294" s="101">
        <v>166</v>
      </c>
      <c r="F294" s="101">
        <v>242</v>
      </c>
      <c r="G294" s="101">
        <v>416</v>
      </c>
      <c r="H294" s="101">
        <v>9578.33</v>
      </c>
      <c r="I294" s="101">
        <v>1469.451</v>
      </c>
      <c r="J294" s="101">
        <v>815</v>
      </c>
      <c r="K294" s="101">
        <v>1013</v>
      </c>
      <c r="L294" s="101">
        <v>1182</v>
      </c>
      <c r="M294" s="101">
        <v>57566</v>
      </c>
      <c r="N294" s="101">
        <v>10265</v>
      </c>
      <c r="O294" s="101">
        <v>2775</v>
      </c>
      <c r="P294" s="101">
        <v>2957</v>
      </c>
      <c r="Q294" s="101">
        <v>6769</v>
      </c>
      <c r="R294" s="101">
        <v>123673.55</v>
      </c>
      <c r="S294" s="101">
        <v>145949.614</v>
      </c>
      <c r="T294" s="169">
        <v>0.5</v>
      </c>
      <c r="U294" s="101">
        <f t="shared" si="23"/>
        <v>1387.5</v>
      </c>
      <c r="V294" s="101">
        <f t="shared" si="24"/>
        <v>1478.5</v>
      </c>
      <c r="W294" s="101">
        <f t="shared" si="25"/>
        <v>3384.5</v>
      </c>
      <c r="X294" s="101">
        <f t="shared" si="26"/>
        <v>61836.775000000001</v>
      </c>
      <c r="Y294" s="101">
        <f t="shared" si="27"/>
        <v>72974.807000000001</v>
      </c>
      <c r="AA294" s="101">
        <v>2305</v>
      </c>
      <c r="AB294" s="101">
        <v>2502</v>
      </c>
      <c r="AC294" s="101">
        <v>2788</v>
      </c>
      <c r="AD294" s="101">
        <v>129798.78</v>
      </c>
      <c r="AE294" s="101">
        <v>28080.315999999999</v>
      </c>
    </row>
    <row r="295" spans="1:31" ht="11.25" hidden="1" customHeight="1" x14ac:dyDescent="0.3">
      <c r="A295" s="126" t="s">
        <v>174</v>
      </c>
      <c r="B295" s="126">
        <v>13</v>
      </c>
      <c r="C295" s="126">
        <v>28</v>
      </c>
      <c r="D295" s="126" t="str">
        <f t="shared" si="22"/>
        <v>1328</v>
      </c>
      <c r="E295" s="101">
        <v>310</v>
      </c>
      <c r="F295" s="101">
        <v>4061</v>
      </c>
      <c r="G295" s="101">
        <v>50291</v>
      </c>
      <c r="H295" s="101">
        <v>831360.53000000014</v>
      </c>
      <c r="I295" s="101">
        <v>210885.42499999999</v>
      </c>
      <c r="J295" s="101">
        <v>217</v>
      </c>
      <c r="K295" s="101">
        <v>2665</v>
      </c>
      <c r="L295" s="101">
        <v>20607</v>
      </c>
      <c r="M295" s="101">
        <v>366215</v>
      </c>
      <c r="N295" s="101">
        <v>129439</v>
      </c>
      <c r="O295" s="101">
        <v>265</v>
      </c>
      <c r="P295" s="101">
        <v>3784</v>
      </c>
      <c r="Q295" s="101">
        <v>26397</v>
      </c>
      <c r="R295" s="101">
        <v>417700.13</v>
      </c>
      <c r="S295" s="101">
        <v>112799.296</v>
      </c>
      <c r="T295" s="169">
        <v>1.02</v>
      </c>
      <c r="U295" s="101">
        <f t="shared" si="23"/>
        <v>270.3</v>
      </c>
      <c r="V295" s="101">
        <f t="shared" si="24"/>
        <v>3859.6800000000003</v>
      </c>
      <c r="W295" s="101">
        <f t="shared" si="25"/>
        <v>26924.94</v>
      </c>
      <c r="X295" s="101">
        <f t="shared" si="26"/>
        <v>426054.13260000001</v>
      </c>
      <c r="Y295" s="101">
        <f t="shared" si="27"/>
        <v>115055.28192000001</v>
      </c>
      <c r="AA295" s="101">
        <v>269</v>
      </c>
      <c r="AB295" s="101">
        <v>5418</v>
      </c>
      <c r="AC295" s="101">
        <v>31410</v>
      </c>
      <c r="AD295" s="101">
        <v>728386.59</v>
      </c>
      <c r="AE295" s="101">
        <v>179454</v>
      </c>
    </row>
    <row r="296" spans="1:31" ht="11.25" hidden="1" customHeight="1" x14ac:dyDescent="0.3">
      <c r="A296" s="126" t="s">
        <v>174</v>
      </c>
      <c r="B296" s="126">
        <v>13</v>
      </c>
      <c r="C296" s="126">
        <v>46</v>
      </c>
      <c r="D296" s="126" t="str">
        <f t="shared" si="22"/>
        <v>1346</v>
      </c>
      <c r="E296" s="101">
        <v>245</v>
      </c>
      <c r="F296" s="101">
        <v>528</v>
      </c>
      <c r="G296" s="101">
        <v>9119</v>
      </c>
      <c r="H296" s="101">
        <v>186675.25</v>
      </c>
      <c r="I296" s="101">
        <v>47637.729999999996</v>
      </c>
      <c r="J296" s="101">
        <v>247</v>
      </c>
      <c r="K296" s="101">
        <v>558</v>
      </c>
      <c r="L296" s="101">
        <v>55454</v>
      </c>
      <c r="M296" s="101">
        <v>363059</v>
      </c>
      <c r="N296" s="101">
        <v>97522</v>
      </c>
      <c r="O296" s="101">
        <v>293</v>
      </c>
      <c r="P296" s="101">
        <v>774</v>
      </c>
      <c r="Q296" s="101">
        <v>13956</v>
      </c>
      <c r="R296" s="101">
        <v>234860.52</v>
      </c>
      <c r="S296" s="101">
        <v>73152.739000000001</v>
      </c>
      <c r="T296" s="169">
        <v>1.02</v>
      </c>
      <c r="U296" s="101">
        <f t="shared" si="23"/>
        <v>298.86</v>
      </c>
      <c r="V296" s="101">
        <f t="shared" si="24"/>
        <v>789.48</v>
      </c>
      <c r="W296" s="101">
        <f t="shared" si="25"/>
        <v>14235.12</v>
      </c>
      <c r="X296" s="101">
        <f t="shared" si="26"/>
        <v>239557.7304</v>
      </c>
      <c r="Y296" s="101">
        <f t="shared" si="27"/>
        <v>74615.793780000007</v>
      </c>
      <c r="AA296" s="101">
        <v>204</v>
      </c>
      <c r="AB296" s="101">
        <v>457</v>
      </c>
      <c r="AC296" s="101">
        <v>30543</v>
      </c>
      <c r="AD296" s="101">
        <v>206947.09</v>
      </c>
      <c r="AE296" s="101">
        <v>76379.203999999998</v>
      </c>
    </row>
    <row r="297" spans="1:31" ht="11.25" hidden="1" customHeight="1" x14ac:dyDescent="0.3">
      <c r="A297" s="126" t="s">
        <v>174</v>
      </c>
      <c r="B297" s="126">
        <v>13</v>
      </c>
      <c r="C297" s="126">
        <v>66</v>
      </c>
      <c r="D297" s="126" t="str">
        <f t="shared" si="22"/>
        <v>1366</v>
      </c>
      <c r="E297" s="101">
        <v>342</v>
      </c>
      <c r="F297" s="101">
        <v>1423</v>
      </c>
      <c r="G297" s="101">
        <v>22014</v>
      </c>
      <c r="H297" s="101">
        <v>135508.05000000002</v>
      </c>
      <c r="I297" s="101">
        <v>72592.259000000005</v>
      </c>
      <c r="J297" s="101">
        <v>323</v>
      </c>
      <c r="K297" s="101">
        <v>1857</v>
      </c>
      <c r="L297" s="101">
        <v>32023</v>
      </c>
      <c r="M297" s="101">
        <v>198685</v>
      </c>
      <c r="N297" s="101">
        <v>83989</v>
      </c>
      <c r="O297" s="101">
        <v>216</v>
      </c>
      <c r="P297" s="101">
        <v>1172</v>
      </c>
      <c r="Q297" s="101">
        <v>21924</v>
      </c>
      <c r="R297" s="101">
        <v>110072</v>
      </c>
      <c r="S297" s="101">
        <v>54522.334000000003</v>
      </c>
      <c r="T297" s="169">
        <v>1.02</v>
      </c>
      <c r="U297" s="101">
        <f t="shared" si="23"/>
        <v>220.32</v>
      </c>
      <c r="V297" s="101">
        <f t="shared" si="24"/>
        <v>1195.44</v>
      </c>
      <c r="W297" s="101">
        <f t="shared" si="25"/>
        <v>22362.48</v>
      </c>
      <c r="X297" s="101">
        <f t="shared" si="26"/>
        <v>112273.44</v>
      </c>
      <c r="Y297" s="101">
        <f t="shared" si="27"/>
        <v>55612.780680000003</v>
      </c>
      <c r="AA297" s="101">
        <v>86</v>
      </c>
      <c r="AB297" s="101">
        <v>1125</v>
      </c>
      <c r="AC297" s="101">
        <v>37556</v>
      </c>
      <c r="AD297" s="101">
        <v>170883.92</v>
      </c>
      <c r="AE297" s="101">
        <v>79435.606</v>
      </c>
    </row>
    <row r="298" spans="1:31" ht="11.25" hidden="1" customHeight="1" x14ac:dyDescent="0.3">
      <c r="A298" s="126" t="s">
        <v>174</v>
      </c>
      <c r="B298" s="126">
        <v>13</v>
      </c>
      <c r="C298" s="126">
        <v>30</v>
      </c>
      <c r="D298" s="126" t="str">
        <f t="shared" si="22"/>
        <v>1330</v>
      </c>
      <c r="E298" s="101">
        <v>564</v>
      </c>
      <c r="F298" s="101">
        <v>2750</v>
      </c>
      <c r="G298" s="101">
        <v>14491.5</v>
      </c>
      <c r="H298" s="101">
        <v>368809.28499999997</v>
      </c>
      <c r="I298" s="101">
        <v>133183.55349999998</v>
      </c>
      <c r="J298" s="101">
        <v>233</v>
      </c>
      <c r="K298" s="101">
        <v>2418</v>
      </c>
      <c r="L298" s="101">
        <v>12109</v>
      </c>
      <c r="M298" s="101">
        <v>250284</v>
      </c>
      <c r="N298" s="101">
        <v>80252</v>
      </c>
      <c r="O298" s="138"/>
      <c r="P298" s="138"/>
      <c r="Q298" s="138"/>
      <c r="R298" s="138"/>
      <c r="S298" s="138"/>
      <c r="T298" s="169">
        <v>1.02</v>
      </c>
      <c r="U298" s="101">
        <f t="shared" si="23"/>
        <v>0</v>
      </c>
      <c r="V298" s="101">
        <f t="shared" si="24"/>
        <v>0</v>
      </c>
      <c r="W298" s="101">
        <f t="shared" si="25"/>
        <v>0</v>
      </c>
      <c r="X298" s="101">
        <f t="shared" si="26"/>
        <v>0</v>
      </c>
      <c r="Y298" s="101">
        <f t="shared" si="27"/>
        <v>0</v>
      </c>
      <c r="AA298" s="101">
        <v>45</v>
      </c>
      <c r="AB298" s="101">
        <v>59</v>
      </c>
      <c r="AC298" s="101">
        <v>528</v>
      </c>
      <c r="AD298" s="101">
        <v>59127.64</v>
      </c>
      <c r="AE298" s="101">
        <v>27156.02</v>
      </c>
    </row>
    <row r="299" spans="1:31" ht="11.25" hidden="1" customHeight="1" x14ac:dyDescent="0.3">
      <c r="A299" s="126" t="s">
        <v>174</v>
      </c>
      <c r="B299" s="126">
        <v>13</v>
      </c>
      <c r="C299" s="126">
        <v>21</v>
      </c>
      <c r="D299" s="126" t="str">
        <f t="shared" si="22"/>
        <v>1321</v>
      </c>
      <c r="E299" s="101">
        <v>1401</v>
      </c>
      <c r="F299" s="101">
        <v>4777.5</v>
      </c>
      <c r="G299" s="101">
        <v>21803.5</v>
      </c>
      <c r="H299" s="101">
        <v>355733.565</v>
      </c>
      <c r="I299" s="101">
        <v>109484.15499999998</v>
      </c>
      <c r="J299" s="101">
        <v>827</v>
      </c>
      <c r="K299" s="101">
        <v>6410</v>
      </c>
      <c r="L299" s="101">
        <v>35437</v>
      </c>
      <c r="M299" s="101">
        <v>414512</v>
      </c>
      <c r="N299" s="101">
        <v>102932</v>
      </c>
      <c r="O299" s="138">
        <v>911</v>
      </c>
      <c r="P299" s="138">
        <v>6532</v>
      </c>
      <c r="Q299" s="138">
        <v>32223</v>
      </c>
      <c r="R299" s="138">
        <v>510139.66</v>
      </c>
      <c r="S299" s="138">
        <v>185487.11699999997</v>
      </c>
      <c r="T299" s="169">
        <v>1.02</v>
      </c>
      <c r="U299" s="101">
        <f>O372*T299</f>
        <v>1203.5999999999999</v>
      </c>
      <c r="V299" s="101">
        <f>P372*T299</f>
        <v>9240.18</v>
      </c>
      <c r="W299" s="101">
        <f>Q372*T299</f>
        <v>40609.26</v>
      </c>
      <c r="X299" s="101">
        <f>R372*T299</f>
        <v>547569.02760000003</v>
      </c>
      <c r="Y299" s="101">
        <f>S372*T299</f>
        <v>149059.64412000001</v>
      </c>
      <c r="AA299" s="101">
        <v>922</v>
      </c>
      <c r="AB299" s="101">
        <v>7825</v>
      </c>
      <c r="AC299" s="101">
        <v>36449</v>
      </c>
      <c r="AD299" s="101">
        <v>440059.73</v>
      </c>
      <c r="AE299" s="101">
        <v>119350.696</v>
      </c>
    </row>
    <row r="300" spans="1:31" ht="11.25" hidden="1" customHeight="1" x14ac:dyDescent="0.3">
      <c r="A300" s="126" t="s">
        <v>174</v>
      </c>
      <c r="B300" s="126">
        <v>13</v>
      </c>
      <c r="C300" s="126">
        <v>71</v>
      </c>
      <c r="D300" s="126" t="str">
        <f t="shared" si="22"/>
        <v>1371</v>
      </c>
      <c r="E300" s="101">
        <v>763.5</v>
      </c>
      <c r="F300" s="101">
        <v>5027</v>
      </c>
      <c r="G300" s="101">
        <v>12876</v>
      </c>
      <c r="H300" s="101">
        <v>101681.54999999999</v>
      </c>
      <c r="I300" s="101">
        <v>47540.667000000001</v>
      </c>
      <c r="J300" s="101">
        <v>467</v>
      </c>
      <c r="K300" s="101">
        <v>5378</v>
      </c>
      <c r="L300" s="101">
        <v>22167</v>
      </c>
      <c r="M300" s="101">
        <v>142380</v>
      </c>
      <c r="N300" s="101">
        <v>62485</v>
      </c>
      <c r="O300" s="101">
        <v>363</v>
      </c>
      <c r="P300" s="101">
        <v>5812</v>
      </c>
      <c r="Q300" s="101">
        <v>15075</v>
      </c>
      <c r="R300" s="101">
        <v>112402.68</v>
      </c>
      <c r="S300" s="101">
        <v>62838.353999999999</v>
      </c>
      <c r="T300" s="169">
        <v>1.5</v>
      </c>
      <c r="U300" s="101">
        <f t="shared" si="23"/>
        <v>544.5</v>
      </c>
      <c r="V300" s="101">
        <f>P300*T300</f>
        <v>8718</v>
      </c>
      <c r="W300" s="101">
        <v>15527.25</v>
      </c>
      <c r="X300" s="101">
        <f t="shared" si="26"/>
        <v>168604.02</v>
      </c>
      <c r="Y300" s="101">
        <f t="shared" si="27"/>
        <v>94257.531000000003</v>
      </c>
      <c r="AA300" s="101">
        <v>393</v>
      </c>
      <c r="AB300" s="101">
        <v>6366</v>
      </c>
      <c r="AC300" s="101">
        <v>34129</v>
      </c>
      <c r="AD300" s="101">
        <v>320215.71999999997</v>
      </c>
      <c r="AE300" s="101">
        <v>157345.14300000001</v>
      </c>
    </row>
    <row r="301" spans="1:31" ht="11.25" hidden="1" customHeight="1" x14ac:dyDescent="0.3">
      <c r="A301" s="126" t="s">
        <v>174</v>
      </c>
      <c r="B301" s="126">
        <v>13</v>
      </c>
      <c r="C301" s="126">
        <v>25</v>
      </c>
      <c r="D301" s="126" t="str">
        <f t="shared" si="22"/>
        <v>1325</v>
      </c>
      <c r="E301" s="101">
        <v>1231</v>
      </c>
      <c r="F301" s="101">
        <v>5657</v>
      </c>
      <c r="G301" s="101">
        <v>32056</v>
      </c>
      <c r="H301" s="101">
        <v>412881.96</v>
      </c>
      <c r="I301" s="101">
        <v>174263.21299999999</v>
      </c>
      <c r="J301" s="101">
        <v>723</v>
      </c>
      <c r="K301" s="101">
        <v>7226</v>
      </c>
      <c r="L301" s="101">
        <v>35212</v>
      </c>
      <c r="M301" s="101">
        <v>369151</v>
      </c>
      <c r="N301" s="101">
        <v>176461</v>
      </c>
      <c r="O301" s="101">
        <v>741</v>
      </c>
      <c r="P301" s="101">
        <v>5867</v>
      </c>
      <c r="Q301" s="101">
        <v>37150</v>
      </c>
      <c r="R301" s="101">
        <v>263538.94</v>
      </c>
      <c r="S301" s="101">
        <v>227589.44099999999</v>
      </c>
      <c r="T301" s="169">
        <v>1.02</v>
      </c>
      <c r="U301" s="101">
        <f t="shared" si="23"/>
        <v>755.82</v>
      </c>
      <c r="V301" s="101">
        <f t="shared" si="24"/>
        <v>5984.34</v>
      </c>
      <c r="W301" s="101">
        <f t="shared" si="25"/>
        <v>37893</v>
      </c>
      <c r="X301" s="101">
        <f t="shared" si="26"/>
        <v>268809.71880000003</v>
      </c>
      <c r="Y301" s="101">
        <f t="shared" si="27"/>
        <v>232141.22982000001</v>
      </c>
      <c r="AA301" s="101">
        <v>552</v>
      </c>
      <c r="AB301" s="101">
        <v>6051</v>
      </c>
      <c r="AC301" s="101">
        <v>36449</v>
      </c>
      <c r="AD301" s="101">
        <v>221927.31</v>
      </c>
      <c r="AE301" s="101">
        <v>128320.849</v>
      </c>
    </row>
    <row r="302" spans="1:31" ht="11.25" hidden="1" customHeight="1" x14ac:dyDescent="0.3">
      <c r="A302" s="126" t="s">
        <v>174</v>
      </c>
      <c r="B302" s="126">
        <v>13</v>
      </c>
      <c r="C302" s="126">
        <v>14</v>
      </c>
      <c r="D302" s="126" t="str">
        <f t="shared" si="22"/>
        <v>1314</v>
      </c>
      <c r="J302" s="101">
        <v>1</v>
      </c>
      <c r="K302" s="101">
        <v>1</v>
      </c>
      <c r="L302" s="101">
        <v>1</v>
      </c>
      <c r="M302" s="101">
        <v>67</v>
      </c>
      <c r="N302" s="101">
        <v>5</v>
      </c>
      <c r="O302" s="101">
        <v>40</v>
      </c>
      <c r="P302" s="101">
        <v>102</v>
      </c>
      <c r="Q302" s="101">
        <v>172</v>
      </c>
      <c r="R302" s="101">
        <v>10429.219999999999</v>
      </c>
      <c r="S302" s="101">
        <v>1457.502</v>
      </c>
      <c r="T302" s="169">
        <v>1.02</v>
      </c>
      <c r="U302" s="101">
        <f t="shared" si="23"/>
        <v>40.799999999999997</v>
      </c>
      <c r="V302" s="101">
        <f t="shared" si="24"/>
        <v>104.04</v>
      </c>
      <c r="W302" s="101">
        <f t="shared" si="25"/>
        <v>175.44</v>
      </c>
      <c r="X302" s="101">
        <f t="shared" si="26"/>
        <v>10637.804399999999</v>
      </c>
      <c r="Y302" s="101">
        <f t="shared" si="27"/>
        <v>1486.6520399999999</v>
      </c>
      <c r="AA302" s="101">
        <v>158</v>
      </c>
      <c r="AB302" s="101">
        <v>193</v>
      </c>
      <c r="AC302" s="101">
        <v>261</v>
      </c>
      <c r="AD302" s="101">
        <v>10932.24</v>
      </c>
      <c r="AE302" s="101">
        <v>1835.9280000000001</v>
      </c>
    </row>
    <row r="303" spans="1:31" ht="11.25" hidden="1" customHeight="1" x14ac:dyDescent="0.3">
      <c r="A303" s="126" t="s">
        <v>174</v>
      </c>
      <c r="B303" s="126">
        <v>13</v>
      </c>
      <c r="C303" s="126">
        <v>22</v>
      </c>
      <c r="D303" s="126" t="str">
        <f t="shared" si="22"/>
        <v>1322</v>
      </c>
      <c r="J303" s="101">
        <v>6</v>
      </c>
      <c r="K303" s="101">
        <v>9</v>
      </c>
      <c r="L303" s="101">
        <v>40</v>
      </c>
      <c r="M303" s="101">
        <v>1302</v>
      </c>
      <c r="N303" s="101">
        <v>530</v>
      </c>
      <c r="O303" s="101">
        <v>12</v>
      </c>
      <c r="P303" s="101">
        <v>17</v>
      </c>
      <c r="Q303" s="101">
        <v>129</v>
      </c>
      <c r="R303" s="101">
        <v>494.41</v>
      </c>
      <c r="S303" s="101">
        <v>280.12400000000002</v>
      </c>
      <c r="T303" s="169">
        <v>1.02</v>
      </c>
      <c r="U303" s="101">
        <f t="shared" si="23"/>
        <v>12.24</v>
      </c>
      <c r="V303" s="101">
        <f t="shared" si="24"/>
        <v>17.34</v>
      </c>
      <c r="W303" s="101">
        <f t="shared" si="25"/>
        <v>131.58000000000001</v>
      </c>
      <c r="X303" s="101">
        <f t="shared" si="26"/>
        <v>504.29820000000001</v>
      </c>
      <c r="Y303" s="101">
        <f t="shared" si="27"/>
        <v>285.72648000000004</v>
      </c>
      <c r="AA303" s="101">
        <v>2</v>
      </c>
      <c r="AB303" s="101">
        <v>6</v>
      </c>
      <c r="AC303" s="101">
        <v>6</v>
      </c>
      <c r="AD303" s="101">
        <v>0</v>
      </c>
      <c r="AE303" s="101">
        <v>54.523000000000003</v>
      </c>
    </row>
    <row r="304" spans="1:31" ht="11.25" hidden="1" customHeight="1" x14ac:dyDescent="0.3">
      <c r="A304" s="126" t="s">
        <v>174</v>
      </c>
      <c r="B304" s="126">
        <v>13</v>
      </c>
      <c r="C304" s="126">
        <v>26</v>
      </c>
      <c r="D304" s="126" t="str">
        <f t="shared" si="22"/>
        <v>1326</v>
      </c>
      <c r="J304" s="101">
        <v>6</v>
      </c>
      <c r="K304" s="101">
        <v>19</v>
      </c>
      <c r="L304" s="101">
        <v>74</v>
      </c>
      <c r="M304" s="101">
        <v>1016</v>
      </c>
      <c r="N304" s="101">
        <v>169</v>
      </c>
      <c r="O304" s="101">
        <v>3</v>
      </c>
      <c r="P304" s="101">
        <v>5</v>
      </c>
      <c r="Q304" s="101">
        <v>194</v>
      </c>
      <c r="R304" s="101">
        <v>6572.18</v>
      </c>
      <c r="S304" s="101">
        <v>8672.25</v>
      </c>
      <c r="T304" s="169">
        <v>1.02</v>
      </c>
      <c r="U304" s="101">
        <f t="shared" si="23"/>
        <v>3.06</v>
      </c>
      <c r="V304" s="101">
        <f t="shared" si="24"/>
        <v>5.0999999999999996</v>
      </c>
      <c r="W304" s="101">
        <f t="shared" si="25"/>
        <v>197.88</v>
      </c>
      <c r="X304" s="101">
        <f t="shared" si="26"/>
        <v>6703.6236000000008</v>
      </c>
      <c r="Y304" s="101">
        <f t="shared" si="27"/>
        <v>8845.6949999999997</v>
      </c>
      <c r="AA304" s="101">
        <v>2</v>
      </c>
      <c r="AB304" s="101">
        <v>4</v>
      </c>
      <c r="AC304" s="101">
        <v>210</v>
      </c>
      <c r="AD304" s="101">
        <v>1660.2</v>
      </c>
      <c r="AE304" s="101">
        <v>522.91399999999999</v>
      </c>
    </row>
    <row r="305" spans="1:31" ht="11.25" hidden="1" customHeight="1" x14ac:dyDescent="0.3">
      <c r="A305" s="126" t="s">
        <v>174</v>
      </c>
      <c r="B305" s="126">
        <v>13</v>
      </c>
      <c r="C305" s="126">
        <v>32</v>
      </c>
      <c r="D305" s="126" t="str">
        <f t="shared" si="22"/>
        <v>1332</v>
      </c>
      <c r="J305" s="101">
        <v>55</v>
      </c>
      <c r="K305" s="101">
        <v>71</v>
      </c>
      <c r="L305" s="101">
        <v>1169</v>
      </c>
      <c r="M305" s="101">
        <v>9791</v>
      </c>
      <c r="N305" s="101">
        <v>14162</v>
      </c>
      <c r="O305" s="101">
        <v>29</v>
      </c>
      <c r="P305" s="101">
        <v>74</v>
      </c>
      <c r="Q305" s="101">
        <v>2067</v>
      </c>
      <c r="R305" s="101">
        <v>21923.11</v>
      </c>
      <c r="S305" s="101">
        <v>4106.5389999999998</v>
      </c>
      <c r="T305" s="169">
        <v>1.02</v>
      </c>
      <c r="U305" s="101">
        <f t="shared" si="23"/>
        <v>29.580000000000002</v>
      </c>
      <c r="V305" s="101">
        <f t="shared" si="24"/>
        <v>75.48</v>
      </c>
      <c r="W305" s="101">
        <f t="shared" si="25"/>
        <v>2108.34</v>
      </c>
      <c r="X305" s="101">
        <f t="shared" si="26"/>
        <v>22361.572200000002</v>
      </c>
      <c r="Y305" s="101">
        <f t="shared" si="27"/>
        <v>4188.6697800000002</v>
      </c>
      <c r="AA305" s="101">
        <v>31</v>
      </c>
      <c r="AB305" s="101">
        <v>99</v>
      </c>
      <c r="AC305" s="101">
        <v>2968</v>
      </c>
      <c r="AD305" s="101">
        <v>51938.9</v>
      </c>
      <c r="AE305" s="101">
        <v>18917.190999999999</v>
      </c>
    </row>
    <row r="306" spans="1:31" ht="11.25" hidden="1" customHeight="1" x14ac:dyDescent="0.3">
      <c r="A306" s="126" t="s">
        <v>174</v>
      </c>
      <c r="B306" s="126">
        <v>13</v>
      </c>
      <c r="C306" s="126">
        <v>43</v>
      </c>
      <c r="D306" s="126" t="str">
        <f t="shared" si="22"/>
        <v>1343</v>
      </c>
      <c r="J306" s="101">
        <v>1</v>
      </c>
      <c r="K306" s="101">
        <v>2</v>
      </c>
      <c r="L306" s="101">
        <v>4</v>
      </c>
      <c r="M306" s="101">
        <v>0</v>
      </c>
      <c r="N306" s="101">
        <v>22</v>
      </c>
      <c r="O306" s="101">
        <v>2</v>
      </c>
      <c r="P306" s="101">
        <v>4</v>
      </c>
      <c r="Q306" s="101">
        <v>6</v>
      </c>
      <c r="R306" s="101">
        <v>0</v>
      </c>
      <c r="S306" s="101">
        <v>34.722999999999999</v>
      </c>
      <c r="T306" s="169">
        <v>1.02</v>
      </c>
      <c r="U306" s="101">
        <f t="shared" si="23"/>
        <v>2.04</v>
      </c>
      <c r="V306" s="101">
        <f t="shared" si="24"/>
        <v>4.08</v>
      </c>
      <c r="W306" s="101">
        <f t="shared" si="25"/>
        <v>6.12</v>
      </c>
      <c r="X306" s="101">
        <f t="shared" si="26"/>
        <v>0</v>
      </c>
      <c r="Y306" s="101">
        <f t="shared" si="27"/>
        <v>35.417459999999998</v>
      </c>
      <c r="AA306" s="101">
        <v>0</v>
      </c>
      <c r="AB306" s="101">
        <v>0</v>
      </c>
      <c r="AC306" s="101">
        <v>0</v>
      </c>
      <c r="AD306" s="101">
        <v>0</v>
      </c>
      <c r="AE306" s="101">
        <v>0</v>
      </c>
    </row>
    <row r="307" spans="1:31" ht="11.25" hidden="1" customHeight="1" x14ac:dyDescent="0.3">
      <c r="A307" s="126" t="s">
        <v>174</v>
      </c>
      <c r="B307" s="126">
        <v>13</v>
      </c>
      <c r="C307" s="126">
        <v>44</v>
      </c>
      <c r="D307" s="126" t="str">
        <f t="shared" si="22"/>
        <v>1344</v>
      </c>
      <c r="J307" s="101">
        <v>0</v>
      </c>
      <c r="K307" s="101">
        <v>0</v>
      </c>
      <c r="L307" s="101">
        <v>0</v>
      </c>
      <c r="M307" s="101">
        <v>0</v>
      </c>
      <c r="N307" s="101">
        <v>0</v>
      </c>
      <c r="O307" s="101">
        <v>0</v>
      </c>
      <c r="P307" s="101">
        <v>0</v>
      </c>
      <c r="Q307" s="101">
        <v>0</v>
      </c>
      <c r="R307" s="101">
        <v>0</v>
      </c>
      <c r="S307" s="101">
        <v>0</v>
      </c>
      <c r="T307" s="169">
        <v>1.02</v>
      </c>
      <c r="U307" s="101">
        <f t="shared" si="23"/>
        <v>0</v>
      </c>
      <c r="V307" s="101">
        <f t="shared" si="24"/>
        <v>0</v>
      </c>
      <c r="W307" s="101">
        <f t="shared" si="25"/>
        <v>0</v>
      </c>
      <c r="X307" s="101">
        <f t="shared" si="26"/>
        <v>0</v>
      </c>
      <c r="Y307" s="101">
        <f t="shared" si="27"/>
        <v>0</v>
      </c>
      <c r="AA307" s="101">
        <v>0</v>
      </c>
      <c r="AB307" s="101">
        <v>0</v>
      </c>
      <c r="AC307" s="101">
        <v>0</v>
      </c>
      <c r="AD307" s="101">
        <v>0</v>
      </c>
      <c r="AE307" s="101">
        <v>0</v>
      </c>
    </row>
    <row r="308" spans="1:31" ht="11.25" hidden="1" customHeight="1" x14ac:dyDescent="0.3">
      <c r="A308" s="126" t="s">
        <v>174</v>
      </c>
      <c r="B308" s="126">
        <v>13</v>
      </c>
      <c r="C308" s="126">
        <v>45</v>
      </c>
      <c r="D308" s="126" t="str">
        <f t="shared" si="22"/>
        <v>1345</v>
      </c>
      <c r="J308" s="101">
        <v>0</v>
      </c>
      <c r="K308" s="101">
        <v>0</v>
      </c>
      <c r="L308" s="101">
        <v>0</v>
      </c>
      <c r="M308" s="101">
        <v>0</v>
      </c>
      <c r="N308" s="101">
        <v>0</v>
      </c>
      <c r="O308" s="101">
        <v>0</v>
      </c>
      <c r="P308" s="101">
        <v>0</v>
      </c>
      <c r="Q308" s="101">
        <v>0</v>
      </c>
      <c r="R308" s="101">
        <v>0</v>
      </c>
      <c r="S308" s="101">
        <v>0</v>
      </c>
      <c r="T308" s="169">
        <v>1.02</v>
      </c>
      <c r="U308" s="101">
        <f t="shared" si="23"/>
        <v>0</v>
      </c>
      <c r="V308" s="101">
        <f t="shared" si="24"/>
        <v>0</v>
      </c>
      <c r="W308" s="101">
        <f t="shared" si="25"/>
        <v>0</v>
      </c>
      <c r="X308" s="101">
        <f t="shared" si="26"/>
        <v>0</v>
      </c>
      <c r="Y308" s="101">
        <f t="shared" si="27"/>
        <v>0</v>
      </c>
      <c r="AA308" s="101">
        <v>0</v>
      </c>
      <c r="AB308" s="101">
        <v>0</v>
      </c>
      <c r="AC308" s="101">
        <v>0</v>
      </c>
      <c r="AD308" s="101">
        <v>0</v>
      </c>
      <c r="AE308" s="101">
        <v>0</v>
      </c>
    </row>
    <row r="309" spans="1:31" ht="11.25" hidden="1" customHeight="1" x14ac:dyDescent="0.3">
      <c r="A309" s="126" t="s">
        <v>174</v>
      </c>
      <c r="B309" s="126">
        <v>13</v>
      </c>
      <c r="C309" s="126">
        <v>47</v>
      </c>
      <c r="D309" s="126" t="str">
        <f t="shared" si="22"/>
        <v>1347</v>
      </c>
      <c r="J309" s="101">
        <v>0</v>
      </c>
      <c r="K309" s="101">
        <v>0</v>
      </c>
      <c r="L309" s="101">
        <v>0</v>
      </c>
      <c r="M309" s="101">
        <v>0</v>
      </c>
      <c r="N309" s="101">
        <v>0</v>
      </c>
      <c r="O309" s="101">
        <v>0</v>
      </c>
      <c r="P309" s="101">
        <v>0</v>
      </c>
      <c r="Q309" s="101">
        <v>0</v>
      </c>
      <c r="R309" s="101">
        <v>0</v>
      </c>
      <c r="S309" s="101">
        <v>0</v>
      </c>
      <c r="T309" s="169">
        <v>1.02</v>
      </c>
      <c r="U309" s="101">
        <f t="shared" si="23"/>
        <v>0</v>
      </c>
      <c r="V309" s="101">
        <f t="shared" si="24"/>
        <v>0</v>
      </c>
      <c r="W309" s="101">
        <f t="shared" si="25"/>
        <v>0</v>
      </c>
      <c r="X309" s="101">
        <f t="shared" si="26"/>
        <v>0</v>
      </c>
      <c r="Y309" s="101">
        <f t="shared" si="27"/>
        <v>0</v>
      </c>
      <c r="AA309" s="101">
        <v>5</v>
      </c>
      <c r="AB309" s="101">
        <v>16</v>
      </c>
      <c r="AC309" s="101">
        <v>4902</v>
      </c>
      <c r="AD309" s="101">
        <v>36735.129999999997</v>
      </c>
      <c r="AE309" s="101">
        <v>4579.482</v>
      </c>
    </row>
    <row r="310" spans="1:31" ht="11.25" hidden="1" customHeight="1" x14ac:dyDescent="0.3">
      <c r="A310" s="126" t="s">
        <v>174</v>
      </c>
      <c r="B310" s="126">
        <v>13</v>
      </c>
      <c r="C310" s="126">
        <v>91</v>
      </c>
      <c r="D310" s="126" t="str">
        <f t="shared" si="22"/>
        <v>1391</v>
      </c>
      <c r="J310" s="101">
        <v>74</v>
      </c>
      <c r="K310" s="101">
        <v>336</v>
      </c>
      <c r="L310" s="101">
        <v>3531</v>
      </c>
      <c r="M310" s="101">
        <v>8120</v>
      </c>
      <c r="N310" s="101">
        <v>4189</v>
      </c>
      <c r="O310" s="101">
        <v>31</v>
      </c>
      <c r="P310" s="101">
        <v>82</v>
      </c>
      <c r="Q310" s="101">
        <v>637</v>
      </c>
      <c r="R310" s="101">
        <v>5282.31</v>
      </c>
      <c r="S310" s="101">
        <v>2308.1289999999999</v>
      </c>
      <c r="T310" s="169">
        <v>1.02</v>
      </c>
      <c r="U310" s="101">
        <f t="shared" si="23"/>
        <v>31.62</v>
      </c>
      <c r="V310" s="101">
        <f t="shared" si="24"/>
        <v>83.64</v>
      </c>
      <c r="W310" s="101">
        <f t="shared" si="25"/>
        <v>649.74</v>
      </c>
      <c r="X310" s="101">
        <f t="shared" si="26"/>
        <v>5387.9562000000005</v>
      </c>
      <c r="Y310" s="101">
        <f t="shared" si="27"/>
        <v>2354.2915800000001</v>
      </c>
      <c r="AA310" s="101">
        <v>80</v>
      </c>
      <c r="AB310" s="101">
        <v>218</v>
      </c>
      <c r="AC310" s="101">
        <v>756</v>
      </c>
      <c r="AD310" s="101">
        <v>9251.5</v>
      </c>
      <c r="AE310" s="101">
        <v>3990.9349999999999</v>
      </c>
    </row>
    <row r="311" spans="1:31" ht="11.25" hidden="1" customHeight="1" x14ac:dyDescent="0.3">
      <c r="A311" s="126" t="s">
        <v>174</v>
      </c>
      <c r="B311" s="126">
        <v>13</v>
      </c>
      <c r="C311" s="126">
        <v>48</v>
      </c>
      <c r="D311" s="126" t="str">
        <f t="shared" si="22"/>
        <v>1348</v>
      </c>
      <c r="J311" s="101">
        <v>0</v>
      </c>
      <c r="K311" s="101">
        <v>0</v>
      </c>
      <c r="L311" s="101">
        <v>0</v>
      </c>
      <c r="M311" s="101">
        <v>0</v>
      </c>
      <c r="N311" s="101">
        <v>0</v>
      </c>
      <c r="O311" s="101">
        <v>0</v>
      </c>
      <c r="P311" s="101">
        <v>0</v>
      </c>
      <c r="Q311" s="101">
        <v>0</v>
      </c>
      <c r="R311" s="101">
        <v>0</v>
      </c>
      <c r="S311" s="101">
        <v>0</v>
      </c>
      <c r="T311" s="169">
        <v>1.02</v>
      </c>
      <c r="U311" s="101">
        <f t="shared" si="23"/>
        <v>0</v>
      </c>
      <c r="V311" s="101">
        <f t="shared" si="24"/>
        <v>0</v>
      </c>
      <c r="W311" s="101">
        <f t="shared" si="25"/>
        <v>0</v>
      </c>
      <c r="X311" s="101">
        <f t="shared" si="26"/>
        <v>0</v>
      </c>
      <c r="Y311" s="101">
        <f t="shared" si="27"/>
        <v>0</v>
      </c>
      <c r="AA311" s="101">
        <v>0</v>
      </c>
      <c r="AB311" s="101">
        <v>0</v>
      </c>
      <c r="AC311" s="101">
        <v>0</v>
      </c>
      <c r="AD311" s="101">
        <v>0</v>
      </c>
      <c r="AE311" s="101">
        <v>0</v>
      </c>
    </row>
    <row r="312" spans="1:31" ht="11.25" hidden="1" customHeight="1" x14ac:dyDescent="0.3">
      <c r="A312" s="126" t="s">
        <v>174</v>
      </c>
      <c r="B312" s="126">
        <v>13</v>
      </c>
      <c r="C312" s="126">
        <v>27</v>
      </c>
      <c r="D312" s="126" t="str">
        <f t="shared" si="22"/>
        <v>1327</v>
      </c>
      <c r="E312" s="101">
        <v>158</v>
      </c>
      <c r="F312" s="101">
        <v>1093.5</v>
      </c>
      <c r="G312" s="101">
        <v>3283</v>
      </c>
      <c r="H312" s="101">
        <v>39186.83</v>
      </c>
      <c r="I312" s="101">
        <v>13894.755000000001</v>
      </c>
      <c r="J312" s="101">
        <v>55</v>
      </c>
      <c r="K312" s="101">
        <v>1419</v>
      </c>
      <c r="L312" s="101">
        <v>8634</v>
      </c>
      <c r="M312" s="101">
        <v>65658</v>
      </c>
      <c r="N312" s="101">
        <v>21341</v>
      </c>
      <c r="O312" s="101">
        <v>73</v>
      </c>
      <c r="P312" s="101">
        <v>2420</v>
      </c>
      <c r="Q312" s="101">
        <v>11144</v>
      </c>
      <c r="R312" s="101">
        <v>106368.17</v>
      </c>
      <c r="S312" s="101">
        <v>49435.856</v>
      </c>
      <c r="T312" s="169">
        <v>1.02</v>
      </c>
      <c r="U312" s="101">
        <f t="shared" si="23"/>
        <v>74.460000000000008</v>
      </c>
      <c r="V312" s="101">
        <f t="shared" si="24"/>
        <v>2468.4</v>
      </c>
      <c r="W312" s="101">
        <f t="shared" si="25"/>
        <v>11366.880000000001</v>
      </c>
      <c r="X312" s="101">
        <f t="shared" si="26"/>
        <v>108495.5334</v>
      </c>
      <c r="Y312" s="101">
        <f t="shared" si="27"/>
        <v>50424.573120000001</v>
      </c>
      <c r="AA312" s="101">
        <v>76</v>
      </c>
      <c r="AB312" s="101">
        <v>2435</v>
      </c>
      <c r="AC312" s="101">
        <v>14182</v>
      </c>
      <c r="AD312" s="101">
        <v>135725.87</v>
      </c>
      <c r="AE312" s="101">
        <v>51943.978000000003</v>
      </c>
    </row>
    <row r="313" spans="1:31" ht="11.25" hidden="1" customHeight="1" x14ac:dyDescent="0.3">
      <c r="A313" s="126" t="s">
        <v>174</v>
      </c>
      <c r="B313" s="126">
        <v>13</v>
      </c>
      <c r="C313" s="126">
        <v>41</v>
      </c>
      <c r="D313" s="126" t="str">
        <f t="shared" si="22"/>
        <v>1341</v>
      </c>
      <c r="O313" s="101">
        <v>2</v>
      </c>
      <c r="P313" s="101">
        <v>6</v>
      </c>
      <c r="Q313" s="101">
        <v>7</v>
      </c>
      <c r="R313" s="101">
        <v>260.11</v>
      </c>
      <c r="S313" s="101">
        <v>98.691999999999993</v>
      </c>
      <c r="T313" s="169">
        <v>1.02</v>
      </c>
      <c r="U313" s="101">
        <f t="shared" si="23"/>
        <v>2.04</v>
      </c>
      <c r="V313" s="101">
        <f t="shared" si="24"/>
        <v>6.12</v>
      </c>
      <c r="W313" s="101">
        <f t="shared" si="25"/>
        <v>7.1400000000000006</v>
      </c>
      <c r="X313" s="101">
        <f t="shared" si="26"/>
        <v>265.31220000000002</v>
      </c>
      <c r="Y313" s="101">
        <f t="shared" si="27"/>
        <v>100.66583999999999</v>
      </c>
      <c r="AA313" s="101">
        <v>3</v>
      </c>
      <c r="AB313" s="101">
        <v>9</v>
      </c>
      <c r="AC313" s="101">
        <v>125</v>
      </c>
      <c r="AD313" s="101">
        <v>620.91999999999996</v>
      </c>
      <c r="AE313" s="101">
        <v>351.75299999999999</v>
      </c>
    </row>
    <row r="314" spans="1:31" ht="11.25" customHeight="1" x14ac:dyDescent="0.3">
      <c r="A314" s="126" t="s">
        <v>174</v>
      </c>
      <c r="B314" s="126">
        <v>13</v>
      </c>
      <c r="C314" s="126" t="s">
        <v>172</v>
      </c>
      <c r="D314" s="126" t="str">
        <f t="shared" si="22"/>
        <v>13Uml</v>
      </c>
      <c r="J314" s="101">
        <v>337</v>
      </c>
      <c r="K314" s="101">
        <v>337</v>
      </c>
      <c r="L314" s="101">
        <v>143056</v>
      </c>
      <c r="N314" s="101">
        <v>427187</v>
      </c>
      <c r="O314" s="101">
        <v>280</v>
      </c>
      <c r="P314" s="101">
        <v>302</v>
      </c>
      <c r="Q314" s="101">
        <v>83204</v>
      </c>
      <c r="S314" s="101">
        <v>308870</v>
      </c>
      <c r="T314" s="169">
        <v>1.02</v>
      </c>
      <c r="U314" s="101">
        <f t="shared" si="23"/>
        <v>285.60000000000002</v>
      </c>
      <c r="V314" s="101">
        <f t="shared" si="24"/>
        <v>308.04000000000002</v>
      </c>
      <c r="W314" s="101">
        <f t="shared" si="25"/>
        <v>84868.08</v>
      </c>
      <c r="X314" s="101">
        <f t="shared" si="26"/>
        <v>0</v>
      </c>
      <c r="Y314" s="101">
        <f t="shared" si="27"/>
        <v>315047.40000000002</v>
      </c>
      <c r="AA314" s="101">
        <v>433</v>
      </c>
      <c r="AB314" s="101">
        <v>451</v>
      </c>
      <c r="AC314" s="101">
        <v>183893</v>
      </c>
      <c r="AE314" s="101">
        <v>418282.97899999999</v>
      </c>
    </row>
    <row r="315" spans="1:31" ht="11.25" hidden="1" customHeight="1" x14ac:dyDescent="0.3">
      <c r="A315" s="126" t="s">
        <v>174</v>
      </c>
      <c r="B315" s="126">
        <v>13</v>
      </c>
      <c r="C315" s="126">
        <v>37</v>
      </c>
      <c r="D315" s="126" t="str">
        <f t="shared" si="22"/>
        <v>1337</v>
      </c>
      <c r="E315" s="101">
        <v>7.5</v>
      </c>
      <c r="F315" s="101">
        <v>24.5</v>
      </c>
      <c r="G315" s="101">
        <v>873.25</v>
      </c>
      <c r="H315" s="101">
        <v>6684.4050000000007</v>
      </c>
      <c r="I315" s="101">
        <v>6192.866</v>
      </c>
      <c r="J315" s="101">
        <v>26</v>
      </c>
      <c r="K315" s="101">
        <v>116</v>
      </c>
      <c r="L315" s="101">
        <v>2116</v>
      </c>
      <c r="M315" s="101">
        <v>11353</v>
      </c>
      <c r="N315" s="101">
        <v>5110</v>
      </c>
      <c r="O315" s="101">
        <v>29</v>
      </c>
      <c r="P315" s="101">
        <v>64</v>
      </c>
      <c r="Q315" s="101">
        <v>989</v>
      </c>
      <c r="R315" s="101">
        <v>11683.98</v>
      </c>
      <c r="S315" s="101">
        <v>4717.0749999999998</v>
      </c>
      <c r="T315" s="169">
        <v>1.02</v>
      </c>
      <c r="U315" s="101">
        <f t="shared" si="23"/>
        <v>29.580000000000002</v>
      </c>
      <c r="V315" s="101">
        <f t="shared" si="24"/>
        <v>65.28</v>
      </c>
      <c r="W315" s="101">
        <f t="shared" si="25"/>
        <v>1008.78</v>
      </c>
      <c r="X315" s="101">
        <f t="shared" si="26"/>
        <v>11917.659599999999</v>
      </c>
      <c r="Y315" s="101">
        <f t="shared" si="27"/>
        <v>4811.4165000000003</v>
      </c>
      <c r="AA315" s="101">
        <v>39</v>
      </c>
      <c r="AB315" s="101">
        <v>155</v>
      </c>
      <c r="AC315" s="101">
        <v>6128</v>
      </c>
      <c r="AD315" s="101">
        <v>37574.65</v>
      </c>
      <c r="AE315" s="101">
        <v>20669.136999999999</v>
      </c>
    </row>
    <row r="316" spans="1:31" ht="11.25" hidden="1" customHeight="1" x14ac:dyDescent="0.3">
      <c r="A316" s="126" t="s">
        <v>175</v>
      </c>
      <c r="B316" s="126">
        <v>14</v>
      </c>
      <c r="C316" s="126">
        <v>12</v>
      </c>
      <c r="D316" s="126" t="str">
        <f t="shared" si="22"/>
        <v>1412</v>
      </c>
      <c r="E316" s="101">
        <v>51</v>
      </c>
      <c r="F316" s="101">
        <v>79</v>
      </c>
      <c r="G316" s="101">
        <v>133</v>
      </c>
      <c r="H316" s="101">
        <v>2227.9300000000003</v>
      </c>
      <c r="I316" s="101">
        <v>605.29300000000001</v>
      </c>
      <c r="J316" s="101">
        <v>2156</v>
      </c>
      <c r="K316" s="101">
        <v>18947</v>
      </c>
      <c r="L316" s="101">
        <v>26633</v>
      </c>
      <c r="M316" s="101">
        <v>329093</v>
      </c>
      <c r="N316" s="101">
        <v>103653</v>
      </c>
      <c r="O316" s="101">
        <v>18</v>
      </c>
      <c r="P316" s="101">
        <v>22</v>
      </c>
      <c r="Q316" s="101">
        <v>24</v>
      </c>
      <c r="R316" s="101">
        <v>708.82999999999993</v>
      </c>
      <c r="S316" s="101">
        <v>158.99299999999999</v>
      </c>
      <c r="T316" s="169">
        <v>1.02</v>
      </c>
      <c r="U316" s="101">
        <f t="shared" si="23"/>
        <v>18.36</v>
      </c>
      <c r="V316" s="101">
        <f t="shared" si="24"/>
        <v>22.44</v>
      </c>
      <c r="W316" s="101">
        <f t="shared" si="25"/>
        <v>24.48</v>
      </c>
      <c r="X316" s="101">
        <f t="shared" si="26"/>
        <v>723.00659999999993</v>
      </c>
      <c r="Y316" s="101">
        <f t="shared" si="27"/>
        <v>162.17285999999999</v>
      </c>
      <c r="AA316" s="101">
        <v>10</v>
      </c>
      <c r="AB316" s="101">
        <v>13</v>
      </c>
      <c r="AC316" s="101">
        <v>14</v>
      </c>
      <c r="AD316" s="101">
        <v>400</v>
      </c>
      <c r="AE316" s="101">
        <v>110</v>
      </c>
    </row>
    <row r="317" spans="1:31" ht="11.25" hidden="1" customHeight="1" x14ac:dyDescent="0.3">
      <c r="A317" s="126" t="s">
        <v>175</v>
      </c>
      <c r="B317" s="126">
        <v>14</v>
      </c>
      <c r="C317" s="126">
        <v>17</v>
      </c>
      <c r="D317" s="126" t="str">
        <f t="shared" si="22"/>
        <v>1417</v>
      </c>
      <c r="E317" s="101">
        <v>2371</v>
      </c>
      <c r="F317" s="101">
        <v>3563</v>
      </c>
      <c r="G317" s="101">
        <v>5162</v>
      </c>
      <c r="H317" s="101">
        <v>141926.56</v>
      </c>
      <c r="I317" s="101">
        <v>24645.417000000005</v>
      </c>
      <c r="J317" s="101">
        <v>1050</v>
      </c>
      <c r="K317" s="101">
        <v>2648</v>
      </c>
      <c r="L317" s="101">
        <v>3626</v>
      </c>
      <c r="M317" s="101">
        <v>71037</v>
      </c>
      <c r="N317" s="101">
        <v>11909</v>
      </c>
      <c r="O317" s="101">
        <v>976</v>
      </c>
      <c r="P317" s="101">
        <v>1650</v>
      </c>
      <c r="Q317" s="101">
        <v>2273</v>
      </c>
      <c r="R317" s="101">
        <v>70610.490000000005</v>
      </c>
      <c r="S317" s="101">
        <v>13885.758</v>
      </c>
      <c r="T317" s="169">
        <v>1.02</v>
      </c>
      <c r="U317" s="101">
        <f>1375+900</f>
        <v>2275</v>
      </c>
      <c r="V317" s="101">
        <f>2500+2586</f>
        <v>5086</v>
      </c>
      <c r="W317" s="101">
        <f>3750+3743</f>
        <v>7493</v>
      </c>
      <c r="X317" s="144">
        <f>R246*T317</f>
        <v>170195.48640000002</v>
      </c>
      <c r="Y317" s="101">
        <v>50000</v>
      </c>
      <c r="AA317" s="101">
        <v>2606</v>
      </c>
      <c r="AB317" s="101">
        <v>5270</v>
      </c>
      <c r="AC317" s="101">
        <v>7574</v>
      </c>
      <c r="AD317" s="101">
        <v>171448</v>
      </c>
      <c r="AE317" s="101">
        <v>39410</v>
      </c>
    </row>
    <row r="318" spans="1:31" ht="11.25" hidden="1" customHeight="1" x14ac:dyDescent="0.3">
      <c r="A318" s="126" t="s">
        <v>175</v>
      </c>
      <c r="B318" s="126">
        <v>14</v>
      </c>
      <c r="C318" s="126">
        <v>18</v>
      </c>
      <c r="D318" s="126" t="str">
        <f t="shared" si="22"/>
        <v>1418</v>
      </c>
      <c r="E318" s="101">
        <v>146</v>
      </c>
      <c r="F318" s="101">
        <v>266</v>
      </c>
      <c r="G318" s="101">
        <v>483</v>
      </c>
      <c r="H318" s="101">
        <v>11550.119999999999</v>
      </c>
      <c r="I318" s="101">
        <v>1680.1489999999999</v>
      </c>
      <c r="J318" s="101">
        <v>2156</v>
      </c>
      <c r="K318" s="101">
        <v>2282</v>
      </c>
      <c r="L318" s="101">
        <v>3004</v>
      </c>
      <c r="M318" s="101">
        <v>113622</v>
      </c>
      <c r="N318" s="101">
        <v>22704</v>
      </c>
      <c r="O318" s="101">
        <v>3027</v>
      </c>
      <c r="P318" s="101">
        <v>3256</v>
      </c>
      <c r="Q318" s="101">
        <v>5028</v>
      </c>
      <c r="R318" s="101">
        <v>131715.78</v>
      </c>
      <c r="S318" s="101">
        <v>83946.592999999993</v>
      </c>
      <c r="T318" s="169">
        <v>0.6</v>
      </c>
      <c r="U318" s="101">
        <f t="shared" si="23"/>
        <v>1816.2</v>
      </c>
      <c r="V318" s="101">
        <f t="shared" si="24"/>
        <v>1953.6</v>
      </c>
      <c r="W318" s="101">
        <f t="shared" si="25"/>
        <v>3016.7999999999997</v>
      </c>
      <c r="X318" s="101">
        <f t="shared" si="26"/>
        <v>79029.467999999993</v>
      </c>
      <c r="Y318" s="101">
        <f t="shared" si="27"/>
        <v>50367.955799999996</v>
      </c>
      <c r="AA318" s="101">
        <v>2392</v>
      </c>
      <c r="AB318" s="101">
        <v>2606</v>
      </c>
      <c r="AC318" s="101">
        <v>2987</v>
      </c>
      <c r="AD318" s="101">
        <v>144054</v>
      </c>
      <c r="AE318" s="101">
        <v>36536</v>
      </c>
    </row>
    <row r="319" spans="1:31" ht="11.25" hidden="1" customHeight="1" x14ac:dyDescent="0.3">
      <c r="A319" s="126" t="s">
        <v>175</v>
      </c>
      <c r="B319" s="126">
        <v>14</v>
      </c>
      <c r="C319" s="126">
        <v>28</v>
      </c>
      <c r="D319" s="126" t="str">
        <f t="shared" si="22"/>
        <v>1428</v>
      </c>
      <c r="E319" s="101">
        <v>332</v>
      </c>
      <c r="F319" s="101">
        <v>3505</v>
      </c>
      <c r="G319" s="101">
        <v>34962</v>
      </c>
      <c r="H319" s="101">
        <v>594833.79</v>
      </c>
      <c r="I319" s="101">
        <v>140629.55900000001</v>
      </c>
      <c r="J319" s="101">
        <v>276</v>
      </c>
      <c r="K319" s="101">
        <v>3497</v>
      </c>
      <c r="L319" s="101">
        <v>21096</v>
      </c>
      <c r="M319" s="101">
        <v>392865</v>
      </c>
      <c r="N319" s="101">
        <v>111190</v>
      </c>
      <c r="O319" s="101">
        <v>256</v>
      </c>
      <c r="P319" s="101">
        <v>3414</v>
      </c>
      <c r="Q319" s="101">
        <v>19545</v>
      </c>
      <c r="R319" s="101">
        <v>343510.37000000005</v>
      </c>
      <c r="S319" s="101">
        <v>87698.082000000009</v>
      </c>
      <c r="T319" s="169">
        <v>1.02</v>
      </c>
      <c r="U319" s="101">
        <f t="shared" si="23"/>
        <v>261.12</v>
      </c>
      <c r="V319" s="101">
        <f t="shared" si="24"/>
        <v>3482.28</v>
      </c>
      <c r="W319" s="101">
        <f t="shared" si="25"/>
        <v>19935.900000000001</v>
      </c>
      <c r="X319" s="101">
        <f t="shared" si="26"/>
        <v>350380.57740000007</v>
      </c>
      <c r="Y319" s="101">
        <f t="shared" si="27"/>
        <v>89452.043640000018</v>
      </c>
      <c r="AA319" s="101">
        <v>283</v>
      </c>
      <c r="AB319" s="101">
        <v>5948</v>
      </c>
      <c r="AC319" s="101">
        <v>31811</v>
      </c>
      <c r="AD319" s="101">
        <v>786001</v>
      </c>
      <c r="AE319" s="101">
        <v>199021</v>
      </c>
    </row>
    <row r="320" spans="1:31" ht="11.25" hidden="1" customHeight="1" x14ac:dyDescent="0.3">
      <c r="A320" s="126" t="s">
        <v>175</v>
      </c>
      <c r="B320" s="126">
        <v>14</v>
      </c>
      <c r="C320" s="126">
        <v>46</v>
      </c>
      <c r="D320" s="126" t="str">
        <f t="shared" si="22"/>
        <v>1446</v>
      </c>
      <c r="E320" s="101">
        <v>262</v>
      </c>
      <c r="F320" s="101">
        <v>473</v>
      </c>
      <c r="G320" s="101">
        <v>13554</v>
      </c>
      <c r="H320" s="101">
        <v>351835.92</v>
      </c>
      <c r="I320" s="101">
        <v>135064.41800000001</v>
      </c>
      <c r="J320" s="101">
        <v>281</v>
      </c>
      <c r="K320" s="101">
        <v>716</v>
      </c>
      <c r="L320" s="101">
        <v>9349</v>
      </c>
      <c r="M320" s="101">
        <v>218780</v>
      </c>
      <c r="N320" s="101">
        <v>68197</v>
      </c>
      <c r="O320" s="101">
        <v>170</v>
      </c>
      <c r="P320" s="101">
        <v>520</v>
      </c>
      <c r="Q320" s="101">
        <v>11458</v>
      </c>
      <c r="R320" s="101">
        <v>185834.99999999997</v>
      </c>
      <c r="S320" s="101">
        <v>41498.519</v>
      </c>
      <c r="T320" s="169">
        <v>1.02</v>
      </c>
      <c r="U320" s="101">
        <f t="shared" si="23"/>
        <v>173.4</v>
      </c>
      <c r="V320" s="101">
        <f t="shared" si="24"/>
        <v>530.4</v>
      </c>
      <c r="W320" s="101">
        <f t="shared" si="25"/>
        <v>11687.16</v>
      </c>
      <c r="X320" s="101">
        <f t="shared" si="26"/>
        <v>189551.69999999998</v>
      </c>
      <c r="Y320" s="101">
        <f t="shared" si="27"/>
        <v>42328.489379999999</v>
      </c>
      <c r="AA320" s="101">
        <v>219</v>
      </c>
      <c r="AB320" s="101">
        <v>500</v>
      </c>
      <c r="AC320" s="101">
        <v>22331</v>
      </c>
      <c r="AD320" s="101">
        <v>350114</v>
      </c>
      <c r="AE320" s="101">
        <v>125571</v>
      </c>
    </row>
    <row r="321" spans="1:31" ht="11.25" hidden="1" customHeight="1" x14ac:dyDescent="0.3">
      <c r="A321" s="126" t="s">
        <v>175</v>
      </c>
      <c r="B321" s="126">
        <v>14</v>
      </c>
      <c r="C321" s="126">
        <v>48</v>
      </c>
      <c r="D321" s="126" t="str">
        <f t="shared" si="22"/>
        <v>1448</v>
      </c>
      <c r="E321" s="101">
        <v>6</v>
      </c>
      <c r="F321" s="101">
        <v>6</v>
      </c>
      <c r="G321" s="101">
        <v>653</v>
      </c>
      <c r="H321" s="101">
        <v>3652.39</v>
      </c>
      <c r="I321" s="101">
        <v>2258.9810000000002</v>
      </c>
      <c r="J321" s="101">
        <v>0</v>
      </c>
      <c r="K321" s="101">
        <v>0</v>
      </c>
      <c r="L321" s="101">
        <v>0</v>
      </c>
      <c r="M321" s="101">
        <v>0</v>
      </c>
      <c r="N321" s="101">
        <v>0</v>
      </c>
      <c r="O321" s="101">
        <v>1</v>
      </c>
      <c r="P321" s="101">
        <v>1</v>
      </c>
      <c r="Q321" s="101">
        <v>10</v>
      </c>
      <c r="R321" s="101">
        <v>181.5</v>
      </c>
      <c r="S321" s="101">
        <v>70.11</v>
      </c>
      <c r="T321" s="169">
        <v>1.02</v>
      </c>
      <c r="U321" s="101">
        <f t="shared" si="23"/>
        <v>1.02</v>
      </c>
      <c r="V321" s="101">
        <f t="shared" si="24"/>
        <v>1.02</v>
      </c>
      <c r="W321" s="101">
        <f t="shared" si="25"/>
        <v>10.199999999999999</v>
      </c>
      <c r="X321" s="101">
        <f t="shared" si="26"/>
        <v>185.13</v>
      </c>
      <c r="Y321" s="101">
        <f t="shared" si="27"/>
        <v>71.512200000000007</v>
      </c>
      <c r="AA321" s="101">
        <v>0</v>
      </c>
      <c r="AB321" s="101">
        <v>0</v>
      </c>
      <c r="AC321" s="101">
        <v>0</v>
      </c>
      <c r="AD321" s="101">
        <v>0</v>
      </c>
      <c r="AE321" s="101">
        <v>0</v>
      </c>
    </row>
    <row r="322" spans="1:31" ht="11.25" hidden="1" customHeight="1" x14ac:dyDescent="0.3">
      <c r="A322" s="126" t="s">
        <v>175</v>
      </c>
      <c r="B322" s="126">
        <v>14</v>
      </c>
      <c r="C322" s="126">
        <v>66</v>
      </c>
      <c r="D322" s="126" t="str">
        <f t="shared" si="22"/>
        <v>1466</v>
      </c>
      <c r="E322" s="101">
        <v>468</v>
      </c>
      <c r="F322" s="101">
        <v>1657</v>
      </c>
      <c r="G322" s="101">
        <v>28538</v>
      </c>
      <c r="H322" s="101">
        <v>185366.51</v>
      </c>
      <c r="I322" s="101">
        <v>95632.872000000003</v>
      </c>
      <c r="J322" s="101">
        <v>312</v>
      </c>
      <c r="K322" s="101">
        <v>1688</v>
      </c>
      <c r="L322" s="101">
        <v>21113</v>
      </c>
      <c r="M322" s="101">
        <v>117624</v>
      </c>
      <c r="N322" s="101">
        <v>53606</v>
      </c>
      <c r="O322" s="101">
        <v>243</v>
      </c>
      <c r="P322" s="101">
        <v>1249</v>
      </c>
      <c r="Q322" s="101">
        <v>25272</v>
      </c>
      <c r="R322" s="101">
        <v>132655.16</v>
      </c>
      <c r="S322" s="101">
        <v>67074.455999999991</v>
      </c>
      <c r="T322" s="169">
        <v>1.02</v>
      </c>
      <c r="U322" s="101">
        <f t="shared" si="23"/>
        <v>247.86</v>
      </c>
      <c r="V322" s="101">
        <f t="shared" si="24"/>
        <v>1273.98</v>
      </c>
      <c r="W322" s="101">
        <f t="shared" si="25"/>
        <v>25777.439999999999</v>
      </c>
      <c r="X322" s="101">
        <f t="shared" si="26"/>
        <v>135308.26320000002</v>
      </c>
      <c r="Y322" s="101">
        <f t="shared" si="27"/>
        <v>68415.945119999989</v>
      </c>
      <c r="AA322" s="101">
        <v>100</v>
      </c>
      <c r="AB322" s="101">
        <v>1540</v>
      </c>
      <c r="AC322" s="101">
        <v>36579</v>
      </c>
      <c r="AD322" s="101">
        <v>193769</v>
      </c>
      <c r="AE322" s="101">
        <v>97346</v>
      </c>
    </row>
    <row r="323" spans="1:31" ht="11.25" hidden="1" customHeight="1" x14ac:dyDescent="0.3">
      <c r="A323" s="126" t="s">
        <v>175</v>
      </c>
      <c r="B323" s="126">
        <v>14</v>
      </c>
      <c r="C323" s="126">
        <v>30</v>
      </c>
      <c r="D323" s="126" t="str">
        <f t="shared" si="22"/>
        <v>1430</v>
      </c>
      <c r="E323" s="101">
        <v>637</v>
      </c>
      <c r="F323" s="101">
        <v>4187.5</v>
      </c>
      <c r="G323" s="101">
        <v>14686.5</v>
      </c>
      <c r="H323" s="101">
        <v>230145.36000000002</v>
      </c>
      <c r="I323" s="101">
        <v>71723.448000000004</v>
      </c>
      <c r="J323" s="101">
        <v>275</v>
      </c>
      <c r="K323" s="101">
        <v>4078</v>
      </c>
      <c r="L323" s="101">
        <v>15789</v>
      </c>
      <c r="M323" s="101">
        <v>383439</v>
      </c>
      <c r="N323" s="101">
        <v>111011</v>
      </c>
      <c r="O323" s="138"/>
      <c r="P323" s="138"/>
      <c r="Q323" s="138"/>
      <c r="R323" s="138"/>
      <c r="S323" s="138"/>
      <c r="T323" s="169">
        <v>1.02</v>
      </c>
      <c r="U323" s="101">
        <f>O323*T323</f>
        <v>0</v>
      </c>
      <c r="V323" s="101">
        <f>P323*T323</f>
        <v>0</v>
      </c>
      <c r="W323" s="101">
        <f>Q323*T323</f>
        <v>0</v>
      </c>
      <c r="X323" s="101">
        <f t="shared" si="26"/>
        <v>0</v>
      </c>
      <c r="Y323" s="101">
        <f>S323*T323</f>
        <v>0</v>
      </c>
      <c r="AA323" s="101">
        <v>52</v>
      </c>
      <c r="AB323" s="101">
        <v>54</v>
      </c>
      <c r="AC323" s="101">
        <v>500</v>
      </c>
      <c r="AD323" s="101">
        <v>16514</v>
      </c>
      <c r="AE323" s="101">
        <v>9817</v>
      </c>
    </row>
    <row r="324" spans="1:31" ht="11.25" hidden="1" customHeight="1" x14ac:dyDescent="0.3">
      <c r="A324" s="126" t="s">
        <v>175</v>
      </c>
      <c r="B324" s="126">
        <v>14</v>
      </c>
      <c r="C324" s="126">
        <v>21</v>
      </c>
      <c r="D324" s="126" t="str">
        <f t="shared" si="22"/>
        <v>1421</v>
      </c>
      <c r="E324" s="101">
        <v>1432</v>
      </c>
      <c r="F324" s="101">
        <v>5036.5</v>
      </c>
      <c r="G324" s="101">
        <v>24518</v>
      </c>
      <c r="H324" s="101">
        <v>366175.89499999996</v>
      </c>
      <c r="I324" s="101">
        <v>93369.549999999988</v>
      </c>
      <c r="J324" s="101">
        <v>754</v>
      </c>
      <c r="K324" s="101">
        <v>5426</v>
      </c>
      <c r="L324" s="101">
        <v>28061</v>
      </c>
      <c r="M324" s="101">
        <v>528030</v>
      </c>
      <c r="N324" s="101">
        <v>159445</v>
      </c>
      <c r="O324" s="138">
        <v>971</v>
      </c>
      <c r="P324" s="138">
        <v>7552</v>
      </c>
      <c r="Q324" s="138">
        <v>43155</v>
      </c>
      <c r="R324" s="138">
        <v>587220.93000000005</v>
      </c>
      <c r="S324" s="138">
        <v>177780.098</v>
      </c>
      <c r="T324" s="169">
        <v>1.02</v>
      </c>
      <c r="U324" s="101">
        <f>O397*T324-71</f>
        <v>922.48</v>
      </c>
      <c r="V324" s="101">
        <f>P397*T324-647</f>
        <v>7222.3</v>
      </c>
      <c r="W324" s="101">
        <f>Q397*T324-1960</f>
        <v>48971.66</v>
      </c>
      <c r="X324" s="101">
        <f>R397*T324</f>
        <v>526517.37</v>
      </c>
      <c r="Y324" s="101">
        <f>S397*T324-16022</f>
        <v>177302.47498</v>
      </c>
      <c r="AA324" s="101">
        <v>957</v>
      </c>
      <c r="AB324" s="101">
        <v>7233</v>
      </c>
      <c r="AC324" s="101">
        <v>31286</v>
      </c>
      <c r="AD324" s="101">
        <v>442254</v>
      </c>
      <c r="AE324" s="101">
        <v>118305</v>
      </c>
    </row>
    <row r="325" spans="1:31" ht="11.25" hidden="1" customHeight="1" x14ac:dyDescent="0.3">
      <c r="A325" s="126" t="s">
        <v>175</v>
      </c>
      <c r="B325" s="126">
        <v>14</v>
      </c>
      <c r="C325" s="126">
        <v>71</v>
      </c>
      <c r="D325" s="126" t="str">
        <f t="shared" si="22"/>
        <v>1471</v>
      </c>
      <c r="E325" s="101">
        <v>764</v>
      </c>
      <c r="F325" s="101">
        <v>5812</v>
      </c>
      <c r="G325" s="101">
        <v>17602.5</v>
      </c>
      <c r="H325" s="101">
        <v>120899.47000000002</v>
      </c>
      <c r="I325" s="101">
        <v>50792.009999999995</v>
      </c>
      <c r="J325" s="101">
        <v>532</v>
      </c>
      <c r="K325" s="101">
        <v>6221</v>
      </c>
      <c r="L325" s="101">
        <v>30441</v>
      </c>
      <c r="M325" s="101">
        <v>332370</v>
      </c>
      <c r="N325" s="101">
        <v>99191</v>
      </c>
      <c r="O325" s="101">
        <v>323</v>
      </c>
      <c r="P325" s="101">
        <v>4851</v>
      </c>
      <c r="Q325" s="101">
        <v>12158</v>
      </c>
      <c r="R325" s="101">
        <v>126444.50000000003</v>
      </c>
      <c r="S325" s="101">
        <v>48803.701999999997</v>
      </c>
      <c r="T325" s="169">
        <v>0.98</v>
      </c>
      <c r="U325" s="101">
        <f t="shared" si="23"/>
        <v>316.54000000000002</v>
      </c>
      <c r="V325" s="101">
        <f>P398*T325</f>
        <v>5274.36</v>
      </c>
      <c r="W325" s="101">
        <f t="shared" si="25"/>
        <v>11914.84</v>
      </c>
      <c r="X325" s="101">
        <f t="shared" si="26"/>
        <v>123915.61000000003</v>
      </c>
      <c r="Y325" s="101">
        <f t="shared" si="27"/>
        <v>47827.627959999998</v>
      </c>
      <c r="AA325" s="101">
        <v>237</v>
      </c>
      <c r="AB325" s="101">
        <v>4857</v>
      </c>
      <c r="AC325" s="101">
        <v>15358</v>
      </c>
      <c r="AD325" s="101">
        <v>135157</v>
      </c>
      <c r="AE325" s="101">
        <v>62762</v>
      </c>
    </row>
    <row r="326" spans="1:31" ht="11.25" hidden="1" customHeight="1" x14ac:dyDescent="0.3">
      <c r="A326" s="126" t="s">
        <v>175</v>
      </c>
      <c r="B326" s="126">
        <v>14</v>
      </c>
      <c r="C326" s="126">
        <v>25</v>
      </c>
      <c r="D326" s="126" t="str">
        <f t="shared" si="22"/>
        <v>1425</v>
      </c>
      <c r="E326" s="101">
        <v>1529</v>
      </c>
      <c r="F326" s="101">
        <v>5366</v>
      </c>
      <c r="G326" s="101">
        <v>45970</v>
      </c>
      <c r="H326" s="101">
        <v>602724.31999999995</v>
      </c>
      <c r="I326" s="101">
        <v>374630.98499999999</v>
      </c>
      <c r="J326" s="101">
        <v>759</v>
      </c>
      <c r="K326" s="101">
        <v>6424</v>
      </c>
      <c r="L326" s="101">
        <v>36548</v>
      </c>
      <c r="M326" s="101">
        <v>454577</v>
      </c>
      <c r="N326" s="101">
        <v>181714</v>
      </c>
      <c r="O326" s="101">
        <v>630</v>
      </c>
      <c r="P326" s="101">
        <v>4792</v>
      </c>
      <c r="Q326" s="101">
        <v>51992</v>
      </c>
      <c r="R326" s="101">
        <v>237009.12999999998</v>
      </c>
      <c r="S326" s="101">
        <v>184200.76499999998</v>
      </c>
      <c r="T326" s="169">
        <v>1.02</v>
      </c>
      <c r="U326" s="101">
        <f t="shared" ref="U326:U389" si="28">O326*T326</f>
        <v>642.6</v>
      </c>
      <c r="V326" s="101">
        <f t="shared" ref="V326:V389" si="29">P326*T326</f>
        <v>4887.84</v>
      </c>
      <c r="W326" s="101">
        <f t="shared" ref="W326:W389" si="30">Q326*T326</f>
        <v>53031.840000000004</v>
      </c>
      <c r="X326" s="101">
        <f t="shared" ref="X326:X389" si="31">R326*T326</f>
        <v>241749.31259999998</v>
      </c>
      <c r="Y326" s="101">
        <f t="shared" ref="Y326:Y389" si="32">S326*T326</f>
        <v>187884.78029999998</v>
      </c>
      <c r="AA326" s="101">
        <v>750</v>
      </c>
      <c r="AB326" s="101">
        <v>6672</v>
      </c>
      <c r="AC326" s="101">
        <v>31620</v>
      </c>
      <c r="AD326" s="101">
        <v>274910</v>
      </c>
      <c r="AE326" s="101">
        <v>158939</v>
      </c>
    </row>
    <row r="327" spans="1:31" ht="11.25" hidden="1" customHeight="1" x14ac:dyDescent="0.3">
      <c r="A327" s="126" t="s">
        <v>175</v>
      </c>
      <c r="B327" s="126">
        <v>14</v>
      </c>
      <c r="C327" s="126">
        <v>14</v>
      </c>
      <c r="D327" s="126" t="str">
        <f t="shared" si="22"/>
        <v>1414</v>
      </c>
      <c r="J327" s="101">
        <v>2</v>
      </c>
      <c r="K327" s="101">
        <v>8</v>
      </c>
      <c r="L327" s="101">
        <v>9</v>
      </c>
      <c r="M327" s="101">
        <v>1317</v>
      </c>
      <c r="N327" s="101">
        <v>157</v>
      </c>
      <c r="O327" s="101">
        <v>32</v>
      </c>
      <c r="P327" s="101">
        <v>47</v>
      </c>
      <c r="Q327" s="101">
        <v>74</v>
      </c>
      <c r="R327" s="101">
        <v>3264.1000000000004</v>
      </c>
      <c r="S327" s="101">
        <v>463.09400000000005</v>
      </c>
      <c r="T327" s="169">
        <v>1.02</v>
      </c>
      <c r="U327" s="101">
        <f t="shared" si="28"/>
        <v>32.64</v>
      </c>
      <c r="V327" s="101">
        <f t="shared" si="29"/>
        <v>47.94</v>
      </c>
      <c r="W327" s="101">
        <f t="shared" si="30"/>
        <v>75.48</v>
      </c>
      <c r="X327" s="101">
        <f t="shared" si="31"/>
        <v>3329.3820000000005</v>
      </c>
      <c r="Y327" s="101">
        <f t="shared" si="32"/>
        <v>472.35588000000007</v>
      </c>
      <c r="AA327" s="101">
        <v>167</v>
      </c>
      <c r="AB327" s="101">
        <v>247</v>
      </c>
      <c r="AC327" s="101">
        <v>394</v>
      </c>
      <c r="AD327" s="101">
        <v>15609</v>
      </c>
      <c r="AE327" s="101">
        <v>2667</v>
      </c>
    </row>
    <row r="328" spans="1:31" ht="11.25" hidden="1" customHeight="1" x14ac:dyDescent="0.3">
      <c r="A328" s="126" t="s">
        <v>175</v>
      </c>
      <c r="B328" s="126">
        <v>14</v>
      </c>
      <c r="C328" s="126">
        <v>22</v>
      </c>
      <c r="D328" s="126" t="str">
        <f t="shared" si="22"/>
        <v>1422</v>
      </c>
      <c r="J328" s="101">
        <v>7</v>
      </c>
      <c r="K328" s="101">
        <v>28</v>
      </c>
      <c r="L328" s="101">
        <v>118</v>
      </c>
      <c r="M328" s="101">
        <v>1988</v>
      </c>
      <c r="N328" s="101">
        <v>512</v>
      </c>
      <c r="O328" s="101">
        <v>16</v>
      </c>
      <c r="P328" s="101">
        <v>30</v>
      </c>
      <c r="Q328" s="101">
        <v>318</v>
      </c>
      <c r="R328" s="101">
        <v>3264.88</v>
      </c>
      <c r="S328" s="101">
        <v>927.447</v>
      </c>
      <c r="T328" s="169">
        <v>1.02</v>
      </c>
      <c r="U328" s="101">
        <f t="shared" si="28"/>
        <v>16.32</v>
      </c>
      <c r="V328" s="101">
        <f t="shared" si="29"/>
        <v>30.6</v>
      </c>
      <c r="W328" s="101">
        <f t="shared" si="30"/>
        <v>324.36</v>
      </c>
      <c r="X328" s="101">
        <f t="shared" si="31"/>
        <v>3330.1776</v>
      </c>
      <c r="Y328" s="101">
        <f t="shared" si="32"/>
        <v>945.99594000000002</v>
      </c>
      <c r="AA328" s="101">
        <v>5</v>
      </c>
      <c r="AB328" s="101">
        <v>10</v>
      </c>
      <c r="AC328" s="101">
        <v>119</v>
      </c>
      <c r="AD328" s="101">
        <v>2283</v>
      </c>
      <c r="AE328" s="101">
        <v>927</v>
      </c>
    </row>
    <row r="329" spans="1:31" ht="11.25" hidden="1" customHeight="1" x14ac:dyDescent="0.3">
      <c r="A329" s="126" t="s">
        <v>175</v>
      </c>
      <c r="B329" s="126">
        <v>14</v>
      </c>
      <c r="C329" s="126">
        <v>26</v>
      </c>
      <c r="D329" s="126" t="str">
        <f t="shared" si="22"/>
        <v>1426</v>
      </c>
      <c r="J329" s="101">
        <v>15</v>
      </c>
      <c r="K329" s="101">
        <v>27</v>
      </c>
      <c r="L329" s="101">
        <v>119</v>
      </c>
      <c r="M329" s="101">
        <v>7367</v>
      </c>
      <c r="N329" s="101">
        <v>2344</v>
      </c>
      <c r="O329" s="101">
        <v>12</v>
      </c>
      <c r="P329" s="101">
        <v>28</v>
      </c>
      <c r="Q329" s="101">
        <v>141</v>
      </c>
      <c r="R329" s="101">
        <v>6203.98</v>
      </c>
      <c r="S329" s="101">
        <v>3478.0509999999999</v>
      </c>
      <c r="T329" s="169">
        <v>1.02</v>
      </c>
      <c r="U329" s="101">
        <f t="shared" si="28"/>
        <v>12.24</v>
      </c>
      <c r="V329" s="101">
        <f t="shared" si="29"/>
        <v>28.560000000000002</v>
      </c>
      <c r="W329" s="101">
        <f t="shared" si="30"/>
        <v>143.82</v>
      </c>
      <c r="X329" s="101">
        <f t="shared" si="31"/>
        <v>6328.0595999999996</v>
      </c>
      <c r="Y329" s="101">
        <f t="shared" si="32"/>
        <v>3547.61202</v>
      </c>
      <c r="AA329" s="101">
        <v>1</v>
      </c>
      <c r="AB329" s="101">
        <v>3</v>
      </c>
      <c r="AC329" s="101">
        <v>6</v>
      </c>
      <c r="AD329" s="101">
        <v>173</v>
      </c>
      <c r="AE329" s="101">
        <v>62</v>
      </c>
    </row>
    <row r="330" spans="1:31" ht="11.25" hidden="1" customHeight="1" x14ac:dyDescent="0.3">
      <c r="A330" s="126" t="s">
        <v>175</v>
      </c>
      <c r="B330" s="126">
        <v>14</v>
      </c>
      <c r="C330" s="126">
        <v>32</v>
      </c>
      <c r="D330" s="126" t="str">
        <f t="shared" si="22"/>
        <v>1432</v>
      </c>
      <c r="J330" s="101">
        <v>38</v>
      </c>
      <c r="K330" s="101">
        <v>59</v>
      </c>
      <c r="L330" s="101">
        <v>1376</v>
      </c>
      <c r="M330" s="101">
        <v>12537</v>
      </c>
      <c r="N330" s="101">
        <v>16491</v>
      </c>
      <c r="O330" s="101">
        <v>44</v>
      </c>
      <c r="P330" s="101">
        <v>78</v>
      </c>
      <c r="Q330" s="101">
        <v>1345</v>
      </c>
      <c r="R330" s="101">
        <v>8048.16</v>
      </c>
      <c r="S330" s="101">
        <v>2761.998</v>
      </c>
      <c r="T330" s="169">
        <v>1.02</v>
      </c>
      <c r="U330" s="101">
        <f t="shared" si="28"/>
        <v>44.88</v>
      </c>
      <c r="V330" s="101">
        <f t="shared" si="29"/>
        <v>79.56</v>
      </c>
      <c r="W330" s="101">
        <f t="shared" si="30"/>
        <v>1371.9</v>
      </c>
      <c r="X330" s="101">
        <f t="shared" si="31"/>
        <v>8209.1232</v>
      </c>
      <c r="Y330" s="101">
        <f t="shared" si="32"/>
        <v>2817.2379599999999</v>
      </c>
      <c r="AA330" s="101">
        <v>51</v>
      </c>
      <c r="AB330" s="101">
        <v>100</v>
      </c>
      <c r="AC330" s="101">
        <v>12137</v>
      </c>
      <c r="AD330" s="101">
        <v>73449</v>
      </c>
      <c r="AE330" s="101">
        <v>87068</v>
      </c>
    </row>
    <row r="331" spans="1:31" ht="11.25" hidden="1" customHeight="1" x14ac:dyDescent="0.3">
      <c r="A331" s="126" t="s">
        <v>175</v>
      </c>
      <c r="B331" s="126">
        <v>14</v>
      </c>
      <c r="C331" s="126">
        <v>43</v>
      </c>
      <c r="D331" s="126" t="str">
        <f t="shared" si="22"/>
        <v>1443</v>
      </c>
      <c r="J331" s="101">
        <v>45</v>
      </c>
      <c r="K331" s="101">
        <v>90</v>
      </c>
      <c r="L331" s="101">
        <v>180</v>
      </c>
      <c r="M331" s="101">
        <v>0</v>
      </c>
      <c r="N331" s="101">
        <v>1012</v>
      </c>
      <c r="O331" s="101">
        <v>0</v>
      </c>
      <c r="P331" s="101">
        <v>0</v>
      </c>
      <c r="Q331" s="101">
        <v>0</v>
      </c>
      <c r="R331" s="101">
        <v>0</v>
      </c>
      <c r="S331" s="101">
        <v>0</v>
      </c>
      <c r="T331" s="169">
        <v>1.02</v>
      </c>
      <c r="U331" s="101">
        <f t="shared" si="28"/>
        <v>0</v>
      </c>
      <c r="V331" s="101">
        <f t="shared" si="29"/>
        <v>0</v>
      </c>
      <c r="W331" s="101">
        <f t="shared" si="30"/>
        <v>0</v>
      </c>
      <c r="X331" s="101">
        <f t="shared" si="31"/>
        <v>0</v>
      </c>
      <c r="Y331" s="101">
        <f t="shared" si="32"/>
        <v>0</v>
      </c>
      <c r="AA331" s="101">
        <v>0</v>
      </c>
      <c r="AB331" s="101">
        <v>0</v>
      </c>
      <c r="AC331" s="101">
        <v>0</v>
      </c>
      <c r="AD331" s="101">
        <v>0</v>
      </c>
      <c r="AE331" s="101">
        <v>0</v>
      </c>
    </row>
    <row r="332" spans="1:31" ht="11.25" hidden="1" customHeight="1" x14ac:dyDescent="0.3">
      <c r="A332" s="126" t="s">
        <v>175</v>
      </c>
      <c r="B332" s="126">
        <v>14</v>
      </c>
      <c r="C332" s="126">
        <v>44</v>
      </c>
      <c r="D332" s="126" t="str">
        <f t="shared" si="22"/>
        <v>1444</v>
      </c>
      <c r="J332" s="101">
        <v>0</v>
      </c>
      <c r="K332" s="101">
        <v>0</v>
      </c>
      <c r="L332" s="101">
        <v>0</v>
      </c>
      <c r="M332" s="101">
        <v>0</v>
      </c>
      <c r="N332" s="101">
        <v>0</v>
      </c>
      <c r="O332" s="101">
        <v>0</v>
      </c>
      <c r="P332" s="101">
        <v>0</v>
      </c>
      <c r="Q332" s="101">
        <v>0</v>
      </c>
      <c r="R332" s="101">
        <v>0</v>
      </c>
      <c r="S332" s="101">
        <v>0</v>
      </c>
      <c r="T332" s="169">
        <v>1.02</v>
      </c>
      <c r="U332" s="101">
        <f t="shared" si="28"/>
        <v>0</v>
      </c>
      <c r="V332" s="101">
        <f t="shared" si="29"/>
        <v>0</v>
      </c>
      <c r="W332" s="101">
        <f t="shared" si="30"/>
        <v>0</v>
      </c>
      <c r="X332" s="101">
        <f t="shared" si="31"/>
        <v>0</v>
      </c>
      <c r="Y332" s="101">
        <f t="shared" si="32"/>
        <v>0</v>
      </c>
      <c r="AA332" s="101">
        <v>1</v>
      </c>
      <c r="AB332" s="101">
        <v>1</v>
      </c>
      <c r="AC332" s="101">
        <v>30</v>
      </c>
      <c r="AD332" s="101">
        <v>0</v>
      </c>
      <c r="AE332" s="101">
        <v>29</v>
      </c>
    </row>
    <row r="333" spans="1:31" ht="11.25" hidden="1" customHeight="1" x14ac:dyDescent="0.3">
      <c r="A333" s="126" t="s">
        <v>175</v>
      </c>
      <c r="B333" s="126">
        <v>14</v>
      </c>
      <c r="C333" s="126">
        <v>45</v>
      </c>
      <c r="D333" s="126" t="str">
        <f t="shared" si="22"/>
        <v>1445</v>
      </c>
      <c r="J333" s="101">
        <v>0</v>
      </c>
      <c r="K333" s="101">
        <v>0</v>
      </c>
      <c r="L333" s="101">
        <v>0</v>
      </c>
      <c r="M333" s="101">
        <v>0</v>
      </c>
      <c r="N333" s="101">
        <v>0</v>
      </c>
      <c r="O333" s="101">
        <v>0</v>
      </c>
      <c r="P333" s="101">
        <v>0</v>
      </c>
      <c r="Q333" s="101">
        <v>0</v>
      </c>
      <c r="R333" s="101">
        <v>0</v>
      </c>
      <c r="S333" s="101">
        <v>0</v>
      </c>
      <c r="T333" s="169">
        <v>1.02</v>
      </c>
      <c r="U333" s="101">
        <f t="shared" si="28"/>
        <v>0</v>
      </c>
      <c r="V333" s="101">
        <f t="shared" si="29"/>
        <v>0</v>
      </c>
      <c r="W333" s="101">
        <f t="shared" si="30"/>
        <v>0</v>
      </c>
      <c r="X333" s="101">
        <f t="shared" si="31"/>
        <v>0</v>
      </c>
      <c r="Y333" s="101">
        <f t="shared" si="32"/>
        <v>0</v>
      </c>
      <c r="AA333" s="101">
        <v>0</v>
      </c>
      <c r="AB333" s="101">
        <v>0</v>
      </c>
      <c r="AC333" s="101">
        <v>0</v>
      </c>
      <c r="AD333" s="101">
        <v>0</v>
      </c>
      <c r="AE333" s="101">
        <v>0</v>
      </c>
    </row>
    <row r="334" spans="1:31" ht="11.25" hidden="1" customHeight="1" x14ac:dyDescent="0.3">
      <c r="A334" s="126" t="s">
        <v>175</v>
      </c>
      <c r="B334" s="126">
        <v>14</v>
      </c>
      <c r="C334" s="126">
        <v>47</v>
      </c>
      <c r="D334" s="126" t="str">
        <f t="shared" si="22"/>
        <v>1447</v>
      </c>
      <c r="J334" s="101">
        <v>0</v>
      </c>
      <c r="K334" s="101">
        <v>0</v>
      </c>
      <c r="L334" s="101">
        <v>0</v>
      </c>
      <c r="M334" s="101">
        <v>0</v>
      </c>
      <c r="N334" s="101">
        <v>0</v>
      </c>
      <c r="O334" s="101">
        <v>2</v>
      </c>
      <c r="P334" s="101">
        <v>2</v>
      </c>
      <c r="Q334" s="101">
        <v>2</v>
      </c>
      <c r="R334" s="101">
        <v>22.07</v>
      </c>
      <c r="S334" s="101">
        <v>1.0329999999999999</v>
      </c>
      <c r="T334" s="169">
        <v>1.02</v>
      </c>
      <c r="U334" s="101">
        <f t="shared" si="28"/>
        <v>2.04</v>
      </c>
      <c r="V334" s="101">
        <f t="shared" si="29"/>
        <v>2.04</v>
      </c>
      <c r="W334" s="101">
        <f t="shared" si="30"/>
        <v>2.04</v>
      </c>
      <c r="X334" s="101">
        <f t="shared" si="31"/>
        <v>22.511400000000002</v>
      </c>
      <c r="Y334" s="101">
        <f t="shared" si="32"/>
        <v>1.05366</v>
      </c>
      <c r="AA334" s="101">
        <v>2</v>
      </c>
      <c r="AB334" s="101">
        <v>4</v>
      </c>
      <c r="AC334" s="101">
        <v>754</v>
      </c>
      <c r="AD334" s="101">
        <v>14363</v>
      </c>
      <c r="AE334" s="101">
        <v>2872</v>
      </c>
    </row>
    <row r="335" spans="1:31" ht="11.25" hidden="1" customHeight="1" x14ac:dyDescent="0.3">
      <c r="A335" s="126" t="s">
        <v>175</v>
      </c>
      <c r="B335" s="126">
        <v>14</v>
      </c>
      <c r="C335" s="126">
        <v>91</v>
      </c>
      <c r="D335" s="126" t="str">
        <f t="shared" si="22"/>
        <v>1491</v>
      </c>
      <c r="J335" s="101">
        <v>76</v>
      </c>
      <c r="K335" s="101">
        <v>267</v>
      </c>
      <c r="L335" s="101">
        <v>994</v>
      </c>
      <c r="M335" s="101">
        <v>7241</v>
      </c>
      <c r="N335" s="101">
        <v>3926</v>
      </c>
      <c r="O335" s="101">
        <v>38</v>
      </c>
      <c r="P335" s="101">
        <v>316</v>
      </c>
      <c r="Q335" s="101">
        <v>2251</v>
      </c>
      <c r="R335" s="101">
        <v>7187.0899999999992</v>
      </c>
      <c r="S335" s="101">
        <v>4498.8559999999998</v>
      </c>
      <c r="T335" s="169">
        <v>1.02</v>
      </c>
      <c r="U335" s="101">
        <f t="shared" si="28"/>
        <v>38.76</v>
      </c>
      <c r="V335" s="101">
        <f t="shared" si="29"/>
        <v>322.32</v>
      </c>
      <c r="W335" s="101">
        <f t="shared" si="30"/>
        <v>2296.02</v>
      </c>
      <c r="X335" s="101">
        <f t="shared" si="31"/>
        <v>7330.831799999999</v>
      </c>
      <c r="Y335" s="101">
        <f t="shared" si="32"/>
        <v>4588.8331200000002</v>
      </c>
      <c r="AA335" s="101">
        <v>53</v>
      </c>
      <c r="AB335" s="101">
        <v>94</v>
      </c>
      <c r="AC335" s="101">
        <v>575</v>
      </c>
      <c r="AD335" s="101">
        <v>3942</v>
      </c>
      <c r="AE335" s="101">
        <v>4480</v>
      </c>
    </row>
    <row r="336" spans="1:31" ht="11.25" hidden="1" customHeight="1" x14ac:dyDescent="0.3">
      <c r="A336" s="126" t="s">
        <v>175</v>
      </c>
      <c r="B336" s="126">
        <v>14</v>
      </c>
      <c r="C336" s="126">
        <v>27</v>
      </c>
      <c r="D336" s="126" t="str">
        <f t="shared" si="22"/>
        <v>1427</v>
      </c>
      <c r="E336" s="101">
        <v>111</v>
      </c>
      <c r="F336" s="101">
        <v>1118</v>
      </c>
      <c r="G336" s="101">
        <v>4608</v>
      </c>
      <c r="H336" s="101">
        <v>51423.99</v>
      </c>
      <c r="I336" s="101">
        <v>19452.492999999999</v>
      </c>
      <c r="J336" s="101">
        <v>90</v>
      </c>
      <c r="K336" s="101">
        <v>1980</v>
      </c>
      <c r="L336" s="101">
        <v>12036</v>
      </c>
      <c r="M336" s="101">
        <v>144924</v>
      </c>
      <c r="N336" s="101">
        <v>39277</v>
      </c>
      <c r="O336" s="101">
        <v>79</v>
      </c>
      <c r="P336" s="101">
        <v>1866</v>
      </c>
      <c r="Q336" s="101">
        <v>8985</v>
      </c>
      <c r="R336" s="101">
        <v>100811.04000000001</v>
      </c>
      <c r="S336" s="101">
        <v>43550.487000000001</v>
      </c>
      <c r="T336" s="169">
        <v>1.02</v>
      </c>
      <c r="U336" s="101">
        <f t="shared" si="28"/>
        <v>80.58</v>
      </c>
      <c r="V336" s="101">
        <f t="shared" si="29"/>
        <v>1903.32</v>
      </c>
      <c r="W336" s="101">
        <f t="shared" si="30"/>
        <v>9164.7000000000007</v>
      </c>
      <c r="X336" s="101">
        <f t="shared" si="31"/>
        <v>102827.2608</v>
      </c>
      <c r="Y336" s="101">
        <f t="shared" si="32"/>
        <v>44421.496740000002</v>
      </c>
      <c r="AA336" s="101">
        <v>54</v>
      </c>
      <c r="AB336" s="101">
        <v>1555</v>
      </c>
      <c r="AC336" s="101">
        <v>8240</v>
      </c>
      <c r="AD336" s="101">
        <v>64283</v>
      </c>
      <c r="AE336" s="101">
        <v>26164</v>
      </c>
    </row>
    <row r="337" spans="1:31" ht="11.25" hidden="1" customHeight="1" x14ac:dyDescent="0.3">
      <c r="A337" s="126" t="s">
        <v>175</v>
      </c>
      <c r="B337" s="126">
        <v>14</v>
      </c>
      <c r="C337" s="126">
        <v>41</v>
      </c>
      <c r="D337" s="126" t="str">
        <f t="shared" si="22"/>
        <v>1441</v>
      </c>
      <c r="O337" s="101">
        <v>4</v>
      </c>
      <c r="P337" s="101">
        <v>12</v>
      </c>
      <c r="Q337" s="101">
        <v>124</v>
      </c>
      <c r="R337" s="101">
        <v>533.52</v>
      </c>
      <c r="S337" s="101">
        <v>178.25700000000001</v>
      </c>
      <c r="T337" s="169">
        <v>1.02</v>
      </c>
      <c r="U337" s="101">
        <f t="shared" si="28"/>
        <v>4.08</v>
      </c>
      <c r="V337" s="101">
        <f t="shared" si="29"/>
        <v>12.24</v>
      </c>
      <c r="W337" s="101">
        <f t="shared" si="30"/>
        <v>126.48</v>
      </c>
      <c r="X337" s="101">
        <f t="shared" si="31"/>
        <v>544.19039999999995</v>
      </c>
      <c r="Y337" s="101">
        <f t="shared" si="32"/>
        <v>181.82214000000002</v>
      </c>
      <c r="AA337" s="101">
        <v>1</v>
      </c>
      <c r="AB337" s="101">
        <v>1</v>
      </c>
      <c r="AC337" s="101">
        <v>2</v>
      </c>
      <c r="AD337" s="101">
        <v>50</v>
      </c>
      <c r="AE337" s="101">
        <v>2</v>
      </c>
    </row>
    <row r="338" spans="1:31" ht="11.25" hidden="1" customHeight="1" x14ac:dyDescent="0.3">
      <c r="A338" s="126" t="s">
        <v>175</v>
      </c>
      <c r="B338" s="126">
        <v>14</v>
      </c>
      <c r="C338" s="126">
        <v>34</v>
      </c>
      <c r="D338" s="126" t="str">
        <f t="shared" si="22"/>
        <v>1434</v>
      </c>
      <c r="O338" s="101">
        <v>1</v>
      </c>
      <c r="P338" s="101">
        <v>1</v>
      </c>
      <c r="Q338" s="101">
        <v>1</v>
      </c>
      <c r="R338" s="101">
        <v>0</v>
      </c>
      <c r="S338" s="101">
        <v>18.143999999999998</v>
      </c>
      <c r="T338" s="169">
        <v>1.02</v>
      </c>
      <c r="U338" s="101">
        <f t="shared" si="28"/>
        <v>1.02</v>
      </c>
      <c r="V338" s="101">
        <f t="shared" si="29"/>
        <v>1.02</v>
      </c>
      <c r="W338" s="101">
        <f t="shared" si="30"/>
        <v>1.02</v>
      </c>
      <c r="X338" s="101">
        <f t="shared" si="31"/>
        <v>0</v>
      </c>
      <c r="Y338" s="101">
        <f t="shared" si="32"/>
        <v>18.506879999999999</v>
      </c>
      <c r="AA338" s="101">
        <v>0</v>
      </c>
      <c r="AB338" s="101">
        <v>0</v>
      </c>
      <c r="AC338" s="101">
        <v>0</v>
      </c>
      <c r="AD338" s="101">
        <v>0</v>
      </c>
      <c r="AE338" s="101">
        <v>0</v>
      </c>
    </row>
    <row r="339" spans="1:31" ht="11.25" customHeight="1" x14ac:dyDescent="0.3">
      <c r="A339" s="126" t="s">
        <v>175</v>
      </c>
      <c r="B339" s="126">
        <v>14</v>
      </c>
      <c r="C339" s="126" t="s">
        <v>172</v>
      </c>
      <c r="D339" s="126" t="str">
        <f t="shared" si="22"/>
        <v>14Uml</v>
      </c>
      <c r="J339" s="101">
        <v>259</v>
      </c>
      <c r="K339" s="101">
        <v>259</v>
      </c>
      <c r="L339" s="101">
        <v>168310</v>
      </c>
      <c r="N339" s="101">
        <v>517948</v>
      </c>
      <c r="O339" s="101">
        <v>277</v>
      </c>
      <c r="P339" s="101">
        <v>281</v>
      </c>
      <c r="Q339" s="101">
        <v>47265</v>
      </c>
      <c r="S339" s="101">
        <v>189354.27799999999</v>
      </c>
      <c r="T339" s="169">
        <v>1.02</v>
      </c>
      <c r="U339" s="101">
        <f t="shared" si="28"/>
        <v>282.54000000000002</v>
      </c>
      <c r="V339" s="101">
        <f t="shared" si="29"/>
        <v>286.62</v>
      </c>
      <c r="W339" s="101">
        <f t="shared" si="30"/>
        <v>48210.3</v>
      </c>
      <c r="X339" s="101">
        <f t="shared" si="31"/>
        <v>0</v>
      </c>
      <c r="Y339" s="101">
        <f t="shared" si="32"/>
        <v>193141.36356</v>
      </c>
      <c r="AA339" s="101">
        <v>332</v>
      </c>
      <c r="AB339" s="101">
        <v>353</v>
      </c>
      <c r="AC339" s="101">
        <v>71532</v>
      </c>
      <c r="AE339" s="101">
        <v>261991.86499999999</v>
      </c>
    </row>
    <row r="340" spans="1:31" ht="11.25" hidden="1" customHeight="1" x14ac:dyDescent="0.3">
      <c r="A340" s="126" t="s">
        <v>175</v>
      </c>
      <c r="B340" s="126">
        <v>14</v>
      </c>
      <c r="C340" s="126">
        <v>37</v>
      </c>
      <c r="D340" s="126" t="str">
        <f t="shared" si="22"/>
        <v>1437</v>
      </c>
      <c r="E340" s="101">
        <v>13.5</v>
      </c>
      <c r="F340" s="101">
        <v>39.25</v>
      </c>
      <c r="G340" s="101">
        <v>4500.25</v>
      </c>
      <c r="H340" s="101">
        <v>9552.994999999999</v>
      </c>
      <c r="I340" s="101">
        <v>5255.603250000001</v>
      </c>
      <c r="J340" s="101">
        <v>31</v>
      </c>
      <c r="K340" s="101">
        <v>216</v>
      </c>
      <c r="L340" s="101">
        <v>3183</v>
      </c>
      <c r="M340" s="101">
        <v>25657</v>
      </c>
      <c r="N340" s="101">
        <v>8301</v>
      </c>
      <c r="O340" s="101">
        <v>31</v>
      </c>
      <c r="P340" s="101">
        <v>126</v>
      </c>
      <c r="Q340" s="101">
        <v>1323</v>
      </c>
      <c r="R340" s="101">
        <v>10728.180000000002</v>
      </c>
      <c r="S340" s="101">
        <v>4597.2460000000001</v>
      </c>
      <c r="T340" s="169">
        <v>1.02</v>
      </c>
      <c r="U340" s="101">
        <f t="shared" si="28"/>
        <v>31.62</v>
      </c>
      <c r="V340" s="101">
        <f t="shared" si="29"/>
        <v>128.52000000000001</v>
      </c>
      <c r="W340" s="101">
        <f t="shared" si="30"/>
        <v>1349.46</v>
      </c>
      <c r="X340" s="101">
        <f t="shared" si="31"/>
        <v>10942.743600000002</v>
      </c>
      <c r="Y340" s="101">
        <f t="shared" si="32"/>
        <v>4689.19092</v>
      </c>
      <c r="AA340" s="101">
        <v>48</v>
      </c>
      <c r="AB340" s="101">
        <v>177</v>
      </c>
      <c r="AC340" s="101">
        <v>3130</v>
      </c>
      <c r="AD340" s="101">
        <v>26670</v>
      </c>
      <c r="AE340" s="101">
        <v>15011</v>
      </c>
    </row>
    <row r="341" spans="1:31" ht="11.25" hidden="1" customHeight="1" x14ac:dyDescent="0.3">
      <c r="A341" s="126" t="s">
        <v>175</v>
      </c>
      <c r="B341" s="126">
        <v>15</v>
      </c>
      <c r="C341" s="126">
        <v>12</v>
      </c>
      <c r="D341" s="126" t="str">
        <f t="shared" si="22"/>
        <v>1512</v>
      </c>
      <c r="E341" s="101">
        <v>55</v>
      </c>
      <c r="F341" s="101">
        <v>89</v>
      </c>
      <c r="G341" s="101">
        <v>120</v>
      </c>
      <c r="H341" s="101">
        <v>3000.26</v>
      </c>
      <c r="I341" s="101">
        <v>597.78100000000006</v>
      </c>
      <c r="J341" s="101">
        <v>43</v>
      </c>
      <c r="K341" s="101">
        <v>51</v>
      </c>
      <c r="L341" s="101">
        <v>152</v>
      </c>
      <c r="M341" s="101">
        <v>641</v>
      </c>
      <c r="N341" s="101">
        <v>390</v>
      </c>
      <c r="O341" s="101">
        <v>21</v>
      </c>
      <c r="P341" s="101">
        <v>31</v>
      </c>
      <c r="Q341" s="101">
        <v>38</v>
      </c>
      <c r="R341" s="101">
        <v>910.04000000000008</v>
      </c>
      <c r="S341" s="101">
        <v>240.03300000000002</v>
      </c>
      <c r="T341" s="169">
        <v>1.02</v>
      </c>
      <c r="U341" s="101">
        <f t="shared" si="28"/>
        <v>21.42</v>
      </c>
      <c r="V341" s="101">
        <f t="shared" si="29"/>
        <v>31.62</v>
      </c>
      <c r="W341" s="101">
        <f t="shared" si="30"/>
        <v>38.76</v>
      </c>
      <c r="X341" s="101">
        <f t="shared" si="31"/>
        <v>928.24080000000015</v>
      </c>
      <c r="Y341" s="101">
        <f t="shared" si="32"/>
        <v>244.83366000000001</v>
      </c>
      <c r="AA341" s="101">
        <v>22</v>
      </c>
      <c r="AB341" s="101">
        <v>33</v>
      </c>
      <c r="AC341" s="101">
        <v>38</v>
      </c>
      <c r="AD341" s="101">
        <v>936</v>
      </c>
      <c r="AE341" s="101">
        <v>150</v>
      </c>
    </row>
    <row r="342" spans="1:31" ht="11.25" hidden="1" customHeight="1" x14ac:dyDescent="0.3">
      <c r="A342" s="126" t="s">
        <v>175</v>
      </c>
      <c r="B342" s="126">
        <v>15</v>
      </c>
      <c r="C342" s="126">
        <v>17</v>
      </c>
      <c r="D342" s="126" t="str">
        <f t="shared" si="22"/>
        <v>1517</v>
      </c>
      <c r="E342" s="101">
        <v>2453</v>
      </c>
      <c r="F342" s="101">
        <v>3345</v>
      </c>
      <c r="G342" s="101">
        <v>4735</v>
      </c>
      <c r="H342" s="101">
        <v>117200.06999999999</v>
      </c>
      <c r="I342" s="101">
        <v>19460.436000000002</v>
      </c>
      <c r="J342" s="101">
        <v>1060</v>
      </c>
      <c r="K342" s="101">
        <v>2460</v>
      </c>
      <c r="L342" s="101">
        <v>3198</v>
      </c>
      <c r="M342" s="101">
        <v>74024</v>
      </c>
      <c r="N342" s="101">
        <v>12395</v>
      </c>
      <c r="O342" s="101">
        <v>994</v>
      </c>
      <c r="P342" s="101">
        <v>1703</v>
      </c>
      <c r="Q342" s="101">
        <v>2386</v>
      </c>
      <c r="R342" s="101">
        <v>74526.559999999998</v>
      </c>
      <c r="S342" s="101">
        <v>14321.803000000002</v>
      </c>
      <c r="T342" s="169">
        <v>1.02</v>
      </c>
      <c r="U342" s="101">
        <v>1375</v>
      </c>
      <c r="V342" s="101">
        <v>2500</v>
      </c>
      <c r="W342" s="101">
        <v>3750</v>
      </c>
      <c r="X342" s="144">
        <f t="shared" si="31"/>
        <v>76017.091199999995</v>
      </c>
      <c r="Y342" s="101">
        <v>20000</v>
      </c>
      <c r="AA342" s="101">
        <v>2542</v>
      </c>
      <c r="AB342" s="101">
        <v>3709</v>
      </c>
      <c r="AC342" s="101">
        <v>5004</v>
      </c>
      <c r="AD342" s="101">
        <v>147387</v>
      </c>
      <c r="AE342" s="101">
        <v>28748</v>
      </c>
    </row>
    <row r="343" spans="1:31" ht="11.25" hidden="1" customHeight="1" x14ac:dyDescent="0.3">
      <c r="A343" s="126" t="s">
        <v>175</v>
      </c>
      <c r="B343" s="126">
        <v>15</v>
      </c>
      <c r="C343" s="126">
        <v>18</v>
      </c>
      <c r="D343" s="126" t="str">
        <f t="shared" si="22"/>
        <v>1518</v>
      </c>
      <c r="E343" s="101">
        <v>143</v>
      </c>
      <c r="F343" s="101">
        <v>199</v>
      </c>
      <c r="G343" s="101">
        <v>387</v>
      </c>
      <c r="H343" s="101">
        <v>8667.48</v>
      </c>
      <c r="I343" s="101">
        <v>1489.3519999999999</v>
      </c>
      <c r="J343" s="101">
        <v>1610</v>
      </c>
      <c r="K343" s="101">
        <v>1771</v>
      </c>
      <c r="L343" s="101">
        <v>2028</v>
      </c>
      <c r="M343" s="101">
        <v>100555</v>
      </c>
      <c r="N343" s="101">
        <v>18557</v>
      </c>
      <c r="O343" s="101">
        <v>2647</v>
      </c>
      <c r="P343" s="101">
        <v>2787</v>
      </c>
      <c r="Q343" s="101">
        <v>3081</v>
      </c>
      <c r="R343" s="101">
        <v>122458.58</v>
      </c>
      <c r="S343" s="101">
        <v>27805.244999999999</v>
      </c>
      <c r="T343" s="169">
        <v>0.6</v>
      </c>
      <c r="U343" s="101">
        <f t="shared" si="28"/>
        <v>1588.2</v>
      </c>
      <c r="V343" s="101">
        <f t="shared" si="29"/>
        <v>1672.2</v>
      </c>
      <c r="W343" s="101">
        <f t="shared" si="30"/>
        <v>1848.6</v>
      </c>
      <c r="X343" s="101">
        <f t="shared" si="31"/>
        <v>73475.148000000001</v>
      </c>
      <c r="Y343" s="101">
        <f t="shared" si="32"/>
        <v>16683.146999999997</v>
      </c>
      <c r="AA343" s="101">
        <v>2396</v>
      </c>
      <c r="AB343" s="101">
        <v>2613</v>
      </c>
      <c r="AC343" s="101">
        <v>10830</v>
      </c>
      <c r="AD343" s="101">
        <v>135905</v>
      </c>
      <c r="AE343" s="101">
        <v>193185</v>
      </c>
    </row>
    <row r="344" spans="1:31" ht="11.25" hidden="1" customHeight="1" x14ac:dyDescent="0.3">
      <c r="A344" s="126" t="s">
        <v>175</v>
      </c>
      <c r="B344" s="126">
        <v>15</v>
      </c>
      <c r="C344" s="126">
        <v>28</v>
      </c>
      <c r="D344" s="126" t="str">
        <f t="shared" si="22"/>
        <v>1528</v>
      </c>
      <c r="E344" s="101">
        <v>252</v>
      </c>
      <c r="F344" s="101">
        <v>2215</v>
      </c>
      <c r="G344" s="101">
        <v>14845</v>
      </c>
      <c r="H344" s="101">
        <v>390598.29</v>
      </c>
      <c r="I344" s="101">
        <v>80577.396000000008</v>
      </c>
      <c r="J344" s="101">
        <v>258</v>
      </c>
      <c r="K344" s="101">
        <v>4151</v>
      </c>
      <c r="L344" s="101">
        <v>24917</v>
      </c>
      <c r="M344" s="101">
        <v>401438</v>
      </c>
      <c r="N344" s="101">
        <v>106967</v>
      </c>
      <c r="O344" s="101">
        <v>287</v>
      </c>
      <c r="P344" s="101">
        <v>3681</v>
      </c>
      <c r="Q344" s="101">
        <v>18313</v>
      </c>
      <c r="R344" s="101">
        <v>372970.66</v>
      </c>
      <c r="S344" s="101">
        <v>76338.546000000002</v>
      </c>
      <c r="T344" s="169">
        <v>1.02</v>
      </c>
      <c r="U344" s="101">
        <f t="shared" si="28"/>
        <v>292.74</v>
      </c>
      <c r="V344" s="101">
        <f t="shared" si="29"/>
        <v>3754.62</v>
      </c>
      <c r="W344" s="101">
        <f t="shared" si="30"/>
        <v>18679.260000000002</v>
      </c>
      <c r="X344" s="101">
        <f t="shared" si="31"/>
        <v>380430.07319999998</v>
      </c>
      <c r="Y344" s="101">
        <f t="shared" si="32"/>
        <v>77865.316919999997</v>
      </c>
      <c r="AA344" s="101">
        <v>239</v>
      </c>
      <c r="AB344" s="101">
        <v>6425</v>
      </c>
      <c r="AC344" s="101">
        <v>34108</v>
      </c>
      <c r="AD344" s="101">
        <v>631804</v>
      </c>
      <c r="AE344" s="101">
        <v>149480</v>
      </c>
    </row>
    <row r="345" spans="1:31" ht="11.25" hidden="1" customHeight="1" x14ac:dyDescent="0.3">
      <c r="A345" s="126" t="s">
        <v>175</v>
      </c>
      <c r="B345" s="126">
        <v>15</v>
      </c>
      <c r="C345" s="126">
        <v>46</v>
      </c>
      <c r="D345" s="126" t="str">
        <f t="shared" si="22"/>
        <v>1546</v>
      </c>
      <c r="E345" s="101">
        <v>293</v>
      </c>
      <c r="F345" s="101">
        <v>502</v>
      </c>
      <c r="G345" s="101">
        <v>20601</v>
      </c>
      <c r="H345" s="101">
        <v>255113.76</v>
      </c>
      <c r="I345" s="101">
        <v>106721.952</v>
      </c>
      <c r="J345" s="101">
        <v>274</v>
      </c>
      <c r="K345" s="101">
        <v>714</v>
      </c>
      <c r="L345" s="101">
        <v>17368</v>
      </c>
      <c r="M345" s="101">
        <v>189602</v>
      </c>
      <c r="N345" s="101">
        <v>45372</v>
      </c>
      <c r="O345" s="101">
        <v>284</v>
      </c>
      <c r="P345" s="101">
        <v>797</v>
      </c>
      <c r="Q345" s="101">
        <v>16690</v>
      </c>
      <c r="R345" s="101">
        <v>270528.5</v>
      </c>
      <c r="S345" s="101">
        <v>109573.72200000001</v>
      </c>
      <c r="T345" s="169">
        <v>1.02</v>
      </c>
      <c r="U345" s="101">
        <f t="shared" si="28"/>
        <v>289.68</v>
      </c>
      <c r="V345" s="101">
        <f t="shared" si="29"/>
        <v>812.94</v>
      </c>
      <c r="W345" s="101">
        <f t="shared" si="30"/>
        <v>17023.8</v>
      </c>
      <c r="X345" s="101">
        <f t="shared" si="31"/>
        <v>275939.07</v>
      </c>
      <c r="Y345" s="101">
        <f t="shared" si="32"/>
        <v>111765.19644000001</v>
      </c>
      <c r="AA345" s="101">
        <v>268</v>
      </c>
      <c r="AB345" s="101">
        <v>597</v>
      </c>
      <c r="AC345" s="101">
        <v>24321</v>
      </c>
      <c r="AD345" s="101">
        <v>307512</v>
      </c>
      <c r="AE345" s="101">
        <v>93175</v>
      </c>
    </row>
    <row r="346" spans="1:31" ht="11.25" hidden="1" customHeight="1" x14ac:dyDescent="0.3">
      <c r="A346" s="126" t="s">
        <v>175</v>
      </c>
      <c r="B346" s="126">
        <v>15</v>
      </c>
      <c r="C346" s="126">
        <v>47</v>
      </c>
      <c r="D346" s="126" t="str">
        <f t="shared" si="22"/>
        <v>1547</v>
      </c>
      <c r="E346" s="101">
        <v>3</v>
      </c>
      <c r="F346" s="101">
        <v>3</v>
      </c>
      <c r="G346" s="101">
        <v>20005</v>
      </c>
      <c r="H346" s="101">
        <v>68020.55</v>
      </c>
      <c r="I346" s="101">
        <v>39388.144999999997</v>
      </c>
      <c r="J346" s="101">
        <v>0</v>
      </c>
      <c r="K346" s="101">
        <v>0</v>
      </c>
      <c r="L346" s="101">
        <v>0</v>
      </c>
      <c r="M346" s="101">
        <v>0</v>
      </c>
      <c r="N346" s="101">
        <v>0</v>
      </c>
      <c r="O346" s="101">
        <v>0</v>
      </c>
      <c r="P346" s="101">
        <v>0</v>
      </c>
      <c r="Q346" s="101">
        <v>0</v>
      </c>
      <c r="R346" s="101">
        <v>0</v>
      </c>
      <c r="S346" s="101">
        <v>0</v>
      </c>
      <c r="T346" s="169">
        <v>1.02</v>
      </c>
      <c r="U346" s="101">
        <f t="shared" si="28"/>
        <v>0</v>
      </c>
      <c r="V346" s="101">
        <f t="shared" si="29"/>
        <v>0</v>
      </c>
      <c r="W346" s="101">
        <f t="shared" si="30"/>
        <v>0</v>
      </c>
      <c r="X346" s="101">
        <f t="shared" si="31"/>
        <v>0</v>
      </c>
      <c r="Y346" s="101">
        <f t="shared" si="32"/>
        <v>0</v>
      </c>
      <c r="AA346" s="101">
        <v>7</v>
      </c>
      <c r="AB346" s="101">
        <v>26</v>
      </c>
      <c r="AC346" s="101">
        <v>947</v>
      </c>
      <c r="AD346" s="101">
        <v>15918</v>
      </c>
      <c r="AE346" s="101">
        <v>2568</v>
      </c>
    </row>
    <row r="347" spans="1:31" ht="11.25" hidden="1" customHeight="1" x14ac:dyDescent="0.3">
      <c r="A347" s="126" t="s">
        <v>175</v>
      </c>
      <c r="B347" s="126">
        <v>15</v>
      </c>
      <c r="C347" s="126">
        <v>48</v>
      </c>
      <c r="D347" s="126" t="str">
        <f t="shared" si="22"/>
        <v>1548</v>
      </c>
      <c r="E347" s="101">
        <v>1</v>
      </c>
      <c r="F347" s="101">
        <v>1</v>
      </c>
      <c r="G347" s="101">
        <v>200</v>
      </c>
      <c r="H347" s="101">
        <v>6606</v>
      </c>
      <c r="I347" s="101">
        <v>1436.64</v>
      </c>
      <c r="J347" s="101">
        <v>0</v>
      </c>
      <c r="K347" s="101">
        <v>0</v>
      </c>
      <c r="L347" s="101">
        <v>0</v>
      </c>
      <c r="M347" s="101">
        <v>0</v>
      </c>
      <c r="N347" s="101">
        <v>0</v>
      </c>
      <c r="O347" s="101">
        <v>0</v>
      </c>
      <c r="P347" s="101">
        <v>0</v>
      </c>
      <c r="Q347" s="101">
        <v>0</v>
      </c>
      <c r="R347" s="101">
        <v>0</v>
      </c>
      <c r="S347" s="101">
        <v>0</v>
      </c>
      <c r="T347" s="169">
        <v>1.02</v>
      </c>
      <c r="U347" s="101">
        <f t="shared" si="28"/>
        <v>0</v>
      </c>
      <c r="V347" s="101">
        <f t="shared" si="29"/>
        <v>0</v>
      </c>
      <c r="W347" s="101">
        <f t="shared" si="30"/>
        <v>0</v>
      </c>
      <c r="X347" s="101">
        <f t="shared" si="31"/>
        <v>0</v>
      </c>
      <c r="Y347" s="101">
        <f t="shared" si="32"/>
        <v>0</v>
      </c>
      <c r="AA347" s="101">
        <v>0</v>
      </c>
      <c r="AB347" s="101">
        <v>0</v>
      </c>
      <c r="AC347" s="101">
        <v>0</v>
      </c>
      <c r="AD347" s="101">
        <v>0</v>
      </c>
      <c r="AE347" s="101">
        <v>0</v>
      </c>
    </row>
    <row r="348" spans="1:31" ht="11.25" hidden="1" customHeight="1" x14ac:dyDescent="0.3">
      <c r="A348" s="126" t="s">
        <v>175</v>
      </c>
      <c r="B348" s="126">
        <v>15</v>
      </c>
      <c r="C348" s="126">
        <v>66</v>
      </c>
      <c r="D348" s="126" t="str">
        <f t="shared" si="22"/>
        <v>1566</v>
      </c>
      <c r="E348" s="101">
        <v>568</v>
      </c>
      <c r="F348" s="101">
        <v>1639</v>
      </c>
      <c r="G348" s="101">
        <v>25851</v>
      </c>
      <c r="H348" s="101">
        <v>168581.93</v>
      </c>
      <c r="I348" s="101">
        <v>72555.078000000009</v>
      </c>
      <c r="J348" s="101">
        <v>281</v>
      </c>
      <c r="K348" s="101">
        <v>1346</v>
      </c>
      <c r="L348" s="101">
        <v>25600</v>
      </c>
      <c r="M348" s="101">
        <v>144181</v>
      </c>
      <c r="N348" s="101">
        <v>91357</v>
      </c>
      <c r="O348" s="101">
        <v>298</v>
      </c>
      <c r="P348" s="101">
        <v>1724</v>
      </c>
      <c r="Q348" s="101">
        <v>35125</v>
      </c>
      <c r="R348" s="101">
        <v>305776.44999999995</v>
      </c>
      <c r="S348" s="101">
        <v>109909.20299999999</v>
      </c>
      <c r="T348" s="169">
        <v>1.02</v>
      </c>
      <c r="U348" s="101">
        <f t="shared" si="28"/>
        <v>303.95999999999998</v>
      </c>
      <c r="V348" s="101">
        <f t="shared" si="29"/>
        <v>1758.48</v>
      </c>
      <c r="W348" s="101">
        <f t="shared" si="30"/>
        <v>35827.5</v>
      </c>
      <c r="X348" s="101">
        <f t="shared" si="31"/>
        <v>311891.97899999993</v>
      </c>
      <c r="Y348" s="101">
        <f t="shared" si="32"/>
        <v>112107.38705999999</v>
      </c>
      <c r="AA348" s="101">
        <v>80</v>
      </c>
      <c r="AB348" s="101">
        <v>1818</v>
      </c>
      <c r="AC348" s="101">
        <v>26755</v>
      </c>
      <c r="AD348" s="101">
        <v>157005</v>
      </c>
      <c r="AE348" s="101">
        <v>84470</v>
      </c>
    </row>
    <row r="349" spans="1:31" ht="11.25" hidden="1" customHeight="1" x14ac:dyDescent="0.3">
      <c r="A349" s="126" t="s">
        <v>175</v>
      </c>
      <c r="B349" s="126">
        <v>15</v>
      </c>
      <c r="C349" s="126">
        <v>30</v>
      </c>
      <c r="D349" s="126" t="str">
        <f t="shared" si="22"/>
        <v>1530</v>
      </c>
      <c r="E349" s="101">
        <v>460.5</v>
      </c>
      <c r="F349" s="101">
        <v>3710</v>
      </c>
      <c r="G349" s="101">
        <v>12982.5</v>
      </c>
      <c r="H349" s="101">
        <v>296142.24</v>
      </c>
      <c r="I349" s="101">
        <v>90017.408500000005</v>
      </c>
      <c r="J349" s="101">
        <v>199</v>
      </c>
      <c r="K349" s="101">
        <v>3556</v>
      </c>
      <c r="L349" s="101">
        <v>11492</v>
      </c>
      <c r="M349" s="101">
        <v>231635</v>
      </c>
      <c r="N349" s="101">
        <v>67542</v>
      </c>
      <c r="O349" s="138"/>
      <c r="P349" s="138"/>
      <c r="Q349" s="138"/>
      <c r="R349" s="138"/>
      <c r="S349" s="138"/>
      <c r="T349" s="169">
        <v>1.02</v>
      </c>
      <c r="U349" s="101">
        <f t="shared" si="28"/>
        <v>0</v>
      </c>
      <c r="V349" s="101">
        <f t="shared" si="29"/>
        <v>0</v>
      </c>
      <c r="W349" s="101">
        <f t="shared" si="30"/>
        <v>0</v>
      </c>
      <c r="X349" s="101">
        <f t="shared" si="31"/>
        <v>0</v>
      </c>
      <c r="Y349" s="101">
        <f t="shared" si="32"/>
        <v>0</v>
      </c>
      <c r="AA349" s="101">
        <v>71</v>
      </c>
      <c r="AB349" s="101">
        <v>80</v>
      </c>
      <c r="AC349" s="101">
        <v>695</v>
      </c>
      <c r="AD349" s="101">
        <v>58603</v>
      </c>
      <c r="AE349" s="101">
        <v>34489</v>
      </c>
    </row>
    <row r="350" spans="1:31" ht="11.25" hidden="1" customHeight="1" x14ac:dyDescent="0.3">
      <c r="A350" s="126" t="s">
        <v>175</v>
      </c>
      <c r="B350" s="126">
        <v>15</v>
      </c>
      <c r="C350" s="126">
        <v>21</v>
      </c>
      <c r="D350" s="126" t="str">
        <f t="shared" si="22"/>
        <v>1521</v>
      </c>
      <c r="E350" s="101">
        <v>1932.5</v>
      </c>
      <c r="F350" s="101">
        <v>6439</v>
      </c>
      <c r="G350" s="101">
        <v>22898.5</v>
      </c>
      <c r="H350" s="101">
        <v>324343.11499999999</v>
      </c>
      <c r="I350" s="101">
        <v>79536.011499999993</v>
      </c>
      <c r="J350" s="101">
        <v>773</v>
      </c>
      <c r="K350" s="101">
        <v>5091</v>
      </c>
      <c r="L350" s="101">
        <v>23852</v>
      </c>
      <c r="M350" s="101">
        <v>385422</v>
      </c>
      <c r="N350" s="101">
        <v>98161</v>
      </c>
      <c r="O350" s="138">
        <v>1153</v>
      </c>
      <c r="P350" s="138">
        <v>8519</v>
      </c>
      <c r="Q350" s="138">
        <v>37749</v>
      </c>
      <c r="R350" s="138">
        <v>608219.36</v>
      </c>
      <c r="S350" s="138">
        <v>181770.323</v>
      </c>
      <c r="T350" s="169">
        <v>1.02</v>
      </c>
      <c r="U350" s="101">
        <f t="shared" si="28"/>
        <v>1176.06</v>
      </c>
      <c r="V350" s="101">
        <f t="shared" si="29"/>
        <v>8689.380000000001</v>
      </c>
      <c r="W350" s="101">
        <f t="shared" si="30"/>
        <v>38503.980000000003</v>
      </c>
      <c r="X350" s="101">
        <f t="shared" si="31"/>
        <v>620383.74719999998</v>
      </c>
      <c r="Y350" s="101">
        <f t="shared" si="32"/>
        <v>185405.72946</v>
      </c>
      <c r="AA350" s="101">
        <v>829</v>
      </c>
      <c r="AB350" s="101">
        <v>9254</v>
      </c>
      <c r="AC350" s="101">
        <v>49066</v>
      </c>
      <c r="AD350" s="101">
        <v>465428</v>
      </c>
      <c r="AE350" s="101">
        <v>137710</v>
      </c>
    </row>
    <row r="351" spans="1:31" ht="11.25" hidden="1" customHeight="1" x14ac:dyDescent="0.3">
      <c r="A351" s="126" t="s">
        <v>175</v>
      </c>
      <c r="B351" s="126">
        <v>15</v>
      </c>
      <c r="C351" s="126">
        <v>71</v>
      </c>
      <c r="D351" s="126" t="str">
        <f t="shared" si="22"/>
        <v>1571</v>
      </c>
      <c r="E351" s="101">
        <v>820</v>
      </c>
      <c r="F351" s="101">
        <v>5739.5</v>
      </c>
      <c r="G351" s="101">
        <v>17292.5</v>
      </c>
      <c r="H351" s="101">
        <v>129126.18</v>
      </c>
      <c r="I351" s="101">
        <v>47658.688999999998</v>
      </c>
      <c r="J351" s="101">
        <v>575</v>
      </c>
      <c r="K351" s="101">
        <v>5679</v>
      </c>
      <c r="L351" s="101">
        <v>21328</v>
      </c>
      <c r="M351" s="101">
        <v>220714</v>
      </c>
      <c r="N351" s="101">
        <v>109040</v>
      </c>
      <c r="O351" s="101">
        <v>625</v>
      </c>
      <c r="P351" s="101">
        <v>6558</v>
      </c>
      <c r="Q351" s="101">
        <v>32704</v>
      </c>
      <c r="R351" s="101">
        <v>356823.13999999996</v>
      </c>
      <c r="S351" s="101">
        <v>145547.52600000001</v>
      </c>
      <c r="T351" s="169">
        <v>0.98</v>
      </c>
      <c r="U351" s="101">
        <f t="shared" si="28"/>
        <v>612.5</v>
      </c>
      <c r="V351" s="101">
        <f t="shared" si="29"/>
        <v>6426.84</v>
      </c>
      <c r="W351" s="101">
        <f t="shared" si="30"/>
        <v>32049.919999999998</v>
      </c>
      <c r="X351" s="101">
        <f t="shared" si="31"/>
        <v>349686.67719999998</v>
      </c>
      <c r="Y351" s="101">
        <f t="shared" si="32"/>
        <v>142636.57548</v>
      </c>
      <c r="AA351" s="101">
        <v>217</v>
      </c>
      <c r="AB351" s="101">
        <v>5249</v>
      </c>
      <c r="AC351" s="101">
        <v>17477</v>
      </c>
      <c r="AD351" s="101">
        <v>127122</v>
      </c>
      <c r="AE351" s="101">
        <v>58914</v>
      </c>
    </row>
    <row r="352" spans="1:31" ht="11.25" hidden="1" customHeight="1" x14ac:dyDescent="0.3">
      <c r="A352" s="126" t="s">
        <v>175</v>
      </c>
      <c r="B352" s="126">
        <v>15</v>
      </c>
      <c r="C352" s="126">
        <v>25</v>
      </c>
      <c r="D352" s="126" t="str">
        <f t="shared" si="22"/>
        <v>1525</v>
      </c>
      <c r="E352" s="101">
        <v>1578</v>
      </c>
      <c r="F352" s="101">
        <v>7112</v>
      </c>
      <c r="G352" s="101">
        <v>43349</v>
      </c>
      <c r="H352" s="101">
        <v>579164.50999999989</v>
      </c>
      <c r="I352" s="101">
        <v>254100.71299999999</v>
      </c>
      <c r="J352" s="101">
        <v>686</v>
      </c>
      <c r="K352" s="101">
        <v>6565</v>
      </c>
      <c r="L352" s="101">
        <v>43596</v>
      </c>
      <c r="M352" s="101">
        <v>344471</v>
      </c>
      <c r="N352" s="101">
        <v>164005</v>
      </c>
      <c r="O352" s="101">
        <v>687</v>
      </c>
      <c r="P352" s="101">
        <v>5474</v>
      </c>
      <c r="Q352" s="101">
        <v>44806</v>
      </c>
      <c r="R352" s="101">
        <v>284054.24</v>
      </c>
      <c r="S352" s="101">
        <v>151617.92799999999</v>
      </c>
      <c r="T352" s="169">
        <v>1.02</v>
      </c>
      <c r="U352" s="101">
        <f t="shared" si="28"/>
        <v>700.74</v>
      </c>
      <c r="V352" s="101">
        <f t="shared" si="29"/>
        <v>5583.4800000000005</v>
      </c>
      <c r="W352" s="101">
        <f t="shared" si="30"/>
        <v>45702.12</v>
      </c>
      <c r="X352" s="101">
        <f t="shared" si="31"/>
        <v>289735.3248</v>
      </c>
      <c r="Y352" s="101">
        <f t="shared" si="32"/>
        <v>154650.28655999998</v>
      </c>
      <c r="AA352" s="101">
        <v>624</v>
      </c>
      <c r="AB352" s="101">
        <v>4607</v>
      </c>
      <c r="AC352" s="101">
        <v>33586</v>
      </c>
      <c r="AD352" s="101">
        <v>289987</v>
      </c>
      <c r="AE352" s="101">
        <v>203496</v>
      </c>
    </row>
    <row r="353" spans="1:31" ht="11.25" hidden="1" customHeight="1" x14ac:dyDescent="0.3">
      <c r="A353" s="126" t="s">
        <v>175</v>
      </c>
      <c r="B353" s="126">
        <v>15</v>
      </c>
      <c r="C353" s="126">
        <v>14</v>
      </c>
      <c r="D353" s="126" t="str">
        <f t="shared" si="22"/>
        <v>1514</v>
      </c>
      <c r="J353" s="101">
        <v>7</v>
      </c>
      <c r="K353" s="101">
        <v>15</v>
      </c>
      <c r="L353" s="101">
        <v>17</v>
      </c>
      <c r="M353" s="101">
        <v>1248</v>
      </c>
      <c r="N353" s="101">
        <v>186</v>
      </c>
      <c r="O353" s="101">
        <v>27</v>
      </c>
      <c r="P353" s="101">
        <v>55</v>
      </c>
      <c r="Q353" s="101">
        <v>90</v>
      </c>
      <c r="R353" s="101">
        <v>3713.5299999999997</v>
      </c>
      <c r="S353" s="101">
        <v>381.16</v>
      </c>
      <c r="T353" s="169">
        <v>1.02</v>
      </c>
      <c r="U353" s="101">
        <f t="shared" si="28"/>
        <v>27.54</v>
      </c>
      <c r="V353" s="101">
        <f t="shared" si="29"/>
        <v>56.1</v>
      </c>
      <c r="W353" s="101">
        <f t="shared" si="30"/>
        <v>91.8</v>
      </c>
      <c r="X353" s="101">
        <f t="shared" si="31"/>
        <v>3787.8006</v>
      </c>
      <c r="Y353" s="101">
        <f t="shared" si="32"/>
        <v>388.78320000000002</v>
      </c>
      <c r="AA353" s="101">
        <v>157</v>
      </c>
      <c r="AB353" s="101">
        <v>206</v>
      </c>
      <c r="AC353" s="101">
        <v>255</v>
      </c>
      <c r="AD353" s="101">
        <v>12849</v>
      </c>
      <c r="AE353" s="101">
        <v>2302</v>
      </c>
    </row>
    <row r="354" spans="1:31" ht="11.25" hidden="1" customHeight="1" x14ac:dyDescent="0.3">
      <c r="A354" s="126" t="s">
        <v>175</v>
      </c>
      <c r="B354" s="126">
        <v>15</v>
      </c>
      <c r="C354" s="126">
        <v>22</v>
      </c>
      <c r="D354" s="126" t="str">
        <f t="shared" si="22"/>
        <v>1522</v>
      </c>
      <c r="J354" s="101">
        <v>7</v>
      </c>
      <c r="K354" s="101">
        <v>8</v>
      </c>
      <c r="L354" s="101">
        <v>126</v>
      </c>
      <c r="M354" s="101">
        <v>6434</v>
      </c>
      <c r="N354" s="101">
        <v>2998</v>
      </c>
      <c r="O354" s="101">
        <v>12</v>
      </c>
      <c r="P354" s="101">
        <v>130</v>
      </c>
      <c r="Q354" s="101">
        <v>889</v>
      </c>
      <c r="R354" s="101">
        <v>4042.54</v>
      </c>
      <c r="S354" s="101">
        <v>2535.5510000000004</v>
      </c>
      <c r="T354" s="169">
        <v>1.02</v>
      </c>
      <c r="U354" s="101">
        <f t="shared" si="28"/>
        <v>12.24</v>
      </c>
      <c r="V354" s="101">
        <f t="shared" si="29"/>
        <v>132.6</v>
      </c>
      <c r="W354" s="101">
        <f t="shared" si="30"/>
        <v>906.78</v>
      </c>
      <c r="X354" s="101">
        <f t="shared" si="31"/>
        <v>4123.3908000000001</v>
      </c>
      <c r="Y354" s="101">
        <f t="shared" si="32"/>
        <v>2586.2620200000006</v>
      </c>
      <c r="AA354" s="101">
        <v>6</v>
      </c>
      <c r="AB354" s="101">
        <v>6</v>
      </c>
      <c r="AC354" s="101">
        <v>77</v>
      </c>
      <c r="AD354" s="101">
        <v>2706</v>
      </c>
      <c r="AE354" s="101">
        <v>810</v>
      </c>
    </row>
    <row r="355" spans="1:31" ht="11.25" hidden="1" customHeight="1" x14ac:dyDescent="0.3">
      <c r="A355" s="126" t="s">
        <v>175</v>
      </c>
      <c r="B355" s="126">
        <v>15</v>
      </c>
      <c r="C355" s="126">
        <v>26</v>
      </c>
      <c r="D355" s="126" t="str">
        <f t="shared" si="22"/>
        <v>1526</v>
      </c>
      <c r="J355" s="101">
        <v>14</v>
      </c>
      <c r="K355" s="101">
        <v>27</v>
      </c>
      <c r="L355" s="101">
        <v>222</v>
      </c>
      <c r="M355" s="101">
        <v>6905</v>
      </c>
      <c r="N355" s="101">
        <v>2761</v>
      </c>
      <c r="O355" s="101">
        <v>14</v>
      </c>
      <c r="P355" s="101">
        <v>20</v>
      </c>
      <c r="Q355" s="101">
        <v>124</v>
      </c>
      <c r="R355" s="101">
        <v>4839.84</v>
      </c>
      <c r="S355" s="101">
        <v>2621.6259999999997</v>
      </c>
      <c r="T355" s="169">
        <v>1.02</v>
      </c>
      <c r="U355" s="101">
        <f t="shared" si="28"/>
        <v>14.280000000000001</v>
      </c>
      <c r="V355" s="101">
        <f t="shared" si="29"/>
        <v>20.399999999999999</v>
      </c>
      <c r="W355" s="101">
        <f t="shared" si="30"/>
        <v>126.48</v>
      </c>
      <c r="X355" s="101">
        <f t="shared" si="31"/>
        <v>4936.6368000000002</v>
      </c>
      <c r="Y355" s="101">
        <f t="shared" si="32"/>
        <v>2674.0585199999996</v>
      </c>
      <c r="AA355" s="101">
        <v>3</v>
      </c>
      <c r="AB355" s="101">
        <v>31</v>
      </c>
      <c r="AC355" s="101">
        <v>261</v>
      </c>
      <c r="AD355" s="101">
        <v>2468</v>
      </c>
      <c r="AE355" s="101">
        <v>979</v>
      </c>
    </row>
    <row r="356" spans="1:31" ht="11.25" hidden="1" customHeight="1" x14ac:dyDescent="0.3">
      <c r="A356" s="126" t="s">
        <v>175</v>
      </c>
      <c r="B356" s="126">
        <v>15</v>
      </c>
      <c r="C356" s="126">
        <v>32</v>
      </c>
      <c r="D356" s="126" t="str">
        <f t="shared" si="22"/>
        <v>1532</v>
      </c>
      <c r="J356" s="101">
        <v>52</v>
      </c>
      <c r="K356" s="101">
        <v>69</v>
      </c>
      <c r="L356" s="101">
        <v>1078</v>
      </c>
      <c r="M356" s="101">
        <v>9806</v>
      </c>
      <c r="N356" s="101">
        <v>4568</v>
      </c>
      <c r="O356" s="101">
        <v>54</v>
      </c>
      <c r="P356" s="101">
        <v>114</v>
      </c>
      <c r="Q356" s="101">
        <v>5931</v>
      </c>
      <c r="R356" s="101">
        <v>55156.5</v>
      </c>
      <c r="S356" s="101">
        <v>82171.262000000002</v>
      </c>
      <c r="T356" s="169">
        <v>1.02</v>
      </c>
      <c r="U356" s="101">
        <f t="shared" si="28"/>
        <v>55.08</v>
      </c>
      <c r="V356" s="101">
        <f t="shared" si="29"/>
        <v>116.28</v>
      </c>
      <c r="W356" s="101">
        <f t="shared" si="30"/>
        <v>6049.62</v>
      </c>
      <c r="X356" s="101">
        <f t="shared" si="31"/>
        <v>56259.63</v>
      </c>
      <c r="Y356" s="101">
        <f t="shared" si="32"/>
        <v>83814.687239999999</v>
      </c>
      <c r="AA356" s="101">
        <v>28</v>
      </c>
      <c r="AB356" s="101">
        <v>51</v>
      </c>
      <c r="AC356" s="101">
        <v>1555</v>
      </c>
      <c r="AD356" s="101">
        <v>17319</v>
      </c>
      <c r="AE356" s="101">
        <v>4827</v>
      </c>
    </row>
    <row r="357" spans="1:31" ht="11.25" hidden="1" customHeight="1" x14ac:dyDescent="0.3">
      <c r="A357" s="126" t="s">
        <v>175</v>
      </c>
      <c r="B357" s="126">
        <v>15</v>
      </c>
      <c r="C357" s="126">
        <v>43</v>
      </c>
      <c r="D357" s="126" t="str">
        <f t="shared" si="22"/>
        <v>1543</v>
      </c>
      <c r="J357" s="101">
        <v>0</v>
      </c>
      <c r="K357" s="101">
        <v>0</v>
      </c>
      <c r="L357" s="101">
        <v>0</v>
      </c>
      <c r="M357" s="101">
        <v>0</v>
      </c>
      <c r="N357" s="101">
        <v>0</v>
      </c>
      <c r="O357" s="101">
        <v>0</v>
      </c>
      <c r="P357" s="101">
        <v>0</v>
      </c>
      <c r="Q357" s="101">
        <v>0</v>
      </c>
      <c r="R357" s="101">
        <v>0</v>
      </c>
      <c r="S357" s="101">
        <v>0</v>
      </c>
      <c r="T357" s="169">
        <v>1.02</v>
      </c>
      <c r="U357" s="101">
        <f t="shared" si="28"/>
        <v>0</v>
      </c>
      <c r="V357" s="101">
        <f t="shared" si="29"/>
        <v>0</v>
      </c>
      <c r="W357" s="101">
        <f t="shared" si="30"/>
        <v>0</v>
      </c>
      <c r="X357" s="101">
        <f t="shared" si="31"/>
        <v>0</v>
      </c>
      <c r="Y357" s="101">
        <f t="shared" si="32"/>
        <v>0</v>
      </c>
      <c r="AA357" s="101">
        <v>0</v>
      </c>
      <c r="AB357" s="101">
        <v>0</v>
      </c>
      <c r="AC357" s="101">
        <v>0</v>
      </c>
      <c r="AD357" s="101">
        <v>0</v>
      </c>
      <c r="AE357" s="101">
        <v>0</v>
      </c>
    </row>
    <row r="358" spans="1:31" ht="11.25" hidden="1" customHeight="1" x14ac:dyDescent="0.3">
      <c r="A358" s="126" t="s">
        <v>175</v>
      </c>
      <c r="B358" s="126">
        <v>15</v>
      </c>
      <c r="C358" s="126">
        <v>44</v>
      </c>
      <c r="D358" s="126" t="str">
        <f t="shared" si="22"/>
        <v>1544</v>
      </c>
      <c r="J358" s="101">
        <v>0</v>
      </c>
      <c r="K358" s="101">
        <v>0</v>
      </c>
      <c r="L358" s="101">
        <v>0</v>
      </c>
      <c r="M358" s="101">
        <v>0</v>
      </c>
      <c r="N358" s="101">
        <v>0</v>
      </c>
      <c r="O358" s="101">
        <v>0</v>
      </c>
      <c r="P358" s="101">
        <v>0</v>
      </c>
      <c r="Q358" s="101">
        <v>0</v>
      </c>
      <c r="R358" s="101">
        <v>0</v>
      </c>
      <c r="S358" s="101">
        <v>0</v>
      </c>
      <c r="T358" s="169">
        <v>1.02</v>
      </c>
      <c r="U358" s="101">
        <f t="shared" si="28"/>
        <v>0</v>
      </c>
      <c r="V358" s="101">
        <f t="shared" si="29"/>
        <v>0</v>
      </c>
      <c r="W358" s="101">
        <f t="shared" si="30"/>
        <v>0</v>
      </c>
      <c r="X358" s="101">
        <f t="shared" si="31"/>
        <v>0</v>
      </c>
      <c r="Y358" s="101">
        <f t="shared" si="32"/>
        <v>0</v>
      </c>
      <c r="AA358" s="101">
        <v>0</v>
      </c>
      <c r="AB358" s="101">
        <v>0</v>
      </c>
      <c r="AC358" s="101">
        <v>0</v>
      </c>
      <c r="AD358" s="101">
        <v>0</v>
      </c>
      <c r="AE358" s="101">
        <v>0</v>
      </c>
    </row>
    <row r="359" spans="1:31" ht="11.25" hidden="1" customHeight="1" x14ac:dyDescent="0.3">
      <c r="A359" s="126" t="s">
        <v>175</v>
      </c>
      <c r="B359" s="126">
        <v>15</v>
      </c>
      <c r="C359" s="126">
        <v>45</v>
      </c>
      <c r="D359" s="126" t="str">
        <f t="shared" si="22"/>
        <v>1545</v>
      </c>
      <c r="J359" s="101">
        <v>0</v>
      </c>
      <c r="K359" s="101">
        <v>0</v>
      </c>
      <c r="L359" s="101">
        <v>0</v>
      </c>
      <c r="M359" s="101">
        <v>0</v>
      </c>
      <c r="N359" s="101">
        <v>0</v>
      </c>
      <c r="O359" s="101">
        <v>0</v>
      </c>
      <c r="P359" s="101">
        <v>0</v>
      </c>
      <c r="Q359" s="101">
        <v>0</v>
      </c>
      <c r="R359" s="101">
        <v>0</v>
      </c>
      <c r="S359" s="101">
        <v>0</v>
      </c>
      <c r="T359" s="169">
        <v>1.02</v>
      </c>
      <c r="U359" s="101">
        <f t="shared" si="28"/>
        <v>0</v>
      </c>
      <c r="V359" s="101">
        <f t="shared" si="29"/>
        <v>0</v>
      </c>
      <c r="W359" s="101">
        <f t="shared" si="30"/>
        <v>0</v>
      </c>
      <c r="X359" s="101">
        <f t="shared" si="31"/>
        <v>0</v>
      </c>
      <c r="Y359" s="101">
        <f t="shared" si="32"/>
        <v>0</v>
      </c>
      <c r="AA359" s="101">
        <v>0</v>
      </c>
      <c r="AB359" s="101">
        <v>0</v>
      </c>
      <c r="AC359" s="101">
        <v>0</v>
      </c>
      <c r="AD359" s="101">
        <v>0</v>
      </c>
      <c r="AE359" s="101">
        <v>0</v>
      </c>
    </row>
    <row r="360" spans="1:31" ht="11.25" hidden="1" customHeight="1" x14ac:dyDescent="0.3">
      <c r="A360" s="126" t="s">
        <v>175</v>
      </c>
      <c r="B360" s="126">
        <v>15</v>
      </c>
      <c r="C360" s="126">
        <v>91</v>
      </c>
      <c r="D360" s="126" t="str">
        <f t="shared" si="22"/>
        <v>1591</v>
      </c>
      <c r="J360" s="101">
        <v>57</v>
      </c>
      <c r="K360" s="101">
        <v>137</v>
      </c>
      <c r="L360" s="101">
        <v>1833</v>
      </c>
      <c r="M360" s="101">
        <v>4471</v>
      </c>
      <c r="N360" s="101">
        <v>2989</v>
      </c>
      <c r="O360" s="101">
        <v>50</v>
      </c>
      <c r="P360" s="101">
        <v>176</v>
      </c>
      <c r="Q360" s="101">
        <v>1742</v>
      </c>
      <c r="R360" s="101">
        <v>10794.359999999999</v>
      </c>
      <c r="S360" s="101">
        <v>4747.2879999999996</v>
      </c>
      <c r="T360" s="169">
        <v>1.02</v>
      </c>
      <c r="U360" s="101">
        <f t="shared" si="28"/>
        <v>51</v>
      </c>
      <c r="V360" s="101">
        <f t="shared" si="29"/>
        <v>179.52</v>
      </c>
      <c r="W360" s="101">
        <f t="shared" si="30"/>
        <v>1776.84</v>
      </c>
      <c r="X360" s="101">
        <f t="shared" si="31"/>
        <v>11010.2472</v>
      </c>
      <c r="Y360" s="101">
        <f t="shared" si="32"/>
        <v>4842.2337600000001</v>
      </c>
      <c r="AA360" s="101">
        <v>70</v>
      </c>
      <c r="AB360" s="101">
        <v>197</v>
      </c>
      <c r="AC360" s="101">
        <v>523</v>
      </c>
      <c r="AD360" s="101">
        <v>5654</v>
      </c>
      <c r="AE360" s="101">
        <v>2659</v>
      </c>
    </row>
    <row r="361" spans="1:31" ht="11.25" hidden="1" customHeight="1" x14ac:dyDescent="0.3">
      <c r="A361" s="126" t="s">
        <v>175</v>
      </c>
      <c r="B361" s="126">
        <v>15</v>
      </c>
      <c r="C361" s="126">
        <v>27</v>
      </c>
      <c r="D361" s="126" t="str">
        <f t="shared" si="22"/>
        <v>1527</v>
      </c>
      <c r="E361" s="101">
        <v>153</v>
      </c>
      <c r="F361" s="101">
        <v>1507</v>
      </c>
      <c r="G361" s="101">
        <v>4878</v>
      </c>
      <c r="H361" s="101">
        <v>64981.2</v>
      </c>
      <c r="I361" s="101">
        <v>19318.030999999999</v>
      </c>
      <c r="J361" s="101">
        <v>54</v>
      </c>
      <c r="K361" s="101">
        <v>1204</v>
      </c>
      <c r="L361" s="101">
        <v>6326</v>
      </c>
      <c r="M361" s="101">
        <v>89962</v>
      </c>
      <c r="N361" s="101">
        <v>27922</v>
      </c>
      <c r="O361" s="101">
        <v>130</v>
      </c>
      <c r="P361" s="101">
        <v>2019</v>
      </c>
      <c r="Q361" s="101">
        <v>12619</v>
      </c>
      <c r="R361" s="101">
        <v>139883.88999999998</v>
      </c>
      <c r="S361" s="101">
        <v>50625.03899999999</v>
      </c>
      <c r="T361" s="169">
        <v>1.02</v>
      </c>
      <c r="U361" s="101">
        <f t="shared" si="28"/>
        <v>132.6</v>
      </c>
      <c r="V361" s="101">
        <f t="shared" si="29"/>
        <v>2059.38</v>
      </c>
      <c r="W361" s="101">
        <f t="shared" si="30"/>
        <v>12871.380000000001</v>
      </c>
      <c r="X361" s="101">
        <f t="shared" si="31"/>
        <v>142681.56779999999</v>
      </c>
      <c r="Y361" s="101">
        <f t="shared" si="32"/>
        <v>51637.539779999992</v>
      </c>
      <c r="AA361" s="101">
        <v>57</v>
      </c>
      <c r="AB361" s="101">
        <v>1847</v>
      </c>
      <c r="AC361" s="101">
        <v>10108</v>
      </c>
      <c r="AD361" s="101">
        <v>85406</v>
      </c>
      <c r="AE361" s="101">
        <v>32516</v>
      </c>
    </row>
    <row r="362" spans="1:31" ht="11.25" customHeight="1" x14ac:dyDescent="0.3">
      <c r="A362" s="126" t="s">
        <v>175</v>
      </c>
      <c r="B362" s="126">
        <v>15</v>
      </c>
      <c r="C362" s="126" t="s">
        <v>172</v>
      </c>
      <c r="D362" s="126" t="str">
        <f t="shared" si="22"/>
        <v>15Uml</v>
      </c>
      <c r="J362" s="101">
        <v>194</v>
      </c>
      <c r="K362" s="101">
        <v>194</v>
      </c>
      <c r="L362" s="101">
        <v>79565</v>
      </c>
      <c r="N362" s="101">
        <v>339424</v>
      </c>
      <c r="O362" s="101">
        <v>318</v>
      </c>
      <c r="P362" s="101">
        <v>321</v>
      </c>
      <c r="Q362" s="101">
        <v>85244</v>
      </c>
      <c r="S362" s="101">
        <v>231883.74</v>
      </c>
      <c r="T362" s="169">
        <v>1.02</v>
      </c>
      <c r="U362" s="101">
        <f t="shared" si="28"/>
        <v>324.36</v>
      </c>
      <c r="V362" s="101">
        <f t="shared" si="29"/>
        <v>327.42</v>
      </c>
      <c r="W362" s="101">
        <f t="shared" si="30"/>
        <v>86948.88</v>
      </c>
      <c r="X362" s="101">
        <f t="shared" si="31"/>
        <v>0</v>
      </c>
      <c r="Y362" s="101">
        <f t="shared" si="32"/>
        <v>236521.4148</v>
      </c>
      <c r="AA362" s="101">
        <v>266</v>
      </c>
      <c r="AB362" s="101">
        <v>270</v>
      </c>
      <c r="AC362" s="101">
        <v>52707</v>
      </c>
      <c r="AE362" s="101">
        <v>286572.03499999997</v>
      </c>
    </row>
    <row r="363" spans="1:31" ht="11.25" hidden="1" customHeight="1" x14ac:dyDescent="0.3">
      <c r="A363" s="126" t="s">
        <v>175</v>
      </c>
      <c r="B363" s="126">
        <v>15</v>
      </c>
      <c r="C363" s="126">
        <v>37</v>
      </c>
      <c r="D363" s="126" t="str">
        <f t="shared" si="22"/>
        <v>1537</v>
      </c>
      <c r="E363" s="101">
        <v>12.25</v>
      </c>
      <c r="F363" s="101">
        <v>24.25</v>
      </c>
      <c r="G363" s="101">
        <v>541.5</v>
      </c>
      <c r="H363" s="101">
        <v>2759.5625</v>
      </c>
      <c r="I363" s="101">
        <v>1563.5339999999999</v>
      </c>
      <c r="J363" s="101">
        <v>28</v>
      </c>
      <c r="K363" s="101">
        <v>77</v>
      </c>
      <c r="L363" s="101">
        <v>2059</v>
      </c>
      <c r="M363" s="101">
        <v>15889</v>
      </c>
      <c r="N363" s="101">
        <v>8647</v>
      </c>
      <c r="O363" s="101">
        <v>42</v>
      </c>
      <c r="P363" s="101">
        <v>124</v>
      </c>
      <c r="Q363" s="101">
        <v>1385</v>
      </c>
      <c r="R363" s="101">
        <v>18257.359999999997</v>
      </c>
      <c r="S363" s="101">
        <v>7283.9970000000003</v>
      </c>
      <c r="T363" s="169">
        <v>1.02</v>
      </c>
      <c r="U363" s="101">
        <f t="shared" si="28"/>
        <v>42.84</v>
      </c>
      <c r="V363" s="101">
        <f t="shared" si="29"/>
        <v>126.48</v>
      </c>
      <c r="W363" s="101">
        <f t="shared" si="30"/>
        <v>1412.7</v>
      </c>
      <c r="X363" s="101">
        <f t="shared" si="31"/>
        <v>18622.507199999996</v>
      </c>
      <c r="Y363" s="101">
        <f t="shared" si="32"/>
        <v>7429.6769400000003</v>
      </c>
      <c r="AA363" s="101">
        <v>32</v>
      </c>
      <c r="AB363" s="101">
        <v>96</v>
      </c>
      <c r="AC363" s="101">
        <v>3597</v>
      </c>
      <c r="AD363" s="101">
        <v>24381</v>
      </c>
      <c r="AE363" s="101">
        <v>12537</v>
      </c>
    </row>
    <row r="364" spans="1:31" ht="11.25" hidden="1" customHeight="1" x14ac:dyDescent="0.3">
      <c r="A364" s="126" t="s">
        <v>175</v>
      </c>
      <c r="B364" s="126">
        <v>16</v>
      </c>
      <c r="C364" s="126">
        <v>12</v>
      </c>
      <c r="D364" s="126" t="str">
        <f t="shared" si="22"/>
        <v>1612</v>
      </c>
      <c r="E364" s="101">
        <v>45</v>
      </c>
      <c r="F364" s="101">
        <v>49</v>
      </c>
      <c r="G364" s="101">
        <v>90</v>
      </c>
      <c r="H364" s="101">
        <v>895.26999999999987</v>
      </c>
      <c r="I364" s="101">
        <v>268.33499999999998</v>
      </c>
      <c r="J364" s="127">
        <v>35</v>
      </c>
      <c r="K364" s="127">
        <v>43</v>
      </c>
      <c r="L364" s="127">
        <v>73</v>
      </c>
      <c r="M364" s="127">
        <v>1022</v>
      </c>
      <c r="N364" s="127">
        <v>356</v>
      </c>
      <c r="O364" s="101">
        <v>25</v>
      </c>
      <c r="P364" s="101">
        <v>33</v>
      </c>
      <c r="Q364" s="101">
        <v>34</v>
      </c>
      <c r="R364" s="101">
        <v>968.95</v>
      </c>
      <c r="S364" s="101">
        <v>254.88399999999999</v>
      </c>
      <c r="T364" s="169">
        <v>1.02</v>
      </c>
      <c r="U364" s="101">
        <f t="shared" si="28"/>
        <v>25.5</v>
      </c>
      <c r="V364" s="101">
        <f t="shared" si="29"/>
        <v>33.660000000000004</v>
      </c>
      <c r="W364" s="101">
        <f t="shared" si="30"/>
        <v>34.68</v>
      </c>
      <c r="X364" s="101">
        <f t="shared" si="31"/>
        <v>988.32900000000006</v>
      </c>
      <c r="Y364" s="101">
        <f t="shared" si="32"/>
        <v>259.98167999999998</v>
      </c>
      <c r="AA364" s="101">
        <v>8</v>
      </c>
      <c r="AB364" s="101">
        <v>9</v>
      </c>
      <c r="AC364" s="101">
        <v>15</v>
      </c>
      <c r="AD364" s="101">
        <v>94.84</v>
      </c>
      <c r="AE364" s="101">
        <v>67.215999999999994</v>
      </c>
    </row>
    <row r="365" spans="1:31" ht="11.25" hidden="1" customHeight="1" x14ac:dyDescent="0.3">
      <c r="A365" s="126" t="s">
        <v>175</v>
      </c>
      <c r="B365" s="126">
        <v>16</v>
      </c>
      <c r="C365" s="126">
        <v>17</v>
      </c>
      <c r="D365" s="126" t="str">
        <f t="shared" ref="D365:D485" si="33">CONCATENATE(B365,C365)</f>
        <v>1617</v>
      </c>
      <c r="E365" s="101">
        <v>2227</v>
      </c>
      <c r="F365" s="101">
        <v>3090</v>
      </c>
      <c r="G365" s="101">
        <v>4234</v>
      </c>
      <c r="H365" s="101">
        <v>125519.04000000002</v>
      </c>
      <c r="I365" s="101">
        <v>22932.879999999997</v>
      </c>
      <c r="J365" s="127">
        <v>1179</v>
      </c>
      <c r="K365" s="127">
        <v>2017</v>
      </c>
      <c r="L365" s="127">
        <v>2944</v>
      </c>
      <c r="M365" s="127">
        <v>81576</v>
      </c>
      <c r="N365" s="127">
        <v>12413</v>
      </c>
      <c r="O365" s="101">
        <v>941</v>
      </c>
      <c r="P365" s="101">
        <v>1656</v>
      </c>
      <c r="Q365" s="101">
        <v>2649</v>
      </c>
      <c r="R365" s="101">
        <v>69030.570000000007</v>
      </c>
      <c r="S365" s="101">
        <v>12264.842000000001</v>
      </c>
      <c r="T365" s="169">
        <v>1.02</v>
      </c>
      <c r="U365" s="101">
        <v>1375</v>
      </c>
      <c r="V365" s="101">
        <v>2500</v>
      </c>
      <c r="W365" s="101">
        <v>3750</v>
      </c>
      <c r="X365" s="144">
        <f t="shared" si="31"/>
        <v>70411.181400000001</v>
      </c>
      <c r="Y365" s="101">
        <v>20000</v>
      </c>
      <c r="AA365" s="101">
        <v>1964</v>
      </c>
      <c r="AB365" s="101">
        <v>3136</v>
      </c>
      <c r="AC365" s="101">
        <v>4117</v>
      </c>
      <c r="AD365" s="101">
        <v>127018.88</v>
      </c>
      <c r="AE365" s="101">
        <v>23834.514999999999</v>
      </c>
    </row>
    <row r="366" spans="1:31" ht="11.25" hidden="1" customHeight="1" x14ac:dyDescent="0.3">
      <c r="A366" s="126" t="s">
        <v>175</v>
      </c>
      <c r="B366" s="126">
        <v>16</v>
      </c>
      <c r="C366" s="126">
        <v>18</v>
      </c>
      <c r="D366" s="126" t="str">
        <f t="shared" si="33"/>
        <v>1618</v>
      </c>
      <c r="E366" s="101">
        <v>286</v>
      </c>
      <c r="F366" s="101">
        <v>401</v>
      </c>
      <c r="G366" s="101">
        <v>670</v>
      </c>
      <c r="H366" s="101">
        <v>19140.829999999998</v>
      </c>
      <c r="I366" s="101">
        <v>3203.683</v>
      </c>
      <c r="J366" s="127">
        <v>1974</v>
      </c>
      <c r="K366" s="127">
        <v>2199</v>
      </c>
      <c r="L366" s="127">
        <v>2521</v>
      </c>
      <c r="M366" s="127">
        <v>120593</v>
      </c>
      <c r="N366" s="127">
        <v>21639</v>
      </c>
      <c r="O366" s="101">
        <v>2669</v>
      </c>
      <c r="P366" s="101">
        <v>2879</v>
      </c>
      <c r="Q366" s="101">
        <v>14057</v>
      </c>
      <c r="R366" s="101">
        <v>119418.76</v>
      </c>
      <c r="S366" s="101">
        <v>327371.76400000002</v>
      </c>
      <c r="T366" s="169">
        <v>0.6</v>
      </c>
      <c r="U366" s="101">
        <f t="shared" si="28"/>
        <v>1601.3999999999999</v>
      </c>
      <c r="V366" s="101">
        <f t="shared" si="29"/>
        <v>1727.3999999999999</v>
      </c>
      <c r="W366" s="101">
        <f>Q366*T366-4000</f>
        <v>4434.1999999999989</v>
      </c>
      <c r="X366" s="101">
        <f t="shared" si="31"/>
        <v>71651.255999999994</v>
      </c>
      <c r="Y366" s="101">
        <f t="shared" si="32"/>
        <v>196423.05840000001</v>
      </c>
      <c r="AA366" s="101">
        <v>1617</v>
      </c>
      <c r="AB366" s="101">
        <v>1717</v>
      </c>
      <c r="AC366" s="101">
        <v>4921</v>
      </c>
      <c r="AD366" s="101">
        <v>82537.350000000006</v>
      </c>
      <c r="AE366" s="101">
        <v>124732.019</v>
      </c>
    </row>
    <row r="367" spans="1:31" ht="11.25" hidden="1" customHeight="1" x14ac:dyDescent="0.3">
      <c r="A367" s="126" t="s">
        <v>175</v>
      </c>
      <c r="B367" s="126">
        <v>16</v>
      </c>
      <c r="C367" s="126">
        <v>28</v>
      </c>
      <c r="D367" s="126" t="str">
        <f t="shared" si="33"/>
        <v>1628</v>
      </c>
      <c r="E367" s="101">
        <v>382</v>
      </c>
      <c r="F367" s="101">
        <v>3782</v>
      </c>
      <c r="G367" s="101">
        <v>29673</v>
      </c>
      <c r="H367" s="101">
        <v>684201.17999999993</v>
      </c>
      <c r="I367" s="101">
        <v>157772.77300000002</v>
      </c>
      <c r="J367" s="127">
        <v>271</v>
      </c>
      <c r="K367" s="127">
        <v>2754</v>
      </c>
      <c r="L367" s="127">
        <v>15315</v>
      </c>
      <c r="M367" s="127">
        <v>197366</v>
      </c>
      <c r="N367" s="127">
        <v>121305</v>
      </c>
      <c r="O367" s="101">
        <v>246</v>
      </c>
      <c r="P367" s="101">
        <v>3515</v>
      </c>
      <c r="Q367" s="101">
        <v>21382</v>
      </c>
      <c r="R367" s="101">
        <v>363187</v>
      </c>
      <c r="S367" s="101">
        <v>94691.195999999996</v>
      </c>
      <c r="T367" s="169">
        <v>1.02</v>
      </c>
      <c r="U367" s="101">
        <f t="shared" si="28"/>
        <v>250.92000000000002</v>
      </c>
      <c r="V367" s="101">
        <f t="shared" si="29"/>
        <v>3585.3</v>
      </c>
      <c r="W367" s="101">
        <f t="shared" si="30"/>
        <v>21809.64</v>
      </c>
      <c r="X367" s="101">
        <f t="shared" si="31"/>
        <v>370450.74</v>
      </c>
      <c r="Y367" s="101">
        <f t="shared" si="32"/>
        <v>96585.019919999992</v>
      </c>
      <c r="AA367" s="101">
        <v>171</v>
      </c>
      <c r="AB367" s="101">
        <v>6111</v>
      </c>
      <c r="AC367" s="101">
        <v>37728</v>
      </c>
      <c r="AD367" s="101">
        <v>725485.12</v>
      </c>
      <c r="AE367" s="101">
        <v>201656.86900000001</v>
      </c>
    </row>
    <row r="368" spans="1:31" ht="11.25" hidden="1" customHeight="1" x14ac:dyDescent="0.3">
      <c r="A368" s="126" t="s">
        <v>175</v>
      </c>
      <c r="B368" s="126">
        <v>16</v>
      </c>
      <c r="C368" s="126">
        <v>46</v>
      </c>
      <c r="D368" s="126" t="str">
        <f t="shared" si="33"/>
        <v>1646</v>
      </c>
      <c r="E368" s="101">
        <v>229</v>
      </c>
      <c r="F368" s="101">
        <v>433</v>
      </c>
      <c r="G368" s="101">
        <v>28138</v>
      </c>
      <c r="H368" s="101">
        <v>219965.66000000003</v>
      </c>
      <c r="I368" s="101">
        <v>59154.588999999993</v>
      </c>
      <c r="J368" s="127">
        <v>207</v>
      </c>
      <c r="K368" s="127">
        <v>459</v>
      </c>
      <c r="L368" s="127">
        <v>4316</v>
      </c>
      <c r="M368" s="127">
        <v>107963</v>
      </c>
      <c r="N368" s="127">
        <v>31508</v>
      </c>
      <c r="O368" s="101">
        <v>249</v>
      </c>
      <c r="P368" s="101">
        <v>726</v>
      </c>
      <c r="Q368" s="101">
        <v>13950</v>
      </c>
      <c r="R368" s="101">
        <v>185236.35</v>
      </c>
      <c r="S368" s="101">
        <v>70538.637000000002</v>
      </c>
      <c r="T368" s="169">
        <v>1.02</v>
      </c>
      <c r="U368" s="101">
        <f t="shared" si="28"/>
        <v>253.98000000000002</v>
      </c>
      <c r="V368" s="101">
        <f t="shared" si="29"/>
        <v>740.52</v>
      </c>
      <c r="W368" s="101">
        <f t="shared" si="30"/>
        <v>14229</v>
      </c>
      <c r="X368" s="101">
        <f t="shared" si="31"/>
        <v>188941.07700000002</v>
      </c>
      <c r="Y368" s="101">
        <f t="shared" si="32"/>
        <v>71949.409740000003</v>
      </c>
      <c r="AA368" s="101">
        <v>161</v>
      </c>
      <c r="AB368" s="101">
        <v>384</v>
      </c>
      <c r="AC368" s="101">
        <v>5137</v>
      </c>
      <c r="AD368" s="101">
        <v>87828.39</v>
      </c>
      <c r="AE368" s="101">
        <v>28171.805</v>
      </c>
    </row>
    <row r="369" spans="1:31" ht="11.25" hidden="1" customHeight="1" x14ac:dyDescent="0.3">
      <c r="A369" s="126" t="s">
        <v>175</v>
      </c>
      <c r="B369" s="126">
        <v>16</v>
      </c>
      <c r="C369" s="126">
        <v>47</v>
      </c>
      <c r="D369" s="126" t="str">
        <f t="shared" si="33"/>
        <v>1647</v>
      </c>
      <c r="E369" s="101">
        <v>2</v>
      </c>
      <c r="F369" s="101">
        <v>4</v>
      </c>
      <c r="G369" s="101">
        <v>4</v>
      </c>
      <c r="H369" s="101">
        <v>43.03</v>
      </c>
      <c r="I369" s="101">
        <v>0.91800000000000004</v>
      </c>
      <c r="J369" s="127">
        <v>0</v>
      </c>
      <c r="K369" s="127">
        <v>0</v>
      </c>
      <c r="L369" s="127">
        <v>0</v>
      </c>
      <c r="M369" s="127">
        <v>0</v>
      </c>
      <c r="N369" s="127">
        <v>0</v>
      </c>
      <c r="O369" s="101">
        <v>0</v>
      </c>
      <c r="P369" s="101">
        <v>0</v>
      </c>
      <c r="Q369" s="101">
        <v>0</v>
      </c>
      <c r="R369" s="101">
        <v>0</v>
      </c>
      <c r="S369" s="101">
        <v>0</v>
      </c>
      <c r="T369" s="169">
        <v>1.02</v>
      </c>
      <c r="U369" s="101">
        <f t="shared" si="28"/>
        <v>0</v>
      </c>
      <c r="V369" s="101">
        <f t="shared" si="29"/>
        <v>0</v>
      </c>
      <c r="W369" s="101">
        <f t="shared" si="30"/>
        <v>0</v>
      </c>
      <c r="X369" s="101">
        <f t="shared" si="31"/>
        <v>0</v>
      </c>
      <c r="Y369" s="101">
        <f t="shared" si="32"/>
        <v>0</v>
      </c>
      <c r="AA369" s="101">
        <v>1</v>
      </c>
      <c r="AB369" s="101">
        <v>1</v>
      </c>
      <c r="AC369" s="101">
        <v>200</v>
      </c>
      <c r="AD369" s="101">
        <v>1446</v>
      </c>
      <c r="AE369" s="101">
        <v>46.957000000000001</v>
      </c>
    </row>
    <row r="370" spans="1:31" ht="11.25" hidden="1" customHeight="1" x14ac:dyDescent="0.3">
      <c r="A370" s="126" t="s">
        <v>175</v>
      </c>
      <c r="B370" s="126">
        <v>16</v>
      </c>
      <c r="C370" s="126">
        <v>66</v>
      </c>
      <c r="D370" s="126" t="str">
        <f t="shared" si="33"/>
        <v>1666</v>
      </c>
      <c r="E370" s="101">
        <v>583</v>
      </c>
      <c r="F370" s="101">
        <v>1446</v>
      </c>
      <c r="G370" s="101">
        <v>24099</v>
      </c>
      <c r="H370" s="101">
        <v>153139.41999999998</v>
      </c>
      <c r="I370" s="101">
        <v>76576.272999999986</v>
      </c>
      <c r="J370" s="127">
        <v>200</v>
      </c>
      <c r="K370" s="127">
        <v>1908</v>
      </c>
      <c r="L370" s="127">
        <v>24121</v>
      </c>
      <c r="M370" s="127">
        <v>152269</v>
      </c>
      <c r="N370" s="127">
        <v>61410</v>
      </c>
      <c r="O370" s="101">
        <v>211</v>
      </c>
      <c r="P370" s="101">
        <v>923</v>
      </c>
      <c r="Q370" s="101">
        <v>29157</v>
      </c>
      <c r="R370" s="101">
        <v>238368.82</v>
      </c>
      <c r="S370" s="101">
        <v>137540.51999999999</v>
      </c>
      <c r="T370" s="169">
        <v>1.02</v>
      </c>
      <c r="U370" s="101">
        <f t="shared" si="28"/>
        <v>215.22</v>
      </c>
      <c r="V370" s="101">
        <f t="shared" si="29"/>
        <v>941.46</v>
      </c>
      <c r="W370" s="101">
        <f t="shared" si="30"/>
        <v>29740.14</v>
      </c>
      <c r="X370" s="101">
        <f t="shared" si="31"/>
        <v>243136.19640000002</v>
      </c>
      <c r="Y370" s="101">
        <f t="shared" si="32"/>
        <v>140291.33040000001</v>
      </c>
      <c r="AA370" s="101">
        <v>65</v>
      </c>
      <c r="AB370" s="101">
        <v>1358</v>
      </c>
      <c r="AC370" s="101">
        <v>32746</v>
      </c>
      <c r="AD370" s="101">
        <v>176113.33</v>
      </c>
      <c r="AE370" s="101">
        <v>95803.289000000004</v>
      </c>
    </row>
    <row r="371" spans="1:31" ht="11.25" hidden="1" customHeight="1" x14ac:dyDescent="0.3">
      <c r="A371" s="126" t="s">
        <v>175</v>
      </c>
      <c r="B371" s="126">
        <v>16</v>
      </c>
      <c r="C371" s="126">
        <v>30</v>
      </c>
      <c r="D371" s="126" t="str">
        <f t="shared" si="33"/>
        <v>1630</v>
      </c>
      <c r="E371" s="101">
        <v>325.5</v>
      </c>
      <c r="F371" s="101">
        <v>3918.5</v>
      </c>
      <c r="G371" s="101">
        <v>23767</v>
      </c>
      <c r="H371" s="101">
        <v>632825.99</v>
      </c>
      <c r="I371" s="101">
        <v>184660.14100000003</v>
      </c>
      <c r="J371" s="127">
        <v>255</v>
      </c>
      <c r="K371" s="127">
        <v>3177</v>
      </c>
      <c r="L371" s="127">
        <v>11681</v>
      </c>
      <c r="M371" s="127">
        <v>301606</v>
      </c>
      <c r="N371" s="127">
        <v>97995</v>
      </c>
      <c r="O371" s="138"/>
      <c r="P371" s="138"/>
      <c r="Q371" s="138"/>
      <c r="R371" s="138"/>
      <c r="S371" s="138"/>
      <c r="T371" s="169">
        <v>1.02</v>
      </c>
      <c r="U371" s="101">
        <f t="shared" si="28"/>
        <v>0</v>
      </c>
      <c r="V371" s="101">
        <f t="shared" si="29"/>
        <v>0</v>
      </c>
      <c r="W371" s="101">
        <f t="shared" si="30"/>
        <v>0</v>
      </c>
      <c r="X371" s="101">
        <f t="shared" si="31"/>
        <v>0</v>
      </c>
      <c r="Y371" s="101">
        <f t="shared" si="32"/>
        <v>0</v>
      </c>
      <c r="AA371" s="101">
        <v>60</v>
      </c>
      <c r="AB371" s="101">
        <v>77</v>
      </c>
      <c r="AC371" s="101">
        <v>1404</v>
      </c>
      <c r="AD371" s="101">
        <v>77145.25</v>
      </c>
      <c r="AE371" s="101">
        <v>42718.061999999998</v>
      </c>
    </row>
    <row r="372" spans="1:31" ht="11.25" hidden="1" customHeight="1" x14ac:dyDescent="0.3">
      <c r="A372" s="126" t="s">
        <v>175</v>
      </c>
      <c r="B372" s="126">
        <v>16</v>
      </c>
      <c r="C372" s="126">
        <v>21</v>
      </c>
      <c r="D372" s="126" t="str">
        <f t="shared" si="33"/>
        <v>1621</v>
      </c>
      <c r="E372" s="101">
        <v>2114.5</v>
      </c>
      <c r="F372" s="101">
        <v>6824</v>
      </c>
      <c r="G372" s="101">
        <v>29278</v>
      </c>
      <c r="H372" s="101">
        <v>491458.435</v>
      </c>
      <c r="I372" s="101">
        <v>141711.27499999999</v>
      </c>
      <c r="J372" s="127">
        <v>603</v>
      </c>
      <c r="K372" s="127">
        <v>4072</v>
      </c>
      <c r="L372" s="127">
        <v>23532</v>
      </c>
      <c r="M372" s="127">
        <v>383086</v>
      </c>
      <c r="N372" s="127">
        <v>103611</v>
      </c>
      <c r="O372" s="138">
        <v>1180</v>
      </c>
      <c r="P372" s="138">
        <v>9059</v>
      </c>
      <c r="Q372" s="138">
        <v>39813</v>
      </c>
      <c r="R372" s="138">
        <v>536832.38</v>
      </c>
      <c r="S372" s="138">
        <v>146136.90600000002</v>
      </c>
      <c r="T372" s="169">
        <v>1.02</v>
      </c>
      <c r="U372" s="101">
        <f>O299*T372</f>
        <v>929.22</v>
      </c>
      <c r="V372" s="101">
        <f>P299*T372</f>
        <v>6662.64</v>
      </c>
      <c r="W372" s="101">
        <f>Q299*T372</f>
        <v>32867.46</v>
      </c>
      <c r="X372" s="101">
        <f>R299*T372</f>
        <v>520342.45319999999</v>
      </c>
      <c r="Y372" s="101">
        <f>S299*T372</f>
        <v>189196.85933999997</v>
      </c>
      <c r="AA372" s="101">
        <v>734</v>
      </c>
      <c r="AB372" s="101">
        <v>6119</v>
      </c>
      <c r="AC372" s="101">
        <v>31110</v>
      </c>
      <c r="AD372" s="101">
        <v>332872.76</v>
      </c>
      <c r="AE372" s="101">
        <v>93066.241999999998</v>
      </c>
    </row>
    <row r="373" spans="1:31" ht="11.25" hidden="1" customHeight="1" x14ac:dyDescent="0.3">
      <c r="A373" s="126" t="s">
        <v>175</v>
      </c>
      <c r="B373" s="126">
        <v>16</v>
      </c>
      <c r="C373" s="126">
        <v>71</v>
      </c>
      <c r="D373" s="126" t="str">
        <f t="shared" si="33"/>
        <v>1671</v>
      </c>
      <c r="E373" s="101">
        <v>664.5</v>
      </c>
      <c r="F373" s="101">
        <v>5631.5</v>
      </c>
      <c r="G373" s="101">
        <v>17213</v>
      </c>
      <c r="H373" s="101">
        <v>109962.16</v>
      </c>
      <c r="I373" s="101">
        <v>58631.479999999996</v>
      </c>
      <c r="J373" s="127">
        <v>545</v>
      </c>
      <c r="K373" s="127">
        <v>4693</v>
      </c>
      <c r="L373" s="127">
        <v>15237</v>
      </c>
      <c r="M373" s="127">
        <v>117934</v>
      </c>
      <c r="N373" s="127">
        <v>71044</v>
      </c>
      <c r="O373" s="101">
        <v>588</v>
      </c>
      <c r="P373" s="101">
        <v>5711</v>
      </c>
      <c r="Q373" s="101">
        <v>23570</v>
      </c>
      <c r="R373" s="101">
        <v>249986.99</v>
      </c>
      <c r="S373" s="101">
        <v>135175.83199999999</v>
      </c>
      <c r="T373" s="169">
        <v>0.98</v>
      </c>
      <c r="U373" s="101">
        <f t="shared" si="28"/>
        <v>576.24</v>
      </c>
      <c r="V373" s="101">
        <f t="shared" si="29"/>
        <v>5596.78</v>
      </c>
      <c r="W373" s="101">
        <f t="shared" si="30"/>
        <v>23098.6</v>
      </c>
      <c r="X373" s="101">
        <f t="shared" si="31"/>
        <v>244987.25019999998</v>
      </c>
      <c r="Y373" s="101">
        <f t="shared" si="32"/>
        <v>132472.31535999998</v>
      </c>
      <c r="AA373" s="101">
        <v>315</v>
      </c>
      <c r="AB373" s="101">
        <v>3936</v>
      </c>
      <c r="AC373" s="101">
        <v>14869</v>
      </c>
      <c r="AD373" s="101">
        <v>136624.88</v>
      </c>
      <c r="AE373" s="101">
        <v>83384.682000000001</v>
      </c>
    </row>
    <row r="374" spans="1:31" ht="11.25" hidden="1" customHeight="1" x14ac:dyDescent="0.3">
      <c r="A374" s="126" t="s">
        <v>175</v>
      </c>
      <c r="B374" s="126">
        <v>16</v>
      </c>
      <c r="C374" s="126">
        <v>25</v>
      </c>
      <c r="D374" s="126" t="str">
        <f t="shared" si="33"/>
        <v>1625</v>
      </c>
      <c r="E374" s="101">
        <v>1410</v>
      </c>
      <c r="F374" s="101">
        <v>6104</v>
      </c>
      <c r="G374" s="101">
        <v>44970</v>
      </c>
      <c r="H374" s="101">
        <v>532784.19999999995</v>
      </c>
      <c r="I374" s="101">
        <v>252749.552</v>
      </c>
      <c r="J374" s="127">
        <v>659</v>
      </c>
      <c r="K374" s="127">
        <v>5779</v>
      </c>
      <c r="L374" s="127">
        <v>25591</v>
      </c>
      <c r="M374" s="127">
        <v>423247</v>
      </c>
      <c r="N374" s="127">
        <v>171931</v>
      </c>
      <c r="O374" s="101">
        <v>727</v>
      </c>
      <c r="P374" s="101">
        <v>6471</v>
      </c>
      <c r="Q374" s="101">
        <v>32029</v>
      </c>
      <c r="R374" s="101">
        <v>352938.18</v>
      </c>
      <c r="S374" s="101">
        <v>206654.196</v>
      </c>
      <c r="T374" s="169">
        <v>1.02</v>
      </c>
      <c r="U374" s="101">
        <f t="shared" si="28"/>
        <v>741.54</v>
      </c>
      <c r="V374" s="101">
        <f t="shared" si="29"/>
        <v>6600.42</v>
      </c>
      <c r="W374" s="101">
        <f t="shared" si="30"/>
        <v>32669.58</v>
      </c>
      <c r="X374" s="101">
        <f t="shared" si="31"/>
        <v>359996.9436</v>
      </c>
      <c r="Y374" s="101">
        <f t="shared" si="32"/>
        <v>210787.27992</v>
      </c>
      <c r="AA374" s="101">
        <v>543</v>
      </c>
      <c r="AB374" s="101">
        <v>4766</v>
      </c>
      <c r="AC374" s="101">
        <v>26469</v>
      </c>
      <c r="AD374" s="101">
        <v>228376.33</v>
      </c>
      <c r="AE374" s="101">
        <v>133466.446</v>
      </c>
    </row>
    <row r="375" spans="1:31" ht="11.25" hidden="1" customHeight="1" x14ac:dyDescent="0.3">
      <c r="A375" s="126" t="s">
        <v>175</v>
      </c>
      <c r="B375" s="126">
        <v>16</v>
      </c>
      <c r="C375" s="126">
        <v>14</v>
      </c>
      <c r="D375" s="126" t="str">
        <f t="shared" si="33"/>
        <v>1614</v>
      </c>
      <c r="J375" s="127">
        <v>7</v>
      </c>
      <c r="K375" s="127">
        <v>22</v>
      </c>
      <c r="L375" s="127">
        <v>27</v>
      </c>
      <c r="M375" s="127">
        <v>1790</v>
      </c>
      <c r="N375" s="127">
        <v>213</v>
      </c>
      <c r="O375" s="101">
        <v>48</v>
      </c>
      <c r="P375" s="101">
        <v>77</v>
      </c>
      <c r="Q375" s="101">
        <v>125</v>
      </c>
      <c r="R375" s="101">
        <v>6457.16</v>
      </c>
      <c r="S375" s="101">
        <v>791.21799999999996</v>
      </c>
      <c r="T375" s="169">
        <v>1.02</v>
      </c>
      <c r="U375" s="101">
        <f t="shared" si="28"/>
        <v>48.96</v>
      </c>
      <c r="V375" s="101">
        <f t="shared" si="29"/>
        <v>78.540000000000006</v>
      </c>
      <c r="W375" s="101">
        <f t="shared" si="30"/>
        <v>127.5</v>
      </c>
      <c r="X375" s="101">
        <f t="shared" si="31"/>
        <v>6586.3032000000003</v>
      </c>
      <c r="Y375" s="101">
        <f t="shared" si="32"/>
        <v>807.04236000000003</v>
      </c>
      <c r="AA375" s="101">
        <v>118</v>
      </c>
      <c r="AB375" s="101">
        <v>152</v>
      </c>
      <c r="AC375" s="101">
        <v>202</v>
      </c>
      <c r="AD375" s="101">
        <v>7727.94</v>
      </c>
      <c r="AE375" s="101">
        <v>1540.5060000000001</v>
      </c>
    </row>
    <row r="376" spans="1:31" ht="11.25" hidden="1" customHeight="1" x14ac:dyDescent="0.3">
      <c r="A376" s="126" t="s">
        <v>175</v>
      </c>
      <c r="B376" s="126">
        <v>16</v>
      </c>
      <c r="C376" s="126">
        <v>22</v>
      </c>
      <c r="D376" s="126" t="str">
        <f t="shared" si="33"/>
        <v>1622</v>
      </c>
      <c r="J376" s="127">
        <v>9</v>
      </c>
      <c r="K376" s="127">
        <v>49</v>
      </c>
      <c r="L376" s="127">
        <v>473</v>
      </c>
      <c r="M376" s="127">
        <v>11814</v>
      </c>
      <c r="N376" s="127">
        <v>4173</v>
      </c>
      <c r="O376" s="101">
        <v>6</v>
      </c>
      <c r="P376" s="101">
        <v>17</v>
      </c>
      <c r="Q376" s="101">
        <v>154</v>
      </c>
      <c r="R376" s="101">
        <v>6689.62</v>
      </c>
      <c r="S376" s="101">
        <v>1892.4179999999999</v>
      </c>
      <c r="T376" s="169">
        <v>1.02</v>
      </c>
      <c r="U376" s="101">
        <f t="shared" si="28"/>
        <v>6.12</v>
      </c>
      <c r="V376" s="101">
        <f t="shared" si="29"/>
        <v>17.34</v>
      </c>
      <c r="W376" s="101">
        <f t="shared" si="30"/>
        <v>157.08000000000001</v>
      </c>
      <c r="X376" s="101">
        <f t="shared" si="31"/>
        <v>6823.4124000000002</v>
      </c>
      <c r="Y376" s="101">
        <f t="shared" si="32"/>
        <v>1930.2663599999998</v>
      </c>
      <c r="AA376" s="101">
        <v>81</v>
      </c>
      <c r="AB376" s="101">
        <v>81</v>
      </c>
      <c r="AC376" s="101">
        <v>539</v>
      </c>
      <c r="AD376" s="101">
        <v>27622.84</v>
      </c>
      <c r="AE376" s="101">
        <v>20138.471000000001</v>
      </c>
    </row>
    <row r="377" spans="1:31" ht="11.25" hidden="1" customHeight="1" x14ac:dyDescent="0.3">
      <c r="A377" s="126" t="s">
        <v>175</v>
      </c>
      <c r="B377" s="126">
        <v>16</v>
      </c>
      <c r="C377" s="126">
        <v>26</v>
      </c>
      <c r="D377" s="126" t="str">
        <f t="shared" si="33"/>
        <v>1626</v>
      </c>
      <c r="J377" s="127">
        <v>15</v>
      </c>
      <c r="K377" s="127">
        <v>66</v>
      </c>
      <c r="L377" s="127">
        <v>1031</v>
      </c>
      <c r="M377" s="127">
        <v>18067</v>
      </c>
      <c r="N377" s="127">
        <v>9268</v>
      </c>
      <c r="O377" s="101">
        <v>7</v>
      </c>
      <c r="P377" s="101">
        <v>11</v>
      </c>
      <c r="Q377" s="101">
        <v>152</v>
      </c>
      <c r="R377" s="101">
        <v>8154.48</v>
      </c>
      <c r="S377" s="101">
        <v>4923.0709999999999</v>
      </c>
      <c r="T377" s="169">
        <v>1.02</v>
      </c>
      <c r="U377" s="101">
        <f t="shared" si="28"/>
        <v>7.1400000000000006</v>
      </c>
      <c r="V377" s="101">
        <f t="shared" si="29"/>
        <v>11.22</v>
      </c>
      <c r="W377" s="101">
        <f t="shared" si="30"/>
        <v>155.04</v>
      </c>
      <c r="X377" s="101">
        <f t="shared" si="31"/>
        <v>8317.5695999999989</v>
      </c>
      <c r="Y377" s="101">
        <f t="shared" si="32"/>
        <v>5021.5324199999995</v>
      </c>
      <c r="AA377" s="101">
        <v>0</v>
      </c>
      <c r="AB377" s="101">
        <v>0</v>
      </c>
      <c r="AC377" s="101">
        <v>0</v>
      </c>
      <c r="AD377" s="101">
        <v>0</v>
      </c>
      <c r="AE377" s="101">
        <v>0</v>
      </c>
    </row>
    <row r="378" spans="1:31" ht="11.25" hidden="1" customHeight="1" x14ac:dyDescent="0.3">
      <c r="A378" s="126" t="s">
        <v>175</v>
      </c>
      <c r="B378" s="126">
        <v>16</v>
      </c>
      <c r="C378" s="126">
        <v>32</v>
      </c>
      <c r="D378" s="126" t="str">
        <f t="shared" si="33"/>
        <v>1632</v>
      </c>
      <c r="J378" s="127">
        <v>31</v>
      </c>
      <c r="K378" s="127">
        <v>46</v>
      </c>
      <c r="L378" s="127">
        <v>1390</v>
      </c>
      <c r="M378" s="127">
        <v>45078</v>
      </c>
      <c r="N378" s="127">
        <v>20443</v>
      </c>
      <c r="O378" s="101">
        <v>77</v>
      </c>
      <c r="P378" s="101">
        <v>106</v>
      </c>
      <c r="Q378" s="101">
        <v>3086</v>
      </c>
      <c r="R378" s="101">
        <v>49107.5</v>
      </c>
      <c r="S378" s="101">
        <v>101740.751</v>
      </c>
      <c r="T378" s="169">
        <v>1.02</v>
      </c>
      <c r="U378" s="101">
        <f t="shared" si="28"/>
        <v>78.540000000000006</v>
      </c>
      <c r="V378" s="101">
        <f t="shared" si="29"/>
        <v>108.12</v>
      </c>
      <c r="W378" s="101">
        <f t="shared" si="30"/>
        <v>3147.7200000000003</v>
      </c>
      <c r="X378" s="101">
        <f t="shared" si="31"/>
        <v>50089.65</v>
      </c>
      <c r="Y378" s="101">
        <f t="shared" si="32"/>
        <v>103775.56602000001</v>
      </c>
      <c r="AA378" s="101">
        <v>24</v>
      </c>
      <c r="AB378" s="101">
        <v>57</v>
      </c>
      <c r="AC378" s="101">
        <v>837</v>
      </c>
      <c r="AD378" s="101">
        <v>12635.75</v>
      </c>
      <c r="AE378" s="101">
        <v>5292.06</v>
      </c>
    </row>
    <row r="379" spans="1:31" ht="11.25" hidden="1" customHeight="1" x14ac:dyDescent="0.3">
      <c r="A379" s="126" t="s">
        <v>175</v>
      </c>
      <c r="B379" s="126">
        <v>16</v>
      </c>
      <c r="C379" s="126">
        <v>43</v>
      </c>
      <c r="D379" s="126" t="str">
        <f t="shared" si="33"/>
        <v>1643</v>
      </c>
      <c r="J379" s="127">
        <v>0</v>
      </c>
      <c r="K379" s="127">
        <v>0</v>
      </c>
      <c r="L379" s="127">
        <v>0</v>
      </c>
      <c r="M379" s="127">
        <v>0</v>
      </c>
      <c r="N379" s="127">
        <v>0</v>
      </c>
      <c r="O379" s="101">
        <v>0</v>
      </c>
      <c r="P379" s="101">
        <v>0</v>
      </c>
      <c r="Q379" s="101">
        <v>0</v>
      </c>
      <c r="R379" s="101">
        <v>0</v>
      </c>
      <c r="S379" s="101">
        <v>0</v>
      </c>
      <c r="T379" s="169">
        <v>1.02</v>
      </c>
      <c r="U379" s="101">
        <f t="shared" si="28"/>
        <v>0</v>
      </c>
      <c r="V379" s="101">
        <f t="shared" si="29"/>
        <v>0</v>
      </c>
      <c r="W379" s="101">
        <f t="shared" si="30"/>
        <v>0</v>
      </c>
      <c r="X379" s="101">
        <f t="shared" si="31"/>
        <v>0</v>
      </c>
      <c r="Y379" s="101">
        <f t="shared" si="32"/>
        <v>0</v>
      </c>
      <c r="AA379" s="101">
        <v>0</v>
      </c>
      <c r="AB379" s="101">
        <v>0</v>
      </c>
      <c r="AC379" s="101">
        <v>0</v>
      </c>
      <c r="AD379" s="101">
        <v>0</v>
      </c>
      <c r="AE379" s="101">
        <v>0</v>
      </c>
    </row>
    <row r="380" spans="1:31" ht="11.25" hidden="1" customHeight="1" x14ac:dyDescent="0.3">
      <c r="A380" s="126" t="s">
        <v>175</v>
      </c>
      <c r="B380" s="126">
        <v>16</v>
      </c>
      <c r="C380" s="126">
        <v>44</v>
      </c>
      <c r="D380" s="126" t="str">
        <f t="shared" si="33"/>
        <v>1644</v>
      </c>
      <c r="J380" s="127">
        <v>0</v>
      </c>
      <c r="K380" s="127">
        <v>0</v>
      </c>
      <c r="L380" s="127">
        <v>0</v>
      </c>
      <c r="M380" s="127">
        <v>0</v>
      </c>
      <c r="N380" s="127">
        <v>0</v>
      </c>
      <c r="O380" s="101">
        <v>0</v>
      </c>
      <c r="P380" s="101">
        <v>0</v>
      </c>
      <c r="Q380" s="101">
        <v>0</v>
      </c>
      <c r="R380" s="101">
        <v>0</v>
      </c>
      <c r="S380" s="101">
        <v>0</v>
      </c>
      <c r="T380" s="169">
        <v>1.02</v>
      </c>
      <c r="U380" s="101">
        <f t="shared" si="28"/>
        <v>0</v>
      </c>
      <c r="V380" s="101">
        <f t="shared" si="29"/>
        <v>0</v>
      </c>
      <c r="W380" s="101">
        <f t="shared" si="30"/>
        <v>0</v>
      </c>
      <c r="X380" s="101">
        <f t="shared" si="31"/>
        <v>0</v>
      </c>
      <c r="Y380" s="101">
        <f t="shared" si="32"/>
        <v>0</v>
      </c>
      <c r="AA380" s="101">
        <v>0</v>
      </c>
      <c r="AB380" s="101">
        <v>0</v>
      </c>
      <c r="AC380" s="101">
        <v>0</v>
      </c>
      <c r="AD380" s="101">
        <v>0</v>
      </c>
      <c r="AE380" s="101">
        <v>0</v>
      </c>
    </row>
    <row r="381" spans="1:31" ht="11.25" hidden="1" customHeight="1" x14ac:dyDescent="0.3">
      <c r="A381" s="126" t="s">
        <v>175</v>
      </c>
      <c r="B381" s="126">
        <v>16</v>
      </c>
      <c r="C381" s="126">
        <v>45</v>
      </c>
      <c r="D381" s="126" t="str">
        <f t="shared" si="33"/>
        <v>1645</v>
      </c>
      <c r="J381" s="127">
        <v>0</v>
      </c>
      <c r="K381" s="127">
        <v>0</v>
      </c>
      <c r="L381" s="127">
        <v>0</v>
      </c>
      <c r="M381" s="127">
        <v>0</v>
      </c>
      <c r="N381" s="127">
        <v>0</v>
      </c>
      <c r="O381" s="101">
        <v>0</v>
      </c>
      <c r="P381" s="101">
        <v>0</v>
      </c>
      <c r="Q381" s="101">
        <v>0</v>
      </c>
      <c r="R381" s="101">
        <v>0</v>
      </c>
      <c r="S381" s="101">
        <v>0</v>
      </c>
      <c r="T381" s="169">
        <v>1.02</v>
      </c>
      <c r="U381" s="101">
        <f t="shared" si="28"/>
        <v>0</v>
      </c>
      <c r="V381" s="101">
        <f t="shared" si="29"/>
        <v>0</v>
      </c>
      <c r="W381" s="101">
        <f t="shared" si="30"/>
        <v>0</v>
      </c>
      <c r="X381" s="101">
        <f t="shared" si="31"/>
        <v>0</v>
      </c>
      <c r="Y381" s="101">
        <f t="shared" si="32"/>
        <v>0</v>
      </c>
      <c r="AA381" s="101">
        <v>0</v>
      </c>
      <c r="AB381" s="101">
        <v>0</v>
      </c>
      <c r="AC381" s="101">
        <v>0</v>
      </c>
      <c r="AD381" s="101">
        <v>0</v>
      </c>
      <c r="AE381" s="101">
        <v>0</v>
      </c>
    </row>
    <row r="382" spans="1:31" ht="11.25" hidden="1" customHeight="1" x14ac:dyDescent="0.3">
      <c r="A382" s="126" t="s">
        <v>175</v>
      </c>
      <c r="B382" s="126">
        <v>16</v>
      </c>
      <c r="C382" s="126">
        <v>48</v>
      </c>
      <c r="D382" s="126" t="str">
        <f t="shared" si="33"/>
        <v>1648</v>
      </c>
      <c r="J382" s="127">
        <v>1</v>
      </c>
      <c r="K382" s="127">
        <v>1</v>
      </c>
      <c r="L382" s="127">
        <v>60</v>
      </c>
      <c r="M382" s="127">
        <v>671</v>
      </c>
      <c r="N382" s="127">
        <v>447</v>
      </c>
      <c r="O382" s="101">
        <v>0</v>
      </c>
      <c r="P382" s="101">
        <v>0</v>
      </c>
      <c r="Q382" s="101">
        <v>0</v>
      </c>
      <c r="R382" s="101">
        <v>0</v>
      </c>
      <c r="S382" s="101">
        <v>0</v>
      </c>
      <c r="T382" s="169">
        <v>1.02</v>
      </c>
      <c r="U382" s="101">
        <f t="shared" si="28"/>
        <v>0</v>
      </c>
      <c r="V382" s="101">
        <f t="shared" si="29"/>
        <v>0</v>
      </c>
      <c r="W382" s="101">
        <f t="shared" si="30"/>
        <v>0</v>
      </c>
      <c r="X382" s="101">
        <f t="shared" si="31"/>
        <v>0</v>
      </c>
      <c r="Y382" s="101">
        <f t="shared" si="32"/>
        <v>0</v>
      </c>
      <c r="AA382" s="101">
        <v>0</v>
      </c>
      <c r="AB382" s="101">
        <v>0</v>
      </c>
      <c r="AC382" s="101">
        <v>0</v>
      </c>
      <c r="AD382" s="101">
        <v>0</v>
      </c>
      <c r="AE382" s="101">
        <v>0</v>
      </c>
    </row>
    <row r="383" spans="1:31" ht="11.25" hidden="1" customHeight="1" x14ac:dyDescent="0.3">
      <c r="A383" s="126" t="s">
        <v>175</v>
      </c>
      <c r="B383" s="126">
        <v>16</v>
      </c>
      <c r="C383" s="126">
        <v>91</v>
      </c>
      <c r="D383" s="126" t="str">
        <f t="shared" si="33"/>
        <v>1691</v>
      </c>
      <c r="J383" s="127">
        <v>32</v>
      </c>
      <c r="K383" s="127">
        <v>318</v>
      </c>
      <c r="L383" s="127">
        <v>3463</v>
      </c>
      <c r="M383" s="127">
        <v>5529</v>
      </c>
      <c r="N383" s="127">
        <v>2395</v>
      </c>
      <c r="O383" s="101">
        <v>65</v>
      </c>
      <c r="P383" s="101">
        <v>446</v>
      </c>
      <c r="Q383" s="101">
        <v>2169</v>
      </c>
      <c r="R383" s="101">
        <v>9338.98</v>
      </c>
      <c r="S383" s="101">
        <v>6561.3990000000003</v>
      </c>
      <c r="T383" s="169">
        <v>1.02</v>
      </c>
      <c r="U383" s="101">
        <f t="shared" si="28"/>
        <v>66.3</v>
      </c>
      <c r="V383" s="101">
        <f t="shared" si="29"/>
        <v>454.92</v>
      </c>
      <c r="W383" s="101">
        <f t="shared" si="30"/>
        <v>2212.38</v>
      </c>
      <c r="X383" s="101">
        <f t="shared" si="31"/>
        <v>9525.7595999999994</v>
      </c>
      <c r="Y383" s="101">
        <f t="shared" si="32"/>
        <v>6692.6269800000009</v>
      </c>
      <c r="AA383" s="101">
        <v>85</v>
      </c>
      <c r="AB383" s="101">
        <v>247</v>
      </c>
      <c r="AC383" s="101">
        <v>708</v>
      </c>
      <c r="AD383" s="101">
        <v>6130.76</v>
      </c>
      <c r="AE383" s="101">
        <v>2690.8310000000001</v>
      </c>
    </row>
    <row r="384" spans="1:31" ht="11.25" hidden="1" customHeight="1" x14ac:dyDescent="0.3">
      <c r="A384" s="126" t="s">
        <v>175</v>
      </c>
      <c r="B384" s="126">
        <v>16</v>
      </c>
      <c r="C384" s="126">
        <v>27</v>
      </c>
      <c r="D384" s="126" t="str">
        <f t="shared" si="33"/>
        <v>1627</v>
      </c>
      <c r="E384" s="101">
        <v>100</v>
      </c>
      <c r="F384" s="101">
        <v>1471</v>
      </c>
      <c r="G384" s="101">
        <v>5859</v>
      </c>
      <c r="H384" s="101">
        <v>71568.98</v>
      </c>
      <c r="I384" s="101">
        <v>26865.556000000004</v>
      </c>
      <c r="J384" s="127">
        <v>48</v>
      </c>
      <c r="K384" s="127">
        <v>1677</v>
      </c>
      <c r="L384" s="127">
        <v>8744</v>
      </c>
      <c r="M384" s="127">
        <v>83827</v>
      </c>
      <c r="N384" s="127">
        <v>24017</v>
      </c>
      <c r="O384" s="101">
        <v>90</v>
      </c>
      <c r="P384" s="101">
        <v>2172</v>
      </c>
      <c r="Q384" s="101">
        <v>13223</v>
      </c>
      <c r="R384" s="101">
        <v>122542.06</v>
      </c>
      <c r="S384" s="101">
        <v>49576.463000000003</v>
      </c>
      <c r="T384" s="169">
        <v>1.02</v>
      </c>
      <c r="U384" s="101">
        <f t="shared" si="28"/>
        <v>91.8</v>
      </c>
      <c r="V384" s="101">
        <f t="shared" si="29"/>
        <v>2215.44</v>
      </c>
      <c r="W384" s="101">
        <f t="shared" si="30"/>
        <v>13487.460000000001</v>
      </c>
      <c r="X384" s="101">
        <f t="shared" si="31"/>
        <v>124992.90119999999</v>
      </c>
      <c r="Y384" s="101">
        <f t="shared" si="32"/>
        <v>50567.992260000006</v>
      </c>
      <c r="AA384" s="101">
        <v>58</v>
      </c>
      <c r="AB384" s="101">
        <v>1171</v>
      </c>
      <c r="AC384" s="101">
        <v>9772</v>
      </c>
      <c r="AD384" s="101">
        <v>80964.84</v>
      </c>
      <c r="AE384" s="101">
        <v>41827.228999999999</v>
      </c>
    </row>
    <row r="385" spans="1:31" ht="11.25" hidden="1" customHeight="1" x14ac:dyDescent="0.3">
      <c r="A385" s="126" t="s">
        <v>175</v>
      </c>
      <c r="B385" s="126">
        <v>16</v>
      </c>
      <c r="C385" s="126">
        <v>41</v>
      </c>
      <c r="D385" s="126" t="str">
        <f t="shared" si="33"/>
        <v>1641</v>
      </c>
      <c r="J385" s="127"/>
      <c r="K385" s="127"/>
      <c r="L385" s="127"/>
      <c r="M385" s="127"/>
      <c r="N385" s="127"/>
      <c r="O385" s="101">
        <v>4</v>
      </c>
      <c r="P385" s="101">
        <v>7</v>
      </c>
      <c r="Q385" s="101">
        <v>15</v>
      </c>
      <c r="R385" s="101">
        <v>258.97000000000003</v>
      </c>
      <c r="S385" s="101">
        <v>93.191000000000003</v>
      </c>
      <c r="T385" s="169">
        <v>1.02</v>
      </c>
      <c r="U385" s="101">
        <f t="shared" si="28"/>
        <v>4.08</v>
      </c>
      <c r="V385" s="101">
        <f t="shared" si="29"/>
        <v>7.1400000000000006</v>
      </c>
      <c r="W385" s="101">
        <f t="shared" si="30"/>
        <v>15.3</v>
      </c>
      <c r="X385" s="101">
        <f t="shared" si="31"/>
        <v>264.14940000000001</v>
      </c>
      <c r="Y385" s="101">
        <f t="shared" si="32"/>
        <v>95.054820000000007</v>
      </c>
      <c r="AA385" s="101">
        <v>1</v>
      </c>
      <c r="AB385" s="101">
        <v>1</v>
      </c>
      <c r="AC385" s="101">
        <v>1</v>
      </c>
      <c r="AD385" s="101">
        <v>0</v>
      </c>
      <c r="AE385" s="101">
        <v>7.9560000000000004</v>
      </c>
    </row>
    <row r="386" spans="1:31" ht="11.25" hidden="1" customHeight="1" x14ac:dyDescent="0.3">
      <c r="A386" s="126" t="s">
        <v>175</v>
      </c>
      <c r="B386" s="126">
        <v>16</v>
      </c>
      <c r="C386" s="126">
        <v>34</v>
      </c>
      <c r="D386" s="126" t="str">
        <f t="shared" si="33"/>
        <v>1634</v>
      </c>
      <c r="J386" s="127"/>
      <c r="K386" s="127"/>
      <c r="L386" s="127"/>
      <c r="M386" s="127"/>
      <c r="N386" s="127"/>
      <c r="O386" s="101">
        <v>1</v>
      </c>
      <c r="P386" s="101">
        <v>1</v>
      </c>
      <c r="Q386" s="101">
        <v>1</v>
      </c>
      <c r="R386" s="101">
        <v>0</v>
      </c>
      <c r="S386" s="101">
        <v>18.143999999999998</v>
      </c>
      <c r="T386" s="169">
        <v>1.02</v>
      </c>
      <c r="U386" s="101">
        <f t="shared" si="28"/>
        <v>1.02</v>
      </c>
      <c r="V386" s="101">
        <f t="shared" si="29"/>
        <v>1.02</v>
      </c>
      <c r="W386" s="101">
        <f t="shared" si="30"/>
        <v>1.02</v>
      </c>
      <c r="X386" s="101">
        <f t="shared" si="31"/>
        <v>0</v>
      </c>
      <c r="Y386" s="101">
        <f t="shared" si="32"/>
        <v>18.506879999999999</v>
      </c>
      <c r="AA386" s="101">
        <v>0</v>
      </c>
      <c r="AB386" s="101">
        <v>0</v>
      </c>
      <c r="AC386" s="101">
        <v>0</v>
      </c>
      <c r="AD386" s="101">
        <v>0</v>
      </c>
      <c r="AE386" s="101">
        <v>0</v>
      </c>
    </row>
    <row r="387" spans="1:31" ht="11.25" customHeight="1" x14ac:dyDescent="0.3">
      <c r="A387" s="126" t="s">
        <v>175</v>
      </c>
      <c r="B387" s="126">
        <v>16</v>
      </c>
      <c r="C387" s="126" t="s">
        <v>172</v>
      </c>
      <c r="D387" s="126" t="str">
        <f t="shared" si="33"/>
        <v>16Uml</v>
      </c>
      <c r="J387" s="127">
        <v>99</v>
      </c>
      <c r="K387" s="127">
        <v>99</v>
      </c>
      <c r="L387" s="127">
        <v>43924</v>
      </c>
      <c r="M387" s="127"/>
      <c r="N387" s="127">
        <v>406666</v>
      </c>
      <c r="O387" s="101">
        <v>279</v>
      </c>
      <c r="P387" s="101">
        <v>286</v>
      </c>
      <c r="Q387" s="101">
        <v>71058</v>
      </c>
      <c r="S387" s="101">
        <v>252535</v>
      </c>
      <c r="T387" s="169">
        <v>1.02</v>
      </c>
      <c r="U387" s="101">
        <f t="shared" si="28"/>
        <v>284.58</v>
      </c>
      <c r="V387" s="101">
        <f t="shared" si="29"/>
        <v>291.72000000000003</v>
      </c>
      <c r="W387" s="101">
        <f t="shared" si="30"/>
        <v>72479.16</v>
      </c>
      <c r="X387" s="101">
        <f t="shared" si="31"/>
        <v>0</v>
      </c>
      <c r="Y387" s="101">
        <f t="shared" si="32"/>
        <v>257585.7</v>
      </c>
      <c r="AA387" s="101">
        <v>318</v>
      </c>
      <c r="AB387" s="101">
        <v>324</v>
      </c>
      <c r="AC387" s="101">
        <v>66383</v>
      </c>
      <c r="AE387" s="101">
        <v>649211.08900000004</v>
      </c>
    </row>
    <row r="388" spans="1:31" ht="11.25" hidden="1" customHeight="1" x14ac:dyDescent="0.3">
      <c r="A388" s="126" t="s">
        <v>175</v>
      </c>
      <c r="B388" s="126">
        <v>16</v>
      </c>
      <c r="C388" s="126">
        <v>37</v>
      </c>
      <c r="D388" s="126" t="str">
        <f t="shared" si="33"/>
        <v>1637</v>
      </c>
      <c r="E388" s="101">
        <v>15.25</v>
      </c>
      <c r="F388" s="101">
        <v>26</v>
      </c>
      <c r="G388" s="101">
        <v>956.25</v>
      </c>
      <c r="H388" s="101">
        <v>2223.2249999999999</v>
      </c>
      <c r="I388" s="101">
        <v>1105.94975</v>
      </c>
      <c r="J388" s="127">
        <v>19</v>
      </c>
      <c r="K388" s="127">
        <v>128</v>
      </c>
      <c r="L388" s="127">
        <v>6133</v>
      </c>
      <c r="M388" s="127">
        <v>21284</v>
      </c>
      <c r="N388" s="127">
        <v>8561</v>
      </c>
      <c r="O388" s="101">
        <v>42</v>
      </c>
      <c r="P388" s="101">
        <v>137</v>
      </c>
      <c r="Q388" s="101">
        <v>4119</v>
      </c>
      <c r="R388" s="101">
        <v>24250.71</v>
      </c>
      <c r="S388" s="101">
        <v>11001.43</v>
      </c>
      <c r="T388" s="169">
        <v>1.02</v>
      </c>
      <c r="U388" s="101">
        <f t="shared" si="28"/>
        <v>42.84</v>
      </c>
      <c r="V388" s="101">
        <f t="shared" si="29"/>
        <v>139.74</v>
      </c>
      <c r="W388" s="101">
        <f t="shared" si="30"/>
        <v>4201.38</v>
      </c>
      <c r="X388" s="101">
        <f t="shared" si="31"/>
        <v>24735.724200000001</v>
      </c>
      <c r="Y388" s="101">
        <f t="shared" si="32"/>
        <v>11221.4586</v>
      </c>
      <c r="AA388" s="101">
        <v>29</v>
      </c>
      <c r="AB388" s="101">
        <v>195</v>
      </c>
      <c r="AC388" s="101">
        <v>6212</v>
      </c>
      <c r="AD388" s="101">
        <v>51056.29</v>
      </c>
      <c r="AE388" s="101">
        <v>25651.435000000001</v>
      </c>
    </row>
    <row r="389" spans="1:31" ht="11.25" hidden="1" customHeight="1" x14ac:dyDescent="0.3">
      <c r="A389" s="126" t="s">
        <v>175</v>
      </c>
      <c r="B389" s="126">
        <v>17</v>
      </c>
      <c r="C389" s="126">
        <v>12</v>
      </c>
      <c r="D389" s="126" t="str">
        <f t="shared" si="33"/>
        <v>1712</v>
      </c>
      <c r="E389" s="101">
        <v>51</v>
      </c>
      <c r="F389" s="101">
        <v>70</v>
      </c>
      <c r="G389" s="101">
        <v>115</v>
      </c>
      <c r="H389" s="101">
        <v>1797.2800000000002</v>
      </c>
      <c r="I389" s="101">
        <v>502.21199999999999</v>
      </c>
      <c r="J389" s="101">
        <v>33</v>
      </c>
      <c r="K389" s="101">
        <v>49</v>
      </c>
      <c r="L389" s="101">
        <v>61</v>
      </c>
      <c r="M389" s="101">
        <v>1176</v>
      </c>
      <c r="N389" s="101">
        <v>345</v>
      </c>
      <c r="O389" s="101">
        <v>10</v>
      </c>
      <c r="P389" s="101">
        <v>13</v>
      </c>
      <c r="Q389" s="101">
        <v>14</v>
      </c>
      <c r="R389" s="101">
        <v>218.83</v>
      </c>
      <c r="S389" s="101">
        <v>51.957999999999998</v>
      </c>
      <c r="T389" s="169">
        <v>1.02</v>
      </c>
      <c r="U389" s="101">
        <f t="shared" si="28"/>
        <v>10.199999999999999</v>
      </c>
      <c r="V389" s="101">
        <f t="shared" si="29"/>
        <v>13.26</v>
      </c>
      <c r="W389" s="101">
        <f t="shared" si="30"/>
        <v>14.280000000000001</v>
      </c>
      <c r="X389" s="101">
        <f t="shared" si="31"/>
        <v>223.20660000000001</v>
      </c>
      <c r="Y389" s="101">
        <f t="shared" si="32"/>
        <v>52.997160000000001</v>
      </c>
      <c r="AA389" s="101">
        <v>11</v>
      </c>
      <c r="AB389" s="101">
        <v>14</v>
      </c>
      <c r="AC389" s="101">
        <v>15</v>
      </c>
      <c r="AD389" s="101">
        <v>313.87</v>
      </c>
      <c r="AE389" s="101">
        <v>65.084999999999994</v>
      </c>
    </row>
    <row r="390" spans="1:31" ht="11.25" hidden="1" customHeight="1" x14ac:dyDescent="0.3">
      <c r="A390" s="126" t="s">
        <v>175</v>
      </c>
      <c r="B390" s="126">
        <v>17</v>
      </c>
      <c r="C390" s="126">
        <v>17</v>
      </c>
      <c r="D390" s="126" t="str">
        <f t="shared" si="33"/>
        <v>1717</v>
      </c>
      <c r="E390" s="101">
        <v>2829</v>
      </c>
      <c r="F390" s="101">
        <v>3803</v>
      </c>
      <c r="G390" s="101">
        <v>5245</v>
      </c>
      <c r="H390" s="101">
        <v>163038.54999999999</v>
      </c>
      <c r="I390" s="101">
        <v>30268.203000000001</v>
      </c>
      <c r="J390" s="101">
        <v>1076</v>
      </c>
      <c r="K390" s="101">
        <v>1854</v>
      </c>
      <c r="L390" s="101">
        <v>2852</v>
      </c>
      <c r="M390" s="101">
        <v>76676</v>
      </c>
      <c r="N390" s="101">
        <v>11318</v>
      </c>
      <c r="O390" s="101">
        <v>927</v>
      </c>
      <c r="P390" s="101">
        <v>1630</v>
      </c>
      <c r="Q390" s="101">
        <v>2274</v>
      </c>
      <c r="R390" s="101">
        <v>65731.320000000007</v>
      </c>
      <c r="S390" s="101">
        <v>12636.767</v>
      </c>
      <c r="T390" s="169">
        <v>1.02</v>
      </c>
      <c r="U390" s="101">
        <v>1375</v>
      </c>
      <c r="V390" s="101">
        <v>2500</v>
      </c>
      <c r="W390" s="101">
        <v>3750</v>
      </c>
      <c r="X390" s="144">
        <f t="shared" ref="X390:X453" si="34">R390*T390</f>
        <v>67045.946400000015</v>
      </c>
      <c r="Y390" s="101">
        <v>20000</v>
      </c>
      <c r="AA390" s="101">
        <v>2484</v>
      </c>
      <c r="AB390" s="101">
        <v>4058</v>
      </c>
      <c r="AC390" s="101">
        <v>5397</v>
      </c>
      <c r="AD390" s="101">
        <v>184988.31</v>
      </c>
      <c r="AE390" s="101">
        <v>35333.29</v>
      </c>
    </row>
    <row r="391" spans="1:31" ht="11.25" hidden="1" customHeight="1" x14ac:dyDescent="0.3">
      <c r="A391" s="126" t="s">
        <v>175</v>
      </c>
      <c r="B391" s="126">
        <v>17</v>
      </c>
      <c r="C391" s="126">
        <v>18</v>
      </c>
      <c r="D391" s="126" t="str">
        <f t="shared" si="33"/>
        <v>1718</v>
      </c>
      <c r="E391" s="101">
        <v>269</v>
      </c>
      <c r="F391" s="101">
        <v>321</v>
      </c>
      <c r="G391" s="101">
        <v>414</v>
      </c>
      <c r="H391" s="101">
        <v>15496.240000000002</v>
      </c>
      <c r="I391" s="101">
        <v>2644.8999999999996</v>
      </c>
      <c r="J391" s="101">
        <v>1799</v>
      </c>
      <c r="K391" s="101">
        <v>1977</v>
      </c>
      <c r="L391" s="101">
        <v>2193</v>
      </c>
      <c r="M391" s="101">
        <v>98415</v>
      </c>
      <c r="N391" s="101">
        <v>18339</v>
      </c>
      <c r="O391" s="101">
        <v>2419</v>
      </c>
      <c r="P391" s="101">
        <v>2569</v>
      </c>
      <c r="Q391" s="101">
        <v>4800</v>
      </c>
      <c r="R391" s="101">
        <v>98598.61</v>
      </c>
      <c r="S391" s="101">
        <v>61115.267999999996</v>
      </c>
      <c r="T391" s="169">
        <v>0.6</v>
      </c>
      <c r="U391" s="101">
        <f t="shared" ref="U391:U454" si="35">O391*T391</f>
        <v>1451.3999999999999</v>
      </c>
      <c r="V391" s="101">
        <f t="shared" ref="V391:V454" si="36">P391*T391</f>
        <v>1541.3999999999999</v>
      </c>
      <c r="W391" s="101">
        <f t="shared" ref="W391:W454" si="37">Q391*T391</f>
        <v>2880</v>
      </c>
      <c r="X391" s="101">
        <f t="shared" si="34"/>
        <v>59159.165999999997</v>
      </c>
      <c r="Y391" s="101">
        <f t="shared" ref="Y391:Y454" si="38">S391*T391</f>
        <v>36669.160799999998</v>
      </c>
      <c r="AA391" s="101">
        <v>1707</v>
      </c>
      <c r="AB391" s="101">
        <v>1885</v>
      </c>
      <c r="AC391" s="101">
        <v>2130</v>
      </c>
      <c r="AD391" s="101">
        <v>98461.87</v>
      </c>
      <c r="AE391" s="101">
        <v>22645.075000000001</v>
      </c>
    </row>
    <row r="392" spans="1:31" ht="11.25" hidden="1" customHeight="1" x14ac:dyDescent="0.3">
      <c r="A392" s="126" t="s">
        <v>175</v>
      </c>
      <c r="B392" s="126">
        <v>17</v>
      </c>
      <c r="C392" s="126">
        <v>28</v>
      </c>
      <c r="D392" s="126" t="str">
        <f t="shared" si="33"/>
        <v>1728</v>
      </c>
      <c r="E392" s="101">
        <v>328</v>
      </c>
      <c r="F392" s="101">
        <v>2497</v>
      </c>
      <c r="G392" s="101">
        <v>25650</v>
      </c>
      <c r="H392" s="101">
        <v>518383.31000000006</v>
      </c>
      <c r="I392" s="101">
        <v>284752.75100000005</v>
      </c>
      <c r="J392" s="101">
        <v>270</v>
      </c>
      <c r="K392" s="101">
        <v>4060</v>
      </c>
      <c r="L392" s="101">
        <v>22362</v>
      </c>
      <c r="M392" s="101">
        <v>310713</v>
      </c>
      <c r="N392" s="101">
        <v>75483</v>
      </c>
      <c r="O392" s="101">
        <v>269</v>
      </c>
      <c r="P392" s="101">
        <v>3588</v>
      </c>
      <c r="Q392" s="101">
        <v>19581</v>
      </c>
      <c r="R392" s="101">
        <v>498814.46</v>
      </c>
      <c r="S392" s="101">
        <v>124279.63800000001</v>
      </c>
      <c r="T392" s="169">
        <v>1.02</v>
      </c>
      <c r="U392" s="101">
        <f t="shared" si="35"/>
        <v>274.38</v>
      </c>
      <c r="V392" s="101">
        <f t="shared" si="36"/>
        <v>3659.76</v>
      </c>
      <c r="W392" s="101">
        <f t="shared" si="37"/>
        <v>19972.62</v>
      </c>
      <c r="X392" s="101">
        <f t="shared" si="34"/>
        <v>508790.74920000002</v>
      </c>
      <c r="Y392" s="101">
        <f t="shared" si="38"/>
        <v>126765.23076000001</v>
      </c>
      <c r="AA392" s="101">
        <v>220</v>
      </c>
      <c r="AB392" s="101">
        <v>5357</v>
      </c>
      <c r="AC392" s="101">
        <v>32181</v>
      </c>
      <c r="AD392" s="101">
        <v>672121.81</v>
      </c>
      <c r="AE392" s="101">
        <v>178299.49100000001</v>
      </c>
    </row>
    <row r="393" spans="1:31" ht="11.25" hidden="1" customHeight="1" x14ac:dyDescent="0.3">
      <c r="A393" s="126" t="s">
        <v>175</v>
      </c>
      <c r="B393" s="126">
        <v>17</v>
      </c>
      <c r="C393" s="126">
        <v>46</v>
      </c>
      <c r="D393" s="126" t="str">
        <f t="shared" si="33"/>
        <v>1746</v>
      </c>
      <c r="E393" s="101">
        <v>298</v>
      </c>
      <c r="F393" s="101">
        <v>586</v>
      </c>
      <c r="G393" s="101">
        <v>12250</v>
      </c>
      <c r="H393" s="101">
        <v>233915.76</v>
      </c>
      <c r="I393" s="101">
        <v>69252.562000000005</v>
      </c>
      <c r="J393" s="101">
        <v>259</v>
      </c>
      <c r="K393" s="101">
        <v>557</v>
      </c>
      <c r="L393" s="101">
        <v>24867</v>
      </c>
      <c r="M393" s="101">
        <v>239696</v>
      </c>
      <c r="N393" s="101">
        <v>56000</v>
      </c>
      <c r="O393" s="101">
        <v>252</v>
      </c>
      <c r="P393" s="101">
        <v>572</v>
      </c>
      <c r="Q393" s="101">
        <v>38113</v>
      </c>
      <c r="R393" s="101">
        <v>419429.98</v>
      </c>
      <c r="S393" s="101">
        <v>115875.726</v>
      </c>
      <c r="T393" s="169">
        <v>1.02</v>
      </c>
      <c r="U393" s="101">
        <f t="shared" si="35"/>
        <v>257.04000000000002</v>
      </c>
      <c r="V393" s="101">
        <f t="shared" si="36"/>
        <v>583.44000000000005</v>
      </c>
      <c r="W393" s="101">
        <f t="shared" si="37"/>
        <v>38875.26</v>
      </c>
      <c r="X393" s="101">
        <f t="shared" si="34"/>
        <v>427818.5796</v>
      </c>
      <c r="Y393" s="101">
        <f t="shared" si="38"/>
        <v>118193.24051999999</v>
      </c>
      <c r="AA393" s="101">
        <v>155</v>
      </c>
      <c r="AB393" s="101">
        <v>340</v>
      </c>
      <c r="AC393" s="101">
        <v>5837</v>
      </c>
      <c r="AD393" s="101">
        <v>120780.81</v>
      </c>
      <c r="AE393" s="101">
        <v>38559.866000000002</v>
      </c>
    </row>
    <row r="394" spans="1:31" ht="11.25" hidden="1" customHeight="1" x14ac:dyDescent="0.3">
      <c r="A394" s="126" t="s">
        <v>175</v>
      </c>
      <c r="B394" s="126">
        <v>17</v>
      </c>
      <c r="C394" s="126">
        <v>48</v>
      </c>
      <c r="D394" s="126" t="str">
        <f t="shared" si="33"/>
        <v>1748</v>
      </c>
      <c r="E394" s="101">
        <v>1</v>
      </c>
      <c r="F394" s="101">
        <v>1</v>
      </c>
      <c r="G394" s="101">
        <v>30</v>
      </c>
      <c r="H394" s="101">
        <v>419.7</v>
      </c>
      <c r="I394" s="101">
        <v>495.93599999999998</v>
      </c>
      <c r="J394" s="101">
        <v>0</v>
      </c>
      <c r="K394" s="101">
        <v>0</v>
      </c>
      <c r="L394" s="101">
        <v>0</v>
      </c>
      <c r="M394" s="101">
        <v>0</v>
      </c>
      <c r="N394" s="101">
        <v>0</v>
      </c>
      <c r="O394" s="101">
        <v>1</v>
      </c>
      <c r="P394" s="101">
        <v>1</v>
      </c>
      <c r="Q394" s="101">
        <v>500</v>
      </c>
      <c r="R394" s="101">
        <v>2230</v>
      </c>
      <c r="S394" s="101">
        <v>633.75</v>
      </c>
      <c r="T394" s="169">
        <v>1.02</v>
      </c>
      <c r="U394" s="101">
        <f t="shared" si="35"/>
        <v>1.02</v>
      </c>
      <c r="V394" s="101">
        <f t="shared" si="36"/>
        <v>1.02</v>
      </c>
      <c r="W394" s="101">
        <f t="shared" si="37"/>
        <v>510</v>
      </c>
      <c r="X394" s="101">
        <f t="shared" si="34"/>
        <v>2274.6</v>
      </c>
      <c r="Y394" s="101">
        <f t="shared" si="38"/>
        <v>646.42499999999995</v>
      </c>
      <c r="AA394" s="101">
        <v>0</v>
      </c>
      <c r="AB394" s="101">
        <v>0</v>
      </c>
      <c r="AC394" s="101">
        <v>0</v>
      </c>
      <c r="AD394" s="101">
        <v>0</v>
      </c>
      <c r="AE394" s="101">
        <v>0</v>
      </c>
    </row>
    <row r="395" spans="1:31" ht="11.25" hidden="1" customHeight="1" x14ac:dyDescent="0.3">
      <c r="A395" s="126" t="s">
        <v>175</v>
      </c>
      <c r="B395" s="126">
        <v>17</v>
      </c>
      <c r="C395" s="126">
        <v>66</v>
      </c>
      <c r="D395" s="126" t="str">
        <f t="shared" si="33"/>
        <v>1766</v>
      </c>
      <c r="E395" s="101">
        <v>552</v>
      </c>
      <c r="F395" s="101">
        <v>1996</v>
      </c>
      <c r="G395" s="101">
        <v>29145</v>
      </c>
      <c r="H395" s="101">
        <v>203388.35</v>
      </c>
      <c r="I395" s="101">
        <v>89055.83</v>
      </c>
      <c r="J395" s="101">
        <v>317</v>
      </c>
      <c r="K395" s="101">
        <v>1580</v>
      </c>
      <c r="L395" s="101">
        <v>27298</v>
      </c>
      <c r="M395" s="101">
        <v>149789</v>
      </c>
      <c r="N395" s="101">
        <v>70800</v>
      </c>
      <c r="O395" s="101">
        <v>156</v>
      </c>
      <c r="P395" s="101">
        <v>1233</v>
      </c>
      <c r="Q395" s="101">
        <v>49481</v>
      </c>
      <c r="R395" s="101">
        <v>298658.71999999997</v>
      </c>
      <c r="S395" s="101">
        <v>171432.601</v>
      </c>
      <c r="T395" s="169">
        <v>1.02</v>
      </c>
      <c r="U395" s="101">
        <f t="shared" si="35"/>
        <v>159.12</v>
      </c>
      <c r="V395" s="101">
        <f t="shared" si="36"/>
        <v>1257.6600000000001</v>
      </c>
      <c r="W395" s="101">
        <f t="shared" si="37"/>
        <v>50470.62</v>
      </c>
      <c r="X395" s="101">
        <f t="shared" si="34"/>
        <v>304631.89439999999</v>
      </c>
      <c r="Y395" s="101">
        <f t="shared" si="38"/>
        <v>174861.25302</v>
      </c>
      <c r="AA395" s="101">
        <v>68</v>
      </c>
      <c r="AB395" s="101">
        <v>1455</v>
      </c>
      <c r="AC395" s="101">
        <v>28187</v>
      </c>
      <c r="AD395" s="101">
        <v>179704.01</v>
      </c>
      <c r="AE395" s="101">
        <v>87474.262000000002</v>
      </c>
    </row>
    <row r="396" spans="1:31" ht="11.25" hidden="1" customHeight="1" x14ac:dyDescent="0.3">
      <c r="A396" s="126" t="s">
        <v>175</v>
      </c>
      <c r="B396" s="126">
        <v>17</v>
      </c>
      <c r="C396" s="126">
        <v>30</v>
      </c>
      <c r="D396" s="126" t="str">
        <f t="shared" si="33"/>
        <v>1730</v>
      </c>
      <c r="E396" s="101">
        <v>313</v>
      </c>
      <c r="F396" s="101">
        <v>3159</v>
      </c>
      <c r="G396" s="101">
        <v>13645.5</v>
      </c>
      <c r="H396" s="101">
        <v>395212.86499999999</v>
      </c>
      <c r="I396" s="101">
        <v>124305.38500000001</v>
      </c>
      <c r="J396" s="101">
        <v>244</v>
      </c>
      <c r="K396" s="101">
        <v>1683</v>
      </c>
      <c r="L396" s="101">
        <v>12471</v>
      </c>
      <c r="M396" s="101">
        <v>237218</v>
      </c>
      <c r="N396" s="101">
        <v>77253</v>
      </c>
      <c r="O396" s="138"/>
      <c r="P396" s="138"/>
      <c r="Q396" s="138"/>
      <c r="R396" s="138"/>
      <c r="S396" s="138"/>
      <c r="T396" s="169">
        <v>1.02</v>
      </c>
      <c r="U396" s="101">
        <f t="shared" si="35"/>
        <v>0</v>
      </c>
      <c r="V396" s="101">
        <f t="shared" si="36"/>
        <v>0</v>
      </c>
      <c r="W396" s="101">
        <f t="shared" si="37"/>
        <v>0</v>
      </c>
      <c r="X396" s="101">
        <f t="shared" si="34"/>
        <v>0</v>
      </c>
      <c r="Y396" s="101">
        <f t="shared" si="38"/>
        <v>0</v>
      </c>
      <c r="AA396" s="101">
        <v>40</v>
      </c>
      <c r="AB396" s="101">
        <v>47</v>
      </c>
      <c r="AC396" s="101">
        <v>430</v>
      </c>
      <c r="AD396" s="101">
        <v>21598.639999999999</v>
      </c>
      <c r="AE396" s="101">
        <v>15056.291999999999</v>
      </c>
    </row>
    <row r="397" spans="1:31" ht="11.25" hidden="1" customHeight="1" x14ac:dyDescent="0.3">
      <c r="A397" s="126" t="s">
        <v>175</v>
      </c>
      <c r="B397" s="126">
        <v>17</v>
      </c>
      <c r="C397" s="126">
        <v>21</v>
      </c>
      <c r="D397" s="126" t="str">
        <f t="shared" si="33"/>
        <v>1721</v>
      </c>
      <c r="E397" s="101">
        <v>1824</v>
      </c>
      <c r="F397" s="101">
        <v>6038.5</v>
      </c>
      <c r="G397" s="101">
        <v>29089</v>
      </c>
      <c r="H397" s="101">
        <v>498226.55</v>
      </c>
      <c r="I397" s="101">
        <v>133383.9975</v>
      </c>
      <c r="J397" s="101">
        <v>1006</v>
      </c>
      <c r="K397" s="101">
        <v>4986</v>
      </c>
      <c r="L397" s="101">
        <v>32793</v>
      </c>
      <c r="M397" s="101">
        <v>367084</v>
      </c>
      <c r="N397" s="101">
        <v>95805</v>
      </c>
      <c r="O397" s="138">
        <v>974</v>
      </c>
      <c r="P397" s="138">
        <v>7715</v>
      </c>
      <c r="Q397" s="138">
        <v>49933</v>
      </c>
      <c r="R397" s="138">
        <v>516193.5</v>
      </c>
      <c r="S397" s="138">
        <v>189533.799</v>
      </c>
      <c r="T397" s="169">
        <v>1.02</v>
      </c>
      <c r="U397" s="101">
        <f>O324*T397</f>
        <v>990.42000000000007</v>
      </c>
      <c r="V397" s="101">
        <f>P324*T397</f>
        <v>7703.04</v>
      </c>
      <c r="W397" s="101">
        <f>Q324*T397</f>
        <v>44018.1</v>
      </c>
      <c r="X397" s="101">
        <f>R324*T397</f>
        <v>598965.34860000003</v>
      </c>
      <c r="Y397" s="101">
        <f>S324*T397</f>
        <v>181335.69996</v>
      </c>
      <c r="AA397" s="101">
        <v>704</v>
      </c>
      <c r="AB397" s="101">
        <v>4917</v>
      </c>
      <c r="AC397" s="101">
        <v>27316</v>
      </c>
      <c r="AD397" s="101">
        <v>498167.82</v>
      </c>
      <c r="AE397" s="101">
        <v>145328.709</v>
      </c>
    </row>
    <row r="398" spans="1:31" ht="11.25" hidden="1" customHeight="1" x14ac:dyDescent="0.3">
      <c r="A398" s="126" t="s">
        <v>175</v>
      </c>
      <c r="B398" s="126">
        <v>17</v>
      </c>
      <c r="C398" s="126">
        <v>71</v>
      </c>
      <c r="D398" s="126" t="str">
        <f t="shared" si="33"/>
        <v>1771</v>
      </c>
      <c r="E398" s="101">
        <v>654</v>
      </c>
      <c r="F398" s="101">
        <v>5644</v>
      </c>
      <c r="G398" s="101">
        <v>14894</v>
      </c>
      <c r="H398" s="101">
        <v>105197.12</v>
      </c>
      <c r="I398" s="101">
        <v>49602.601499999997</v>
      </c>
      <c r="J398" s="101">
        <v>686</v>
      </c>
      <c r="K398" s="101">
        <v>4889</v>
      </c>
      <c r="L398" s="101">
        <v>24676</v>
      </c>
      <c r="M398" s="101">
        <v>140776</v>
      </c>
      <c r="N398" s="101">
        <v>76475</v>
      </c>
      <c r="O398" s="101">
        <v>655</v>
      </c>
      <c r="P398" s="101">
        <v>5382</v>
      </c>
      <c r="Q398" s="101">
        <v>30173</v>
      </c>
      <c r="R398" s="101">
        <v>189719.44</v>
      </c>
      <c r="S398" s="101">
        <v>106362.288</v>
      </c>
      <c r="T398" s="169">
        <v>0.98</v>
      </c>
      <c r="U398" s="101">
        <f t="shared" si="35"/>
        <v>641.9</v>
      </c>
      <c r="V398" s="101">
        <f>P325*T398</f>
        <v>4753.9799999999996</v>
      </c>
      <c r="W398" s="101">
        <f t="shared" si="37"/>
        <v>29569.54</v>
      </c>
      <c r="X398" s="101">
        <f t="shared" si="34"/>
        <v>185925.05119999999</v>
      </c>
      <c r="Y398" s="101">
        <f t="shared" si="38"/>
        <v>104235.04224</v>
      </c>
      <c r="AA398" s="101">
        <v>202</v>
      </c>
      <c r="AB398" s="101">
        <v>4396</v>
      </c>
      <c r="AC398" s="101">
        <v>14331</v>
      </c>
      <c r="AD398" s="101">
        <v>94974.34</v>
      </c>
      <c r="AE398" s="101">
        <v>47513.197</v>
      </c>
    </row>
    <row r="399" spans="1:31" ht="11.25" hidden="1" customHeight="1" x14ac:dyDescent="0.3">
      <c r="A399" s="126" t="s">
        <v>175</v>
      </c>
      <c r="B399" s="126">
        <v>17</v>
      </c>
      <c r="C399" s="126">
        <v>25</v>
      </c>
      <c r="D399" s="126" t="str">
        <f t="shared" si="33"/>
        <v>1725</v>
      </c>
      <c r="E399" s="101">
        <v>1370</v>
      </c>
      <c r="F399" s="101">
        <v>7234</v>
      </c>
      <c r="G399" s="101">
        <v>47318</v>
      </c>
      <c r="H399" s="101">
        <v>453445.14999999997</v>
      </c>
      <c r="I399" s="101">
        <v>190946.867</v>
      </c>
      <c r="J399" s="101">
        <v>698</v>
      </c>
      <c r="K399" s="101">
        <v>6772</v>
      </c>
      <c r="L399" s="101">
        <v>55894</v>
      </c>
      <c r="M399" s="101">
        <v>401068</v>
      </c>
      <c r="N399" s="101">
        <v>147963</v>
      </c>
      <c r="O399" s="101">
        <v>660</v>
      </c>
      <c r="P399" s="101">
        <v>5430</v>
      </c>
      <c r="Q399" s="101">
        <v>30280</v>
      </c>
      <c r="R399" s="101">
        <v>518356.17</v>
      </c>
      <c r="S399" s="101">
        <v>230221.39600000001</v>
      </c>
      <c r="T399" s="169">
        <v>1.02</v>
      </c>
      <c r="U399" s="101">
        <f t="shared" si="35"/>
        <v>673.2</v>
      </c>
      <c r="V399" s="101">
        <f t="shared" si="36"/>
        <v>5538.6</v>
      </c>
      <c r="W399" s="101">
        <f t="shared" si="37"/>
        <v>30885.600000000002</v>
      </c>
      <c r="X399" s="101">
        <f t="shared" si="34"/>
        <v>528723.29339999997</v>
      </c>
      <c r="Y399" s="101">
        <f t="shared" si="38"/>
        <v>234825.82392000002</v>
      </c>
      <c r="AA399" s="101">
        <v>498</v>
      </c>
      <c r="AB399" s="101">
        <v>4614</v>
      </c>
      <c r="AC399" s="101">
        <v>22818</v>
      </c>
      <c r="AD399" s="101">
        <v>232427.53</v>
      </c>
      <c r="AE399" s="101">
        <v>134717.728</v>
      </c>
    </row>
    <row r="400" spans="1:31" ht="11.25" hidden="1" customHeight="1" x14ac:dyDescent="0.3">
      <c r="A400" s="126" t="s">
        <v>175</v>
      </c>
      <c r="B400" s="126">
        <v>17</v>
      </c>
      <c r="C400" s="126">
        <v>14</v>
      </c>
      <c r="D400" s="126" t="str">
        <f t="shared" si="33"/>
        <v>1714</v>
      </c>
      <c r="J400" s="101">
        <v>1</v>
      </c>
      <c r="K400" s="101">
        <v>2</v>
      </c>
      <c r="L400" s="101">
        <v>6</v>
      </c>
      <c r="M400" s="101">
        <v>315</v>
      </c>
      <c r="N400" s="101">
        <v>51</v>
      </c>
      <c r="O400" s="101">
        <v>51</v>
      </c>
      <c r="P400" s="101">
        <v>82</v>
      </c>
      <c r="Q400" s="101">
        <v>131</v>
      </c>
      <c r="R400" s="101">
        <v>7604.94</v>
      </c>
      <c r="S400" s="101">
        <v>1260.114</v>
      </c>
      <c r="T400" s="169">
        <v>1.02</v>
      </c>
      <c r="U400" s="101">
        <f t="shared" si="35"/>
        <v>52.02</v>
      </c>
      <c r="V400" s="101">
        <f t="shared" si="36"/>
        <v>83.64</v>
      </c>
      <c r="W400" s="101">
        <f t="shared" si="37"/>
        <v>133.62</v>
      </c>
      <c r="X400" s="101">
        <f t="shared" si="34"/>
        <v>7757.0387999999994</v>
      </c>
      <c r="Y400" s="101">
        <f t="shared" si="38"/>
        <v>1285.31628</v>
      </c>
      <c r="AA400" s="101">
        <v>149</v>
      </c>
      <c r="AB400" s="101">
        <v>213</v>
      </c>
      <c r="AC400" s="101">
        <v>282</v>
      </c>
      <c r="AD400" s="101">
        <v>13273.53</v>
      </c>
      <c r="AE400" s="101">
        <v>2052.1239999999998</v>
      </c>
    </row>
    <row r="401" spans="1:31" ht="11.25" hidden="1" customHeight="1" x14ac:dyDescent="0.3">
      <c r="A401" s="126" t="s">
        <v>175</v>
      </c>
      <c r="B401" s="126">
        <v>17</v>
      </c>
      <c r="C401" s="126">
        <v>22</v>
      </c>
      <c r="D401" s="126" t="str">
        <f t="shared" si="33"/>
        <v>1722</v>
      </c>
      <c r="J401" s="101">
        <v>8</v>
      </c>
      <c r="K401" s="101">
        <v>8</v>
      </c>
      <c r="L401" s="101">
        <v>43</v>
      </c>
      <c r="M401" s="101">
        <v>750</v>
      </c>
      <c r="N401" s="101">
        <v>286</v>
      </c>
      <c r="O401" s="101">
        <v>6</v>
      </c>
      <c r="P401" s="101">
        <v>6</v>
      </c>
      <c r="Q401" s="101">
        <v>15</v>
      </c>
      <c r="R401" s="101">
        <v>76.58</v>
      </c>
      <c r="S401" s="101">
        <v>85.344999999999999</v>
      </c>
      <c r="T401" s="169">
        <v>1.02</v>
      </c>
      <c r="U401" s="101">
        <f t="shared" si="35"/>
        <v>6.12</v>
      </c>
      <c r="V401" s="101">
        <f t="shared" si="36"/>
        <v>6.12</v>
      </c>
      <c r="W401" s="101">
        <f t="shared" si="37"/>
        <v>15.3</v>
      </c>
      <c r="X401" s="101">
        <f t="shared" si="34"/>
        <v>78.111599999999996</v>
      </c>
      <c r="Y401" s="101">
        <f t="shared" si="38"/>
        <v>87.051900000000003</v>
      </c>
      <c r="AA401" s="101">
        <v>5</v>
      </c>
      <c r="AB401" s="101">
        <v>16</v>
      </c>
      <c r="AC401" s="101">
        <v>78</v>
      </c>
      <c r="AD401" s="101">
        <v>411.5</v>
      </c>
      <c r="AE401" s="101">
        <v>161.06299999999999</v>
      </c>
    </row>
    <row r="402" spans="1:31" ht="11.25" hidden="1" customHeight="1" x14ac:dyDescent="0.3">
      <c r="A402" s="126" t="s">
        <v>175</v>
      </c>
      <c r="B402" s="126">
        <v>17</v>
      </c>
      <c r="C402" s="126">
        <v>26</v>
      </c>
      <c r="D402" s="126" t="str">
        <f t="shared" si="33"/>
        <v>1726</v>
      </c>
      <c r="J402" s="101">
        <v>12</v>
      </c>
      <c r="K402" s="101">
        <v>28</v>
      </c>
      <c r="L402" s="101">
        <v>888</v>
      </c>
      <c r="M402" s="101">
        <v>11556</v>
      </c>
      <c r="N402" s="101">
        <v>9327</v>
      </c>
      <c r="O402" s="101">
        <v>7</v>
      </c>
      <c r="P402" s="101">
        <v>20</v>
      </c>
      <c r="Q402" s="101">
        <v>175</v>
      </c>
      <c r="R402" s="101">
        <v>1009.68</v>
      </c>
      <c r="S402" s="101">
        <v>409.20499999999998</v>
      </c>
      <c r="T402" s="169">
        <v>1.02</v>
      </c>
      <c r="U402" s="101">
        <f t="shared" si="35"/>
        <v>7.1400000000000006</v>
      </c>
      <c r="V402" s="101">
        <f t="shared" si="36"/>
        <v>20.399999999999999</v>
      </c>
      <c r="W402" s="101">
        <f t="shared" si="37"/>
        <v>178.5</v>
      </c>
      <c r="X402" s="101">
        <f t="shared" si="34"/>
        <v>1029.8735999999999</v>
      </c>
      <c r="Y402" s="101">
        <f t="shared" si="38"/>
        <v>417.38909999999998</v>
      </c>
      <c r="AA402" s="101">
        <v>2</v>
      </c>
      <c r="AB402" s="101">
        <v>2</v>
      </c>
      <c r="AC402" s="101">
        <v>25</v>
      </c>
      <c r="AD402" s="101">
        <v>36.479999999999997</v>
      </c>
      <c r="AE402" s="101">
        <v>2.923</v>
      </c>
    </row>
    <row r="403" spans="1:31" ht="11.25" hidden="1" customHeight="1" x14ac:dyDescent="0.3">
      <c r="A403" s="126" t="s">
        <v>175</v>
      </c>
      <c r="B403" s="126">
        <v>17</v>
      </c>
      <c r="C403" s="126">
        <v>32</v>
      </c>
      <c r="D403" s="126" t="str">
        <f t="shared" si="33"/>
        <v>1732</v>
      </c>
      <c r="J403" s="101">
        <v>56</v>
      </c>
      <c r="K403" s="101">
        <v>75</v>
      </c>
      <c r="L403" s="101">
        <v>779</v>
      </c>
      <c r="M403" s="101">
        <v>9386</v>
      </c>
      <c r="N403" s="101">
        <v>3031</v>
      </c>
      <c r="O403" s="101">
        <v>40</v>
      </c>
      <c r="P403" s="101">
        <v>67</v>
      </c>
      <c r="Q403" s="101">
        <v>1386</v>
      </c>
      <c r="R403" s="101">
        <v>49006.04</v>
      </c>
      <c r="S403" s="101">
        <v>8397.7520000000004</v>
      </c>
      <c r="T403" s="169">
        <v>1.02</v>
      </c>
      <c r="U403" s="101">
        <f t="shared" si="35"/>
        <v>40.799999999999997</v>
      </c>
      <c r="V403" s="101">
        <f t="shared" si="36"/>
        <v>68.34</v>
      </c>
      <c r="W403" s="101">
        <f t="shared" si="37"/>
        <v>1413.72</v>
      </c>
      <c r="X403" s="101">
        <f t="shared" si="34"/>
        <v>49986.160800000005</v>
      </c>
      <c r="Y403" s="101">
        <f t="shared" si="38"/>
        <v>8565.7070400000011</v>
      </c>
      <c r="AA403" s="101">
        <v>15</v>
      </c>
      <c r="AB403" s="101">
        <v>30</v>
      </c>
      <c r="AC403" s="101">
        <v>710</v>
      </c>
      <c r="AD403" s="101">
        <v>12875.23</v>
      </c>
      <c r="AE403" s="101">
        <v>22567.37</v>
      </c>
    </row>
    <row r="404" spans="1:31" ht="11.25" hidden="1" customHeight="1" x14ac:dyDescent="0.3">
      <c r="A404" s="126" t="s">
        <v>175</v>
      </c>
      <c r="B404" s="126">
        <v>17</v>
      </c>
      <c r="C404" s="126">
        <v>43</v>
      </c>
      <c r="D404" s="126" t="str">
        <f t="shared" si="33"/>
        <v>1743</v>
      </c>
      <c r="J404" s="101">
        <v>0</v>
      </c>
      <c r="K404" s="101">
        <v>0</v>
      </c>
      <c r="L404" s="101">
        <v>0</v>
      </c>
      <c r="M404" s="101">
        <v>0</v>
      </c>
      <c r="N404" s="101">
        <v>0</v>
      </c>
      <c r="O404" s="101">
        <v>0</v>
      </c>
      <c r="P404" s="101">
        <v>0</v>
      </c>
      <c r="Q404" s="101">
        <v>0</v>
      </c>
      <c r="R404" s="101">
        <v>0</v>
      </c>
      <c r="S404" s="101">
        <v>0</v>
      </c>
      <c r="T404" s="169">
        <v>1.02</v>
      </c>
      <c r="U404" s="101">
        <f t="shared" si="35"/>
        <v>0</v>
      </c>
      <c r="V404" s="101">
        <f t="shared" si="36"/>
        <v>0</v>
      </c>
      <c r="W404" s="101">
        <f t="shared" si="37"/>
        <v>0</v>
      </c>
      <c r="X404" s="101">
        <f t="shared" si="34"/>
        <v>0</v>
      </c>
      <c r="Y404" s="101">
        <f t="shared" si="38"/>
        <v>0</v>
      </c>
      <c r="AA404" s="101">
        <v>0</v>
      </c>
      <c r="AB404" s="101">
        <v>0</v>
      </c>
      <c r="AC404" s="101">
        <v>0</v>
      </c>
      <c r="AD404" s="101">
        <v>0</v>
      </c>
      <c r="AE404" s="101">
        <v>0</v>
      </c>
    </row>
    <row r="405" spans="1:31" ht="11.25" hidden="1" customHeight="1" x14ac:dyDescent="0.3">
      <c r="A405" s="126" t="s">
        <v>175</v>
      </c>
      <c r="B405" s="126">
        <v>17</v>
      </c>
      <c r="C405" s="126">
        <v>44</v>
      </c>
      <c r="D405" s="126" t="str">
        <f t="shared" si="33"/>
        <v>1744</v>
      </c>
      <c r="J405" s="101">
        <v>0</v>
      </c>
      <c r="K405" s="101">
        <v>0</v>
      </c>
      <c r="L405" s="101">
        <v>0</v>
      </c>
      <c r="M405" s="101">
        <v>0</v>
      </c>
      <c r="N405" s="101">
        <v>0</v>
      </c>
      <c r="O405" s="101">
        <v>0</v>
      </c>
      <c r="P405" s="101">
        <v>0</v>
      </c>
      <c r="Q405" s="101">
        <v>0</v>
      </c>
      <c r="R405" s="101">
        <v>0</v>
      </c>
      <c r="S405" s="101">
        <v>0</v>
      </c>
      <c r="T405" s="169">
        <v>1.02</v>
      </c>
      <c r="U405" s="101">
        <f t="shared" si="35"/>
        <v>0</v>
      </c>
      <c r="V405" s="101">
        <f t="shared" si="36"/>
        <v>0</v>
      </c>
      <c r="W405" s="101">
        <f t="shared" si="37"/>
        <v>0</v>
      </c>
      <c r="X405" s="101">
        <f t="shared" si="34"/>
        <v>0</v>
      </c>
      <c r="Y405" s="101">
        <f t="shared" si="38"/>
        <v>0</v>
      </c>
      <c r="AA405" s="101">
        <v>0</v>
      </c>
      <c r="AB405" s="101">
        <v>0</v>
      </c>
      <c r="AC405" s="101">
        <v>0</v>
      </c>
      <c r="AD405" s="101">
        <v>0</v>
      </c>
      <c r="AE405" s="101">
        <v>0</v>
      </c>
    </row>
    <row r="406" spans="1:31" ht="11.25" hidden="1" customHeight="1" x14ac:dyDescent="0.3">
      <c r="A406" s="126" t="s">
        <v>175</v>
      </c>
      <c r="B406" s="126">
        <v>17</v>
      </c>
      <c r="C406" s="126">
        <v>34</v>
      </c>
      <c r="D406" s="126" t="str">
        <f>CONCATENATE(B406,C406)</f>
        <v>1734</v>
      </c>
      <c r="J406" s="101">
        <v>1</v>
      </c>
      <c r="K406" s="101">
        <v>3</v>
      </c>
      <c r="L406" s="101">
        <v>6</v>
      </c>
      <c r="M406" s="101">
        <v>0</v>
      </c>
      <c r="N406" s="101">
        <v>25</v>
      </c>
      <c r="O406" s="101">
        <v>0</v>
      </c>
      <c r="P406" s="101">
        <v>0</v>
      </c>
      <c r="Q406" s="101">
        <v>0</v>
      </c>
      <c r="R406" s="101">
        <v>0</v>
      </c>
      <c r="S406" s="101">
        <v>0</v>
      </c>
      <c r="T406" s="169">
        <v>1.02</v>
      </c>
      <c r="U406" s="101">
        <f t="shared" si="35"/>
        <v>0</v>
      </c>
      <c r="V406" s="101">
        <f t="shared" si="36"/>
        <v>0</v>
      </c>
      <c r="W406" s="101">
        <f t="shared" si="37"/>
        <v>0</v>
      </c>
      <c r="X406" s="101">
        <f t="shared" si="34"/>
        <v>0</v>
      </c>
      <c r="Y406" s="101">
        <f t="shared" si="38"/>
        <v>0</v>
      </c>
      <c r="AA406" s="101">
        <v>0</v>
      </c>
      <c r="AB406" s="101">
        <v>0</v>
      </c>
      <c r="AC406" s="101">
        <v>0</v>
      </c>
      <c r="AD406" s="101">
        <v>0</v>
      </c>
      <c r="AE406" s="101">
        <v>0</v>
      </c>
    </row>
    <row r="407" spans="1:31" ht="11.25" hidden="1" customHeight="1" x14ac:dyDescent="0.3">
      <c r="A407" s="126" t="s">
        <v>175</v>
      </c>
      <c r="B407" s="126">
        <v>17</v>
      </c>
      <c r="C407" s="126">
        <v>45</v>
      </c>
      <c r="D407" s="126" t="str">
        <f t="shared" si="33"/>
        <v>1745</v>
      </c>
      <c r="J407" s="101">
        <v>0</v>
      </c>
      <c r="K407" s="101">
        <v>0</v>
      </c>
      <c r="L407" s="101">
        <v>0</v>
      </c>
      <c r="M407" s="101">
        <v>0</v>
      </c>
      <c r="N407" s="101">
        <v>0</v>
      </c>
      <c r="O407" s="101">
        <v>0</v>
      </c>
      <c r="P407" s="101">
        <v>0</v>
      </c>
      <c r="Q407" s="101">
        <v>0</v>
      </c>
      <c r="R407" s="101">
        <v>0</v>
      </c>
      <c r="S407" s="101">
        <v>0</v>
      </c>
      <c r="T407" s="169">
        <v>1.02</v>
      </c>
      <c r="U407" s="101">
        <f t="shared" si="35"/>
        <v>0</v>
      </c>
      <c r="V407" s="101">
        <f t="shared" si="36"/>
        <v>0</v>
      </c>
      <c r="W407" s="101">
        <f t="shared" si="37"/>
        <v>0</v>
      </c>
      <c r="X407" s="101">
        <f t="shared" si="34"/>
        <v>0</v>
      </c>
      <c r="Y407" s="101">
        <f t="shared" si="38"/>
        <v>0</v>
      </c>
      <c r="AA407" s="101">
        <v>0</v>
      </c>
      <c r="AB407" s="101">
        <v>0</v>
      </c>
      <c r="AC407" s="101">
        <v>0</v>
      </c>
      <c r="AD407" s="101">
        <v>0</v>
      </c>
      <c r="AE407" s="101">
        <v>0</v>
      </c>
    </row>
    <row r="408" spans="1:31" ht="11.25" hidden="1" customHeight="1" x14ac:dyDescent="0.3">
      <c r="A408" s="126" t="s">
        <v>175</v>
      </c>
      <c r="B408" s="126">
        <v>17</v>
      </c>
      <c r="C408" s="126">
        <v>47</v>
      </c>
      <c r="D408" s="126" t="str">
        <f t="shared" si="33"/>
        <v>1747</v>
      </c>
      <c r="J408" s="101">
        <v>0</v>
      </c>
      <c r="K408" s="101">
        <v>0</v>
      </c>
      <c r="L408" s="101">
        <v>0</v>
      </c>
      <c r="M408" s="101">
        <v>0</v>
      </c>
      <c r="N408" s="101">
        <v>0</v>
      </c>
      <c r="O408" s="101">
        <v>0</v>
      </c>
      <c r="P408" s="101">
        <v>0</v>
      </c>
      <c r="Q408" s="101">
        <v>0</v>
      </c>
      <c r="R408" s="101">
        <v>0</v>
      </c>
      <c r="S408" s="101">
        <v>0</v>
      </c>
      <c r="T408" s="169">
        <v>1.02</v>
      </c>
      <c r="U408" s="101">
        <f t="shared" si="35"/>
        <v>0</v>
      </c>
      <c r="V408" s="101">
        <f t="shared" si="36"/>
        <v>0</v>
      </c>
      <c r="W408" s="101">
        <f t="shared" si="37"/>
        <v>0</v>
      </c>
      <c r="X408" s="101">
        <f t="shared" si="34"/>
        <v>0</v>
      </c>
      <c r="Y408" s="101">
        <f t="shared" si="38"/>
        <v>0</v>
      </c>
      <c r="AA408" s="101">
        <v>3</v>
      </c>
      <c r="AB408" s="101">
        <v>5</v>
      </c>
      <c r="AC408" s="101">
        <v>73</v>
      </c>
      <c r="AD408" s="101">
        <v>11509.94</v>
      </c>
      <c r="AE408" s="101">
        <v>4421.5510000000004</v>
      </c>
    </row>
    <row r="409" spans="1:31" ht="11.25" hidden="1" customHeight="1" x14ac:dyDescent="0.3">
      <c r="A409" s="126" t="s">
        <v>175</v>
      </c>
      <c r="B409" s="126">
        <v>17</v>
      </c>
      <c r="C409" s="126">
        <v>91</v>
      </c>
      <c r="D409" s="126" t="str">
        <f t="shared" si="33"/>
        <v>1791</v>
      </c>
      <c r="J409" s="101">
        <v>99</v>
      </c>
      <c r="K409" s="101">
        <v>198</v>
      </c>
      <c r="L409" s="101">
        <v>2336</v>
      </c>
      <c r="M409" s="101">
        <v>7251</v>
      </c>
      <c r="N409" s="101">
        <v>2844</v>
      </c>
      <c r="O409" s="101">
        <v>37</v>
      </c>
      <c r="P409" s="101">
        <v>166</v>
      </c>
      <c r="Q409" s="101">
        <v>769</v>
      </c>
      <c r="R409" s="101">
        <v>4106.18</v>
      </c>
      <c r="S409" s="101">
        <v>1857.019</v>
      </c>
      <c r="T409" s="169">
        <v>1.02</v>
      </c>
      <c r="U409" s="101">
        <f t="shared" si="35"/>
        <v>37.74</v>
      </c>
      <c r="V409" s="101">
        <f t="shared" si="36"/>
        <v>169.32</v>
      </c>
      <c r="W409" s="101">
        <f t="shared" si="37"/>
        <v>784.38</v>
      </c>
      <c r="X409" s="101">
        <f t="shared" si="34"/>
        <v>4188.3036000000002</v>
      </c>
      <c r="Y409" s="101">
        <f t="shared" si="38"/>
        <v>1894.1593800000001</v>
      </c>
      <c r="AA409" s="101">
        <v>53</v>
      </c>
      <c r="AB409" s="101">
        <v>107</v>
      </c>
      <c r="AC409" s="101">
        <v>1332</v>
      </c>
      <c r="AD409" s="101">
        <v>4817.72</v>
      </c>
      <c r="AE409" s="101">
        <v>2067.5030000000002</v>
      </c>
    </row>
    <row r="410" spans="1:31" ht="11.25" hidden="1" customHeight="1" x14ac:dyDescent="0.3">
      <c r="A410" s="126" t="s">
        <v>175</v>
      </c>
      <c r="B410" s="126">
        <v>17</v>
      </c>
      <c r="C410" s="126">
        <v>27</v>
      </c>
      <c r="D410" s="126" t="str">
        <f t="shared" si="33"/>
        <v>1727</v>
      </c>
      <c r="E410" s="101">
        <v>97</v>
      </c>
      <c r="F410" s="101">
        <v>1221</v>
      </c>
      <c r="G410" s="101">
        <v>4577</v>
      </c>
      <c r="H410" s="101">
        <v>55706.520000000004</v>
      </c>
      <c r="I410" s="101">
        <v>20433.716000000004</v>
      </c>
      <c r="J410" s="101">
        <v>73</v>
      </c>
      <c r="K410" s="101">
        <v>1474</v>
      </c>
      <c r="L410" s="101">
        <v>9469</v>
      </c>
      <c r="M410" s="101">
        <v>98555</v>
      </c>
      <c r="N410" s="101">
        <v>30138</v>
      </c>
      <c r="O410" s="101">
        <v>89</v>
      </c>
      <c r="P410" s="101">
        <v>1743</v>
      </c>
      <c r="Q410" s="101">
        <v>11168</v>
      </c>
      <c r="R410" s="101">
        <v>87045.25</v>
      </c>
      <c r="S410" s="101">
        <v>35847.317999999999</v>
      </c>
      <c r="T410" s="169">
        <v>1.02</v>
      </c>
      <c r="U410" s="101">
        <f t="shared" si="35"/>
        <v>90.78</v>
      </c>
      <c r="V410" s="101">
        <f t="shared" si="36"/>
        <v>1777.8600000000001</v>
      </c>
      <c r="W410" s="101">
        <f t="shared" si="37"/>
        <v>11391.36</v>
      </c>
      <c r="X410" s="101">
        <f t="shared" si="34"/>
        <v>88786.154999999999</v>
      </c>
      <c r="Y410" s="101">
        <f t="shared" si="38"/>
        <v>36564.264360000001</v>
      </c>
      <c r="AA410" s="101">
        <v>56</v>
      </c>
      <c r="AB410" s="101">
        <v>2302</v>
      </c>
      <c r="AC410" s="101">
        <v>10456</v>
      </c>
      <c r="AD410" s="101">
        <v>87865.21</v>
      </c>
      <c r="AE410" s="101">
        <v>34283.000999999997</v>
      </c>
    </row>
    <row r="411" spans="1:31" ht="11.25" hidden="1" customHeight="1" x14ac:dyDescent="0.3">
      <c r="A411" s="126" t="s">
        <v>175</v>
      </c>
      <c r="B411" s="126">
        <v>17</v>
      </c>
      <c r="C411" s="126">
        <v>41</v>
      </c>
      <c r="D411" s="126" t="str">
        <f t="shared" si="33"/>
        <v>1741</v>
      </c>
      <c r="O411" s="101">
        <v>1</v>
      </c>
      <c r="P411" s="101">
        <v>2</v>
      </c>
      <c r="Q411" s="101">
        <v>4</v>
      </c>
      <c r="R411" s="101">
        <v>84.18</v>
      </c>
      <c r="S411" s="101">
        <v>4.173</v>
      </c>
      <c r="T411" s="169">
        <v>1.02</v>
      </c>
      <c r="U411" s="101">
        <f t="shared" si="35"/>
        <v>1.02</v>
      </c>
      <c r="V411" s="101">
        <f t="shared" si="36"/>
        <v>2.04</v>
      </c>
      <c r="W411" s="101">
        <f t="shared" si="37"/>
        <v>4.08</v>
      </c>
      <c r="X411" s="101">
        <f t="shared" si="34"/>
        <v>85.863600000000005</v>
      </c>
      <c r="Y411" s="101">
        <f t="shared" si="38"/>
        <v>4.2564599999999997</v>
      </c>
      <c r="AA411" s="101">
        <v>2</v>
      </c>
      <c r="AB411" s="101">
        <v>7</v>
      </c>
      <c r="AC411" s="101">
        <v>30</v>
      </c>
      <c r="AD411" s="101">
        <v>467.44</v>
      </c>
      <c r="AE411" s="101">
        <v>47.945999999999998</v>
      </c>
    </row>
    <row r="412" spans="1:31" ht="11.25" customHeight="1" x14ac:dyDescent="0.3">
      <c r="A412" s="126" t="s">
        <v>175</v>
      </c>
      <c r="B412" s="126">
        <v>17</v>
      </c>
      <c r="C412" s="126" t="s">
        <v>172</v>
      </c>
      <c r="D412" s="126" t="str">
        <f t="shared" si="33"/>
        <v>17Uml</v>
      </c>
      <c r="J412" s="101">
        <v>325</v>
      </c>
      <c r="K412" s="101">
        <v>325</v>
      </c>
      <c r="L412" s="101">
        <v>116397</v>
      </c>
      <c r="N412" s="101">
        <v>323694</v>
      </c>
      <c r="O412" s="101">
        <v>329</v>
      </c>
      <c r="P412" s="101">
        <v>330</v>
      </c>
      <c r="Q412" s="101">
        <v>58925</v>
      </c>
      <c r="S412" s="101">
        <v>266411</v>
      </c>
      <c r="T412" s="169">
        <v>1.02</v>
      </c>
      <c r="U412" s="101">
        <f t="shared" si="35"/>
        <v>335.58</v>
      </c>
      <c r="V412" s="101">
        <f t="shared" si="36"/>
        <v>336.6</v>
      </c>
      <c r="W412" s="101">
        <f t="shared" si="37"/>
        <v>60103.5</v>
      </c>
      <c r="X412" s="101">
        <f t="shared" si="34"/>
        <v>0</v>
      </c>
      <c r="Y412" s="101">
        <f t="shared" si="38"/>
        <v>271739.22000000003</v>
      </c>
      <c r="AA412" s="101">
        <v>243</v>
      </c>
      <c r="AB412" s="101">
        <v>246</v>
      </c>
      <c r="AC412" s="101">
        <v>55156</v>
      </c>
      <c r="AE412" s="101">
        <v>380727.69900000002</v>
      </c>
    </row>
    <row r="413" spans="1:31" ht="11.25" hidden="1" customHeight="1" x14ac:dyDescent="0.3">
      <c r="A413" s="126" t="s">
        <v>175</v>
      </c>
      <c r="B413" s="126">
        <v>17</v>
      </c>
      <c r="C413" s="126">
        <v>37</v>
      </c>
      <c r="D413" s="126" t="str">
        <f t="shared" si="33"/>
        <v>1737</v>
      </c>
      <c r="E413" s="101">
        <v>13.5</v>
      </c>
      <c r="F413" s="101">
        <v>40.75</v>
      </c>
      <c r="G413" s="101">
        <v>2503.25</v>
      </c>
      <c r="H413" s="101">
        <v>8413.6849999999995</v>
      </c>
      <c r="I413" s="101">
        <v>9130.8342499999999</v>
      </c>
      <c r="J413" s="101">
        <v>28</v>
      </c>
      <c r="K413" s="101">
        <v>71</v>
      </c>
      <c r="L413" s="101">
        <v>1768</v>
      </c>
      <c r="M413" s="101">
        <v>8539</v>
      </c>
      <c r="N413" s="101">
        <v>3003</v>
      </c>
      <c r="O413" s="101">
        <v>33</v>
      </c>
      <c r="P413" s="101">
        <v>180</v>
      </c>
      <c r="Q413" s="101">
        <v>10841</v>
      </c>
      <c r="R413" s="101">
        <v>53263.05</v>
      </c>
      <c r="S413" s="101">
        <v>12833.055</v>
      </c>
      <c r="T413" s="169">
        <v>1.02</v>
      </c>
      <c r="U413" s="101">
        <f t="shared" si="35"/>
        <v>33.660000000000004</v>
      </c>
      <c r="V413" s="101">
        <f t="shared" si="36"/>
        <v>183.6</v>
      </c>
      <c r="W413" s="101">
        <f t="shared" si="37"/>
        <v>11057.82</v>
      </c>
      <c r="X413" s="101">
        <f t="shared" si="34"/>
        <v>54328.311000000002</v>
      </c>
      <c r="Y413" s="101">
        <f t="shared" si="38"/>
        <v>13089.7161</v>
      </c>
      <c r="AA413" s="101">
        <v>28</v>
      </c>
      <c r="AB413" s="101">
        <v>84</v>
      </c>
      <c r="AC413" s="101">
        <v>2263</v>
      </c>
      <c r="AD413" s="101">
        <v>13303.01</v>
      </c>
      <c r="AE413" s="101">
        <v>6692.52</v>
      </c>
    </row>
    <row r="414" spans="1:31" ht="11.25" hidden="1" customHeight="1" x14ac:dyDescent="0.3">
      <c r="A414" s="126" t="s">
        <v>176</v>
      </c>
      <c r="B414" s="126">
        <v>18</v>
      </c>
      <c r="C414" s="126">
        <v>12</v>
      </c>
      <c r="D414" s="126" t="str">
        <f t="shared" si="33"/>
        <v>1812</v>
      </c>
      <c r="E414" s="101">
        <v>26</v>
      </c>
      <c r="F414" s="101">
        <v>41</v>
      </c>
      <c r="G414" s="101">
        <v>46</v>
      </c>
      <c r="H414" s="101">
        <v>1011.1199999999999</v>
      </c>
      <c r="I414" s="101">
        <v>193.899</v>
      </c>
      <c r="J414" s="101">
        <v>24</v>
      </c>
      <c r="K414" s="101">
        <v>24</v>
      </c>
      <c r="L414" s="101">
        <v>30</v>
      </c>
      <c r="M414" s="101">
        <v>289</v>
      </c>
      <c r="N414" s="101">
        <v>155</v>
      </c>
      <c r="O414" s="101">
        <v>10</v>
      </c>
      <c r="P414" s="101">
        <v>16</v>
      </c>
      <c r="Q414" s="101">
        <v>69</v>
      </c>
      <c r="R414" s="101">
        <v>449.55</v>
      </c>
      <c r="S414" s="101">
        <v>60.81</v>
      </c>
      <c r="T414" s="169">
        <v>1.02</v>
      </c>
      <c r="U414" s="101">
        <f t="shared" si="35"/>
        <v>10.199999999999999</v>
      </c>
      <c r="V414" s="101">
        <f t="shared" si="36"/>
        <v>16.32</v>
      </c>
      <c r="W414" s="101">
        <f t="shared" si="37"/>
        <v>70.38</v>
      </c>
      <c r="X414" s="101">
        <f t="shared" si="34"/>
        <v>458.541</v>
      </c>
      <c r="Y414" s="101">
        <f t="shared" si="38"/>
        <v>62.026200000000003</v>
      </c>
      <c r="AA414" s="101">
        <v>15</v>
      </c>
      <c r="AB414" s="101">
        <v>15</v>
      </c>
      <c r="AC414" s="101">
        <v>18</v>
      </c>
      <c r="AD414" s="101">
        <v>203</v>
      </c>
      <c r="AE414" s="101">
        <v>109</v>
      </c>
    </row>
    <row r="415" spans="1:31" ht="11.25" hidden="1" customHeight="1" x14ac:dyDescent="0.3">
      <c r="A415" s="126" t="s">
        <v>176</v>
      </c>
      <c r="B415" s="126">
        <v>18</v>
      </c>
      <c r="C415" s="126">
        <v>17</v>
      </c>
      <c r="D415" s="126" t="str">
        <f t="shared" si="33"/>
        <v>1817</v>
      </c>
      <c r="E415" s="101">
        <v>2129</v>
      </c>
      <c r="F415" s="101">
        <v>2677</v>
      </c>
      <c r="G415" s="101">
        <v>3587</v>
      </c>
      <c r="H415" s="101">
        <v>126856.73999999999</v>
      </c>
      <c r="I415" s="101">
        <v>24894.367000000002</v>
      </c>
      <c r="J415" s="101">
        <v>999</v>
      </c>
      <c r="K415" s="101">
        <v>1691</v>
      </c>
      <c r="L415" s="101">
        <v>2625</v>
      </c>
      <c r="M415" s="101">
        <v>66428</v>
      </c>
      <c r="N415" s="101">
        <v>9997</v>
      </c>
      <c r="O415" s="101">
        <v>988</v>
      </c>
      <c r="P415" s="101">
        <v>2167</v>
      </c>
      <c r="Q415" s="101">
        <v>2967</v>
      </c>
      <c r="R415" s="101">
        <v>69503.42</v>
      </c>
      <c r="S415" s="101">
        <v>12258.38</v>
      </c>
      <c r="T415" s="169">
        <v>1.02</v>
      </c>
      <c r="U415" s="101">
        <v>1024</v>
      </c>
      <c r="V415" s="101">
        <v>2013</v>
      </c>
      <c r="W415" s="101">
        <v>3048</v>
      </c>
      <c r="X415" s="144">
        <f t="shared" si="34"/>
        <v>70893.488400000002</v>
      </c>
      <c r="Y415" s="101">
        <v>15000</v>
      </c>
      <c r="AA415" s="101">
        <v>2257</v>
      </c>
      <c r="AB415" s="101">
        <v>3610</v>
      </c>
      <c r="AC415" s="101">
        <v>4741</v>
      </c>
      <c r="AD415" s="101">
        <v>145938</v>
      </c>
      <c r="AE415" s="101">
        <v>25141</v>
      </c>
    </row>
    <row r="416" spans="1:31" ht="11.25" hidden="1" customHeight="1" x14ac:dyDescent="0.3">
      <c r="A416" s="126" t="s">
        <v>176</v>
      </c>
      <c r="B416" s="126">
        <v>18</v>
      </c>
      <c r="C416" s="126">
        <v>18</v>
      </c>
      <c r="D416" s="126" t="str">
        <f t="shared" si="33"/>
        <v>1818</v>
      </c>
      <c r="E416" s="101">
        <v>272</v>
      </c>
      <c r="F416" s="101">
        <v>341</v>
      </c>
      <c r="G416" s="101">
        <v>439</v>
      </c>
      <c r="H416" s="101">
        <v>15317.29</v>
      </c>
      <c r="I416" s="101">
        <v>2520.8219999999997</v>
      </c>
      <c r="J416" s="101">
        <v>2360</v>
      </c>
      <c r="K416" s="101">
        <v>2601</v>
      </c>
      <c r="L416" s="101">
        <v>2902</v>
      </c>
      <c r="M416" s="101">
        <v>121038</v>
      </c>
      <c r="N416" s="101">
        <v>22830</v>
      </c>
      <c r="O416" s="101">
        <v>2654</v>
      </c>
      <c r="P416" s="101">
        <v>2820</v>
      </c>
      <c r="Q416" s="101">
        <v>3069</v>
      </c>
      <c r="R416" s="101">
        <v>109549.29</v>
      </c>
      <c r="S416" s="101">
        <v>23930.485000000001</v>
      </c>
      <c r="T416" s="169">
        <v>0.6</v>
      </c>
      <c r="U416" s="101">
        <f t="shared" si="35"/>
        <v>1592.3999999999999</v>
      </c>
      <c r="V416" s="101">
        <f t="shared" si="36"/>
        <v>1692</v>
      </c>
      <c r="W416" s="101">
        <f t="shared" si="37"/>
        <v>1841.3999999999999</v>
      </c>
      <c r="X416" s="101">
        <f t="shared" si="34"/>
        <v>65729.573999999993</v>
      </c>
      <c r="Y416" s="101">
        <f t="shared" si="38"/>
        <v>14358.290999999999</v>
      </c>
      <c r="AA416" s="101">
        <v>2238</v>
      </c>
      <c r="AB416" s="101">
        <v>2416</v>
      </c>
      <c r="AC416" s="101">
        <v>5897</v>
      </c>
      <c r="AD416" s="101">
        <v>120960</v>
      </c>
      <c r="AE416" s="101">
        <v>51082</v>
      </c>
    </row>
    <row r="417" spans="1:31" ht="11.25" hidden="1" customHeight="1" x14ac:dyDescent="0.3">
      <c r="A417" s="126" t="s">
        <v>176</v>
      </c>
      <c r="B417" s="126">
        <v>18</v>
      </c>
      <c r="C417" s="126">
        <v>28</v>
      </c>
      <c r="D417" s="126" t="str">
        <f t="shared" si="33"/>
        <v>1828</v>
      </c>
      <c r="E417" s="101">
        <v>266</v>
      </c>
      <c r="F417" s="101">
        <v>2183</v>
      </c>
      <c r="G417" s="101">
        <v>19980</v>
      </c>
      <c r="H417" s="101">
        <v>341875.08999999997</v>
      </c>
      <c r="I417" s="101">
        <v>73554.225000000006</v>
      </c>
      <c r="J417" s="101">
        <v>196</v>
      </c>
      <c r="K417" s="101">
        <v>3768</v>
      </c>
      <c r="L417" s="101">
        <v>23010</v>
      </c>
      <c r="M417" s="101">
        <v>370055</v>
      </c>
      <c r="N417" s="101">
        <v>135024</v>
      </c>
      <c r="O417" s="101">
        <v>203</v>
      </c>
      <c r="P417" s="101">
        <v>4178</v>
      </c>
      <c r="Q417" s="101">
        <v>19885</v>
      </c>
      <c r="R417" s="101">
        <v>305427.7</v>
      </c>
      <c r="S417" s="101">
        <v>76527.116999999998</v>
      </c>
      <c r="T417" s="169">
        <v>1.02</v>
      </c>
      <c r="U417" s="101">
        <f t="shared" si="35"/>
        <v>207.06</v>
      </c>
      <c r="V417" s="101">
        <f t="shared" si="36"/>
        <v>4261.5600000000004</v>
      </c>
      <c r="W417" s="101">
        <f t="shared" si="37"/>
        <v>20282.7</v>
      </c>
      <c r="X417" s="101">
        <f t="shared" si="34"/>
        <v>311536.25400000002</v>
      </c>
      <c r="Y417" s="101">
        <f t="shared" si="38"/>
        <v>78057.659339999998</v>
      </c>
      <c r="AA417" s="101">
        <v>208</v>
      </c>
      <c r="AB417" s="101">
        <v>5392</v>
      </c>
      <c r="AC417" s="101">
        <v>33353</v>
      </c>
      <c r="AD417" s="101">
        <v>626752</v>
      </c>
      <c r="AE417" s="101">
        <v>148532</v>
      </c>
    </row>
    <row r="418" spans="1:31" ht="11.25" hidden="1" customHeight="1" x14ac:dyDescent="0.3">
      <c r="A418" s="126" t="s">
        <v>176</v>
      </c>
      <c r="B418" s="126">
        <v>18</v>
      </c>
      <c r="C418" s="126">
        <v>46</v>
      </c>
      <c r="D418" s="126" t="str">
        <f t="shared" si="33"/>
        <v>1846</v>
      </c>
      <c r="E418" s="101">
        <v>299</v>
      </c>
      <c r="F418" s="101">
        <v>632</v>
      </c>
      <c r="G418" s="101">
        <v>16268</v>
      </c>
      <c r="H418" s="101">
        <v>170325.28</v>
      </c>
      <c r="I418" s="101">
        <v>77499.384000000005</v>
      </c>
      <c r="J418" s="101">
        <v>257</v>
      </c>
      <c r="K418" s="101">
        <v>547</v>
      </c>
      <c r="L418" s="101">
        <v>6611</v>
      </c>
      <c r="M418" s="101">
        <v>118446</v>
      </c>
      <c r="N418" s="101">
        <v>34959</v>
      </c>
      <c r="O418" s="101">
        <v>146</v>
      </c>
      <c r="P418" s="101">
        <v>348</v>
      </c>
      <c r="Q418" s="101">
        <v>9921</v>
      </c>
      <c r="R418" s="101">
        <v>193397.97</v>
      </c>
      <c r="S418" s="101">
        <v>49567.553</v>
      </c>
      <c r="T418" s="169">
        <v>1.02</v>
      </c>
      <c r="U418" s="101">
        <f t="shared" si="35"/>
        <v>148.92000000000002</v>
      </c>
      <c r="V418" s="101">
        <f t="shared" si="36"/>
        <v>354.96</v>
      </c>
      <c r="W418" s="101">
        <f t="shared" si="37"/>
        <v>10119.42</v>
      </c>
      <c r="X418" s="101">
        <f t="shared" si="34"/>
        <v>197265.92939999999</v>
      </c>
      <c r="Y418" s="101">
        <f t="shared" si="38"/>
        <v>50558.904060000001</v>
      </c>
      <c r="AA418" s="101">
        <v>137</v>
      </c>
      <c r="AB418" s="101">
        <v>323</v>
      </c>
      <c r="AC418" s="101">
        <v>19171</v>
      </c>
      <c r="AD418" s="101">
        <v>222770</v>
      </c>
      <c r="AE418" s="101">
        <v>38142</v>
      </c>
    </row>
    <row r="419" spans="1:31" ht="11.25" hidden="1" customHeight="1" x14ac:dyDescent="0.3">
      <c r="A419" s="126" t="s">
        <v>176</v>
      </c>
      <c r="B419" s="126">
        <v>18</v>
      </c>
      <c r="C419" s="126">
        <v>47</v>
      </c>
      <c r="D419" s="126" t="str">
        <f t="shared" si="33"/>
        <v>1847</v>
      </c>
      <c r="E419" s="101">
        <v>1</v>
      </c>
      <c r="F419" s="101">
        <v>4</v>
      </c>
      <c r="G419" s="101">
        <v>324</v>
      </c>
      <c r="H419" s="101">
        <v>0</v>
      </c>
      <c r="I419" s="101">
        <v>0</v>
      </c>
      <c r="J419" s="101">
        <v>0</v>
      </c>
      <c r="K419" s="101">
        <v>0</v>
      </c>
      <c r="L419" s="101">
        <v>0</v>
      </c>
      <c r="M419" s="101">
        <v>0</v>
      </c>
      <c r="N419" s="101">
        <v>0</v>
      </c>
      <c r="O419" s="101">
        <v>0</v>
      </c>
      <c r="P419" s="101">
        <v>0</v>
      </c>
      <c r="Q419" s="101">
        <v>0</v>
      </c>
      <c r="R419" s="101">
        <v>0</v>
      </c>
      <c r="S419" s="101">
        <v>0</v>
      </c>
      <c r="T419" s="169">
        <v>1.02</v>
      </c>
      <c r="U419" s="101">
        <f t="shared" si="35"/>
        <v>0</v>
      </c>
      <c r="V419" s="101">
        <f t="shared" si="36"/>
        <v>0</v>
      </c>
      <c r="W419" s="101">
        <f t="shared" si="37"/>
        <v>0</v>
      </c>
      <c r="X419" s="101">
        <f t="shared" si="34"/>
        <v>0</v>
      </c>
      <c r="Y419" s="101">
        <f t="shared" si="38"/>
        <v>0</v>
      </c>
      <c r="AA419" s="101">
        <v>4</v>
      </c>
      <c r="AB419" s="101">
        <v>8</v>
      </c>
      <c r="AC419" s="101">
        <v>303</v>
      </c>
      <c r="AD419" s="101">
        <v>6132</v>
      </c>
      <c r="AE419" s="101">
        <v>478</v>
      </c>
    </row>
    <row r="420" spans="1:31" ht="11.25" hidden="1" customHeight="1" x14ac:dyDescent="0.3">
      <c r="A420" s="126" t="s">
        <v>176</v>
      </c>
      <c r="B420" s="126">
        <v>18</v>
      </c>
      <c r="C420" s="126">
        <v>66</v>
      </c>
      <c r="D420" s="126" t="str">
        <f t="shared" si="33"/>
        <v>1866</v>
      </c>
      <c r="E420" s="101">
        <v>469</v>
      </c>
      <c r="F420" s="101">
        <v>1931</v>
      </c>
      <c r="G420" s="101">
        <v>23796</v>
      </c>
      <c r="H420" s="101">
        <v>165633.65</v>
      </c>
      <c r="I420" s="101">
        <v>88075.511999999988</v>
      </c>
      <c r="J420" s="101">
        <v>457</v>
      </c>
      <c r="K420" s="101">
        <v>1457</v>
      </c>
      <c r="L420" s="101">
        <v>20482</v>
      </c>
      <c r="M420" s="101">
        <v>130672</v>
      </c>
      <c r="N420" s="101">
        <v>74754</v>
      </c>
      <c r="O420" s="101">
        <v>139</v>
      </c>
      <c r="P420" s="101">
        <v>830</v>
      </c>
      <c r="Q420" s="101">
        <v>15929</v>
      </c>
      <c r="R420" s="101">
        <v>133969.35</v>
      </c>
      <c r="S420" s="101">
        <v>80618.942999999999</v>
      </c>
      <c r="T420" s="169">
        <v>1.02</v>
      </c>
      <c r="U420" s="101">
        <f t="shared" si="35"/>
        <v>141.78</v>
      </c>
      <c r="V420" s="101">
        <f t="shared" si="36"/>
        <v>846.6</v>
      </c>
      <c r="W420" s="101">
        <f t="shared" si="37"/>
        <v>16247.58</v>
      </c>
      <c r="X420" s="101">
        <f t="shared" si="34"/>
        <v>136648.73700000002</v>
      </c>
      <c r="Y420" s="101">
        <f t="shared" si="38"/>
        <v>82231.321859999996</v>
      </c>
      <c r="AA420" s="101">
        <v>60</v>
      </c>
      <c r="AB420" s="101">
        <v>1127</v>
      </c>
      <c r="AC420" s="101">
        <v>32875</v>
      </c>
      <c r="AD420" s="101">
        <v>122930</v>
      </c>
      <c r="AE420" s="101">
        <v>54179</v>
      </c>
    </row>
    <row r="421" spans="1:31" ht="11.25" hidden="1" customHeight="1" x14ac:dyDescent="0.3">
      <c r="A421" s="126" t="s">
        <v>176</v>
      </c>
      <c r="B421" s="126">
        <v>18</v>
      </c>
      <c r="C421" s="126">
        <v>30</v>
      </c>
      <c r="D421" s="126" t="str">
        <f t="shared" si="33"/>
        <v>1830</v>
      </c>
      <c r="E421" s="101">
        <v>293</v>
      </c>
      <c r="F421" s="101">
        <v>3161</v>
      </c>
      <c r="G421" s="101">
        <v>11797</v>
      </c>
      <c r="H421" s="101">
        <v>241637.905</v>
      </c>
      <c r="I421" s="101">
        <v>63533.453500000003</v>
      </c>
      <c r="J421" s="101">
        <v>243</v>
      </c>
      <c r="K421" s="101">
        <v>3943</v>
      </c>
      <c r="L421" s="101">
        <v>17543</v>
      </c>
      <c r="M421" s="101">
        <v>388289</v>
      </c>
      <c r="N421" s="101">
        <v>136110</v>
      </c>
      <c r="O421" s="138"/>
      <c r="P421" s="138"/>
      <c r="Q421" s="138"/>
      <c r="R421" s="138"/>
      <c r="S421" s="138"/>
      <c r="T421" s="169">
        <v>1.02</v>
      </c>
      <c r="U421" s="101">
        <f t="shared" si="35"/>
        <v>0</v>
      </c>
      <c r="V421" s="101">
        <f t="shared" si="36"/>
        <v>0</v>
      </c>
      <c r="W421" s="101">
        <f t="shared" si="37"/>
        <v>0</v>
      </c>
      <c r="X421" s="101">
        <f t="shared" si="34"/>
        <v>0</v>
      </c>
      <c r="Y421" s="101">
        <f t="shared" si="38"/>
        <v>0</v>
      </c>
      <c r="AA421" s="101">
        <v>50</v>
      </c>
      <c r="AB421" s="101">
        <v>99</v>
      </c>
      <c r="AC421" s="101">
        <v>789</v>
      </c>
      <c r="AD421" s="101">
        <v>59269</v>
      </c>
      <c r="AE421" s="101">
        <v>37931</v>
      </c>
    </row>
    <row r="422" spans="1:31" ht="11.25" hidden="1" customHeight="1" x14ac:dyDescent="0.3">
      <c r="A422" s="126" t="s">
        <v>176</v>
      </c>
      <c r="B422" s="126">
        <v>18</v>
      </c>
      <c r="C422" s="126">
        <v>21</v>
      </c>
      <c r="D422" s="126" t="str">
        <f t="shared" si="33"/>
        <v>1821</v>
      </c>
      <c r="E422" s="101">
        <v>759</v>
      </c>
      <c r="F422" s="101">
        <v>3468</v>
      </c>
      <c r="G422" s="101">
        <v>17797</v>
      </c>
      <c r="H422" s="101">
        <v>293549.42499999999</v>
      </c>
      <c r="I422" s="101">
        <v>74432.682499999995</v>
      </c>
      <c r="J422" s="101">
        <v>752</v>
      </c>
      <c r="K422" s="101">
        <v>5644</v>
      </c>
      <c r="L422" s="101">
        <v>33604</v>
      </c>
      <c r="M422" s="101">
        <v>562088</v>
      </c>
      <c r="N422" s="101">
        <v>149135</v>
      </c>
      <c r="O422" s="138">
        <v>938</v>
      </c>
      <c r="P422" s="138">
        <v>7413</v>
      </c>
      <c r="Q422" s="138">
        <v>36050</v>
      </c>
      <c r="R422" s="138">
        <v>457670.26</v>
      </c>
      <c r="S422" s="138">
        <v>124564.89800000002</v>
      </c>
      <c r="T422" s="169">
        <v>1.02</v>
      </c>
      <c r="U422" s="101">
        <f>O422*T422-3</f>
        <v>953.76</v>
      </c>
      <c r="V422" s="101">
        <f>P422*T422-3</f>
        <v>7558.26</v>
      </c>
      <c r="W422" s="101">
        <f>Q422*T422-317</f>
        <v>36454</v>
      </c>
      <c r="X422" s="101">
        <f>R422*T422-5991</f>
        <v>460832.66519999999</v>
      </c>
      <c r="Y422" s="101">
        <f>S422*T422-1158</f>
        <v>125898.19596000001</v>
      </c>
      <c r="AA422" s="101">
        <v>793</v>
      </c>
      <c r="AB422" s="101">
        <v>6702</v>
      </c>
      <c r="AC422" s="101">
        <v>32218</v>
      </c>
      <c r="AD422" s="101">
        <v>427390</v>
      </c>
      <c r="AE422" s="101">
        <v>151816</v>
      </c>
    </row>
    <row r="423" spans="1:31" ht="11.25" hidden="1" customHeight="1" x14ac:dyDescent="0.3">
      <c r="A423" s="126" t="s">
        <v>176</v>
      </c>
      <c r="B423" s="126">
        <v>18</v>
      </c>
      <c r="C423" s="126">
        <v>71</v>
      </c>
      <c r="D423" s="126" t="str">
        <f t="shared" si="33"/>
        <v>1871</v>
      </c>
      <c r="E423" s="101">
        <v>395</v>
      </c>
      <c r="F423" s="101">
        <v>5083</v>
      </c>
      <c r="G423" s="101">
        <v>18059</v>
      </c>
      <c r="H423" s="101">
        <v>119561.565</v>
      </c>
      <c r="I423" s="101">
        <v>63913.965500000006</v>
      </c>
      <c r="J423" s="101">
        <v>412</v>
      </c>
      <c r="K423" s="101">
        <v>5792</v>
      </c>
      <c r="L423" s="101">
        <v>17580</v>
      </c>
      <c r="M423" s="101">
        <v>153885</v>
      </c>
      <c r="N423" s="101">
        <v>72048</v>
      </c>
      <c r="O423" s="101">
        <v>327</v>
      </c>
      <c r="P423" s="101">
        <v>4961</v>
      </c>
      <c r="Q423" s="101">
        <v>13416</v>
      </c>
      <c r="R423" s="101">
        <v>93887.78</v>
      </c>
      <c r="S423" s="101">
        <v>65728.519</v>
      </c>
      <c r="T423" s="169">
        <v>0.98</v>
      </c>
      <c r="U423" s="101">
        <f t="shared" si="35"/>
        <v>320.45999999999998</v>
      </c>
      <c r="V423" s="101">
        <f t="shared" si="36"/>
        <v>4861.78</v>
      </c>
      <c r="W423" s="101">
        <f t="shared" si="37"/>
        <v>13147.68</v>
      </c>
      <c r="X423" s="101">
        <f t="shared" si="34"/>
        <v>92010.024399999995</v>
      </c>
      <c r="Y423" s="101">
        <f t="shared" si="38"/>
        <v>64413.948619999996</v>
      </c>
      <c r="AA423" s="101">
        <v>202</v>
      </c>
      <c r="AB423" s="101">
        <v>4034</v>
      </c>
      <c r="AC423" s="101">
        <v>15321</v>
      </c>
      <c r="AD423" s="101">
        <v>116856</v>
      </c>
      <c r="AE423" s="101">
        <v>62825</v>
      </c>
    </row>
    <row r="424" spans="1:31" ht="11.25" hidden="1" customHeight="1" x14ac:dyDescent="0.3">
      <c r="A424" s="126" t="s">
        <v>176</v>
      </c>
      <c r="B424" s="126">
        <v>18</v>
      </c>
      <c r="C424" s="126">
        <v>25</v>
      </c>
      <c r="D424" s="126" t="str">
        <f t="shared" si="33"/>
        <v>1825</v>
      </c>
      <c r="E424" s="101">
        <v>1303</v>
      </c>
      <c r="F424" s="101">
        <v>6645</v>
      </c>
      <c r="G424" s="101">
        <v>41226</v>
      </c>
      <c r="H424" s="101">
        <v>578142</v>
      </c>
      <c r="I424" s="101">
        <v>235629.58399999997</v>
      </c>
      <c r="J424" s="101">
        <v>813</v>
      </c>
      <c r="K424" s="101">
        <v>8267</v>
      </c>
      <c r="L424" s="101">
        <v>33203</v>
      </c>
      <c r="M424" s="101">
        <v>429499</v>
      </c>
      <c r="N424" s="101">
        <v>200102</v>
      </c>
      <c r="O424" s="101">
        <v>630</v>
      </c>
      <c r="P424" s="101">
        <v>4990</v>
      </c>
      <c r="Q424" s="101">
        <v>28589</v>
      </c>
      <c r="R424" s="101">
        <v>170078.72</v>
      </c>
      <c r="S424" s="101">
        <v>99792.876000000004</v>
      </c>
      <c r="T424" s="169">
        <v>1.02</v>
      </c>
      <c r="U424" s="101">
        <f t="shared" si="35"/>
        <v>642.6</v>
      </c>
      <c r="V424" s="101">
        <f t="shared" si="36"/>
        <v>5089.8</v>
      </c>
      <c r="W424" s="101">
        <f t="shared" si="37"/>
        <v>29160.78</v>
      </c>
      <c r="X424" s="101">
        <f t="shared" si="34"/>
        <v>173480.29440000001</v>
      </c>
      <c r="Y424" s="101">
        <f t="shared" si="38"/>
        <v>101788.73352000001</v>
      </c>
      <c r="AA424" s="101">
        <v>510</v>
      </c>
      <c r="AB424" s="101">
        <v>4202</v>
      </c>
      <c r="AC424" s="101">
        <v>22897</v>
      </c>
      <c r="AD424" s="101">
        <v>183358</v>
      </c>
      <c r="AE424" s="101">
        <v>87740</v>
      </c>
    </row>
    <row r="425" spans="1:31" ht="11.25" hidden="1" customHeight="1" x14ac:dyDescent="0.3">
      <c r="A425" s="126" t="s">
        <v>176</v>
      </c>
      <c r="B425" s="126">
        <v>18</v>
      </c>
      <c r="C425" s="126">
        <v>14</v>
      </c>
      <c r="D425" s="126" t="str">
        <f t="shared" si="33"/>
        <v>1814</v>
      </c>
      <c r="J425" s="101">
        <v>10</v>
      </c>
      <c r="K425" s="101">
        <v>15</v>
      </c>
      <c r="L425" s="101">
        <v>18</v>
      </c>
      <c r="M425" s="101">
        <v>1634</v>
      </c>
      <c r="N425" s="101">
        <v>189</v>
      </c>
      <c r="O425" s="101">
        <v>25</v>
      </c>
      <c r="P425" s="101">
        <v>32</v>
      </c>
      <c r="Q425" s="101">
        <v>58</v>
      </c>
      <c r="R425" s="101">
        <v>1444.53</v>
      </c>
      <c r="S425" s="101">
        <v>256.72399999999999</v>
      </c>
      <c r="T425" s="169">
        <v>1.02</v>
      </c>
      <c r="U425" s="101">
        <f t="shared" si="35"/>
        <v>25.5</v>
      </c>
      <c r="V425" s="101">
        <f t="shared" si="36"/>
        <v>32.64</v>
      </c>
      <c r="W425" s="101">
        <f t="shared" si="37"/>
        <v>59.160000000000004</v>
      </c>
      <c r="X425" s="101">
        <f t="shared" si="34"/>
        <v>1473.4205999999999</v>
      </c>
      <c r="Y425" s="101">
        <f t="shared" si="38"/>
        <v>261.85847999999999</v>
      </c>
      <c r="AA425" s="101">
        <v>198</v>
      </c>
      <c r="AB425" s="101">
        <v>291</v>
      </c>
      <c r="AC425" s="101">
        <v>384</v>
      </c>
      <c r="AD425" s="101">
        <v>18112</v>
      </c>
      <c r="AE425" s="101">
        <v>3147</v>
      </c>
    </row>
    <row r="426" spans="1:31" ht="11.25" hidden="1" customHeight="1" x14ac:dyDescent="0.3">
      <c r="A426" s="126" t="s">
        <v>176</v>
      </c>
      <c r="B426" s="126">
        <v>18</v>
      </c>
      <c r="C426" s="126">
        <v>22</v>
      </c>
      <c r="D426" s="126" t="str">
        <f t="shared" si="33"/>
        <v>1822</v>
      </c>
      <c r="J426" s="101">
        <v>3</v>
      </c>
      <c r="K426" s="101">
        <v>4</v>
      </c>
      <c r="L426" s="101">
        <v>8</v>
      </c>
      <c r="M426" s="101">
        <v>140</v>
      </c>
      <c r="N426" s="101">
        <v>146</v>
      </c>
      <c r="O426" s="101">
        <v>4</v>
      </c>
      <c r="P426" s="101">
        <v>4</v>
      </c>
      <c r="Q426" s="101">
        <v>43</v>
      </c>
      <c r="R426" s="101">
        <v>690.48</v>
      </c>
      <c r="S426" s="101">
        <v>307.43299999999999</v>
      </c>
      <c r="T426" s="169">
        <v>1.02</v>
      </c>
      <c r="U426" s="101">
        <f t="shared" si="35"/>
        <v>4.08</v>
      </c>
      <c r="V426" s="101">
        <f t="shared" si="36"/>
        <v>4.08</v>
      </c>
      <c r="W426" s="101">
        <f t="shared" si="37"/>
        <v>43.86</v>
      </c>
      <c r="X426" s="101">
        <f t="shared" si="34"/>
        <v>704.28960000000006</v>
      </c>
      <c r="Y426" s="101">
        <f t="shared" si="38"/>
        <v>313.58166</v>
      </c>
      <c r="AA426" s="101">
        <v>4</v>
      </c>
      <c r="AB426" s="101">
        <v>37</v>
      </c>
      <c r="AC426" s="101">
        <v>195</v>
      </c>
      <c r="AD426" s="101">
        <v>1094</v>
      </c>
      <c r="AE426" s="101">
        <v>309</v>
      </c>
    </row>
    <row r="427" spans="1:31" ht="11.25" hidden="1" customHeight="1" x14ac:dyDescent="0.3">
      <c r="A427" s="126" t="s">
        <v>176</v>
      </c>
      <c r="B427" s="126">
        <v>18</v>
      </c>
      <c r="C427" s="126">
        <v>26</v>
      </c>
      <c r="D427" s="126" t="str">
        <f t="shared" si="33"/>
        <v>1826</v>
      </c>
      <c r="J427" s="101">
        <v>14</v>
      </c>
      <c r="K427" s="101">
        <v>18</v>
      </c>
      <c r="L427" s="101">
        <v>609</v>
      </c>
      <c r="M427" s="101">
        <v>29671</v>
      </c>
      <c r="N427" s="101">
        <v>16684</v>
      </c>
      <c r="O427" s="101">
        <v>3</v>
      </c>
      <c r="P427" s="101">
        <v>4</v>
      </c>
      <c r="Q427" s="101">
        <v>8</v>
      </c>
      <c r="R427" s="101">
        <v>94.79</v>
      </c>
      <c r="S427" s="101">
        <v>67.992999999999995</v>
      </c>
      <c r="T427" s="169">
        <v>1.02</v>
      </c>
      <c r="U427" s="101">
        <f t="shared" si="35"/>
        <v>3.06</v>
      </c>
      <c r="V427" s="101">
        <f t="shared" si="36"/>
        <v>4.08</v>
      </c>
      <c r="W427" s="101">
        <f t="shared" si="37"/>
        <v>8.16</v>
      </c>
      <c r="X427" s="101">
        <f t="shared" si="34"/>
        <v>96.685800000000015</v>
      </c>
      <c r="Y427" s="101">
        <f t="shared" si="38"/>
        <v>69.352859999999993</v>
      </c>
      <c r="AA427" s="101">
        <v>2</v>
      </c>
      <c r="AB427" s="101">
        <v>3</v>
      </c>
      <c r="AC427" s="101">
        <v>4</v>
      </c>
      <c r="AD427" s="101">
        <v>0</v>
      </c>
      <c r="AE427" s="101">
        <v>20</v>
      </c>
    </row>
    <row r="428" spans="1:31" ht="11.25" hidden="1" customHeight="1" x14ac:dyDescent="0.3">
      <c r="A428" s="126" t="s">
        <v>176</v>
      </c>
      <c r="B428" s="126">
        <v>18</v>
      </c>
      <c r="C428" s="126">
        <v>32</v>
      </c>
      <c r="D428" s="126" t="str">
        <f t="shared" si="33"/>
        <v>1832</v>
      </c>
      <c r="J428" s="101">
        <v>62</v>
      </c>
      <c r="K428" s="101">
        <v>104</v>
      </c>
      <c r="L428" s="101">
        <v>3369</v>
      </c>
      <c r="M428" s="101">
        <v>42389</v>
      </c>
      <c r="N428" s="101">
        <v>30140</v>
      </c>
      <c r="O428" s="101">
        <v>36</v>
      </c>
      <c r="P428" s="101">
        <v>62</v>
      </c>
      <c r="Q428" s="101">
        <v>7907</v>
      </c>
      <c r="R428" s="101">
        <v>29546.93</v>
      </c>
      <c r="S428" s="101">
        <v>72680.142000000007</v>
      </c>
      <c r="T428" s="169">
        <v>1.02</v>
      </c>
      <c r="U428" s="101">
        <f t="shared" si="35"/>
        <v>36.72</v>
      </c>
      <c r="V428" s="101">
        <f t="shared" si="36"/>
        <v>63.24</v>
      </c>
      <c r="W428" s="101">
        <f t="shared" si="37"/>
        <v>8065.14</v>
      </c>
      <c r="X428" s="101">
        <f t="shared" si="34"/>
        <v>30137.868600000002</v>
      </c>
      <c r="Y428" s="101">
        <f t="shared" si="38"/>
        <v>74133.744840000014</v>
      </c>
      <c r="AA428" s="101">
        <v>26</v>
      </c>
      <c r="AB428" s="101">
        <v>61</v>
      </c>
      <c r="AC428" s="101">
        <v>2068</v>
      </c>
      <c r="AD428" s="101">
        <v>18032</v>
      </c>
      <c r="AE428" s="101">
        <v>9517</v>
      </c>
    </row>
    <row r="429" spans="1:31" ht="11.25" hidden="1" customHeight="1" x14ac:dyDescent="0.3">
      <c r="A429" s="126" t="s">
        <v>176</v>
      </c>
      <c r="B429" s="126">
        <v>18</v>
      </c>
      <c r="C429" s="126">
        <v>43</v>
      </c>
      <c r="D429" s="126" t="str">
        <f t="shared" si="33"/>
        <v>1843</v>
      </c>
      <c r="J429" s="101">
        <v>0</v>
      </c>
      <c r="K429" s="101">
        <v>0</v>
      </c>
      <c r="L429" s="101">
        <v>0</v>
      </c>
      <c r="M429" s="101">
        <v>0</v>
      </c>
      <c r="N429" s="101">
        <v>0</v>
      </c>
      <c r="O429" s="101">
        <v>0</v>
      </c>
      <c r="P429" s="101">
        <v>0</v>
      </c>
      <c r="Q429" s="101">
        <v>0</v>
      </c>
      <c r="R429" s="101">
        <v>0</v>
      </c>
      <c r="S429" s="101">
        <v>0</v>
      </c>
      <c r="T429" s="169">
        <v>1.02</v>
      </c>
      <c r="U429" s="101">
        <f t="shared" si="35"/>
        <v>0</v>
      </c>
      <c r="V429" s="101">
        <f t="shared" si="36"/>
        <v>0</v>
      </c>
      <c r="W429" s="101">
        <f t="shared" si="37"/>
        <v>0</v>
      </c>
      <c r="X429" s="101">
        <f t="shared" si="34"/>
        <v>0</v>
      </c>
      <c r="Y429" s="101">
        <f t="shared" si="38"/>
        <v>0</v>
      </c>
      <c r="AA429" s="101">
        <v>0</v>
      </c>
      <c r="AB429" s="101">
        <v>0</v>
      </c>
      <c r="AC429" s="101">
        <v>0</v>
      </c>
      <c r="AD429" s="101">
        <v>0</v>
      </c>
      <c r="AE429" s="101">
        <v>0</v>
      </c>
    </row>
    <row r="430" spans="1:31" ht="11.25" hidden="1" customHeight="1" x14ac:dyDescent="0.3">
      <c r="A430" s="126" t="s">
        <v>176</v>
      </c>
      <c r="B430" s="126">
        <v>18</v>
      </c>
      <c r="C430" s="126">
        <v>45</v>
      </c>
      <c r="D430" s="126" t="str">
        <f t="shared" si="33"/>
        <v>1845</v>
      </c>
      <c r="J430" s="101">
        <v>0</v>
      </c>
      <c r="K430" s="101">
        <v>0</v>
      </c>
      <c r="L430" s="101">
        <v>0</v>
      </c>
      <c r="M430" s="101">
        <v>0</v>
      </c>
      <c r="N430" s="101">
        <v>0</v>
      </c>
      <c r="O430" s="101">
        <v>0</v>
      </c>
      <c r="P430" s="101">
        <v>0</v>
      </c>
      <c r="Q430" s="101">
        <v>0</v>
      </c>
      <c r="R430" s="101">
        <v>0</v>
      </c>
      <c r="S430" s="101">
        <v>0</v>
      </c>
      <c r="T430" s="169">
        <v>1.02</v>
      </c>
      <c r="U430" s="101">
        <f t="shared" si="35"/>
        <v>0</v>
      </c>
      <c r="V430" s="101">
        <f t="shared" si="36"/>
        <v>0</v>
      </c>
      <c r="W430" s="101">
        <f t="shared" si="37"/>
        <v>0</v>
      </c>
      <c r="X430" s="101">
        <f t="shared" si="34"/>
        <v>0</v>
      </c>
      <c r="Y430" s="101">
        <f t="shared" si="38"/>
        <v>0</v>
      </c>
      <c r="AA430" s="101">
        <v>0</v>
      </c>
      <c r="AB430" s="101">
        <v>0</v>
      </c>
      <c r="AC430" s="101">
        <v>0</v>
      </c>
      <c r="AD430" s="101">
        <v>0</v>
      </c>
      <c r="AE430" s="101">
        <v>0</v>
      </c>
    </row>
    <row r="431" spans="1:31" ht="11.25" hidden="1" customHeight="1" x14ac:dyDescent="0.3">
      <c r="A431" s="126" t="s">
        <v>176</v>
      </c>
      <c r="B431" s="126">
        <v>18</v>
      </c>
      <c r="C431" s="126">
        <v>48</v>
      </c>
      <c r="D431" s="126" t="str">
        <f t="shared" si="33"/>
        <v>1848</v>
      </c>
      <c r="J431" s="101">
        <v>0</v>
      </c>
      <c r="K431" s="101">
        <v>0</v>
      </c>
      <c r="L431" s="101">
        <v>0</v>
      </c>
      <c r="M431" s="101">
        <v>0</v>
      </c>
      <c r="N431" s="101">
        <v>0</v>
      </c>
      <c r="O431" s="101">
        <v>0</v>
      </c>
      <c r="P431" s="101">
        <v>0</v>
      </c>
      <c r="Q431" s="101">
        <v>0</v>
      </c>
      <c r="R431" s="101">
        <v>0</v>
      </c>
      <c r="S431" s="101">
        <v>0</v>
      </c>
      <c r="T431" s="169">
        <v>1.02</v>
      </c>
      <c r="U431" s="101">
        <f t="shared" si="35"/>
        <v>0</v>
      </c>
      <c r="V431" s="101">
        <f t="shared" si="36"/>
        <v>0</v>
      </c>
      <c r="W431" s="101">
        <f t="shared" si="37"/>
        <v>0</v>
      </c>
      <c r="X431" s="101">
        <f t="shared" si="34"/>
        <v>0</v>
      </c>
      <c r="Y431" s="101">
        <f t="shared" si="38"/>
        <v>0</v>
      </c>
      <c r="AA431" s="101">
        <v>0</v>
      </c>
      <c r="AB431" s="101">
        <v>0</v>
      </c>
      <c r="AC431" s="101">
        <v>0</v>
      </c>
      <c r="AD431" s="101">
        <v>0</v>
      </c>
      <c r="AE431" s="101">
        <v>0</v>
      </c>
    </row>
    <row r="432" spans="1:31" ht="11.25" hidden="1" customHeight="1" x14ac:dyDescent="0.3">
      <c r="A432" s="126" t="s">
        <v>176</v>
      </c>
      <c r="B432" s="126">
        <v>18</v>
      </c>
      <c r="C432" s="126">
        <v>91</v>
      </c>
      <c r="D432" s="126" t="str">
        <f t="shared" si="33"/>
        <v>1891</v>
      </c>
      <c r="J432" s="101">
        <v>63</v>
      </c>
      <c r="K432" s="101">
        <v>114</v>
      </c>
      <c r="L432" s="101">
        <v>1807</v>
      </c>
      <c r="M432" s="101">
        <v>5872</v>
      </c>
      <c r="N432" s="101">
        <v>2050</v>
      </c>
      <c r="O432" s="101">
        <v>38</v>
      </c>
      <c r="P432" s="101">
        <v>139</v>
      </c>
      <c r="Q432" s="101">
        <v>3170</v>
      </c>
      <c r="R432" s="101">
        <v>10495.9</v>
      </c>
      <c r="S432" s="101">
        <v>2074.3389999999999</v>
      </c>
      <c r="T432" s="169">
        <v>1.02</v>
      </c>
      <c r="U432" s="101">
        <f t="shared" si="35"/>
        <v>38.76</v>
      </c>
      <c r="V432" s="101">
        <f t="shared" si="36"/>
        <v>141.78</v>
      </c>
      <c r="W432" s="101">
        <f t="shared" si="37"/>
        <v>3233.4</v>
      </c>
      <c r="X432" s="101">
        <f t="shared" si="34"/>
        <v>10705.817999999999</v>
      </c>
      <c r="Y432" s="101">
        <f t="shared" si="38"/>
        <v>2115.8257800000001</v>
      </c>
      <c r="AA432" s="101">
        <v>51</v>
      </c>
      <c r="AB432" s="101">
        <v>73</v>
      </c>
      <c r="AC432" s="101">
        <v>710</v>
      </c>
      <c r="AD432" s="101">
        <v>3290</v>
      </c>
      <c r="AE432" s="101">
        <v>2987</v>
      </c>
    </row>
    <row r="433" spans="1:31" ht="11.25" hidden="1" customHeight="1" x14ac:dyDescent="0.3">
      <c r="A433" s="126" t="s">
        <v>176</v>
      </c>
      <c r="B433" s="126">
        <v>18</v>
      </c>
      <c r="C433" s="126">
        <v>44</v>
      </c>
      <c r="D433" s="126" t="str">
        <f t="shared" si="33"/>
        <v>1844</v>
      </c>
      <c r="J433" s="101">
        <v>0</v>
      </c>
      <c r="K433" s="101">
        <v>0</v>
      </c>
      <c r="L433" s="101">
        <v>0</v>
      </c>
      <c r="M433" s="101">
        <v>0</v>
      </c>
      <c r="N433" s="101">
        <v>0</v>
      </c>
      <c r="O433" s="101">
        <v>0</v>
      </c>
      <c r="P433" s="101">
        <v>0</v>
      </c>
      <c r="Q433" s="101">
        <v>0</v>
      </c>
      <c r="R433" s="101">
        <v>0</v>
      </c>
      <c r="S433" s="101">
        <v>0</v>
      </c>
      <c r="T433" s="169">
        <v>1.02</v>
      </c>
      <c r="U433" s="101">
        <f t="shared" si="35"/>
        <v>0</v>
      </c>
      <c r="V433" s="101">
        <f t="shared" si="36"/>
        <v>0</v>
      </c>
      <c r="W433" s="101">
        <f t="shared" si="37"/>
        <v>0</v>
      </c>
      <c r="X433" s="101">
        <f t="shared" si="34"/>
        <v>0</v>
      </c>
      <c r="Y433" s="101">
        <f t="shared" si="38"/>
        <v>0</v>
      </c>
      <c r="AA433" s="101">
        <v>0</v>
      </c>
      <c r="AB433" s="101">
        <v>0</v>
      </c>
      <c r="AC433" s="101">
        <v>0</v>
      </c>
      <c r="AD433" s="101">
        <v>0</v>
      </c>
      <c r="AE433" s="101">
        <v>0</v>
      </c>
    </row>
    <row r="434" spans="1:31" ht="11.25" hidden="1" customHeight="1" x14ac:dyDescent="0.3">
      <c r="A434" s="126" t="s">
        <v>176</v>
      </c>
      <c r="B434" s="126">
        <v>18</v>
      </c>
      <c r="C434" s="126">
        <v>27</v>
      </c>
      <c r="D434" s="126" t="str">
        <f t="shared" si="33"/>
        <v>1827</v>
      </c>
      <c r="E434" s="101">
        <v>88</v>
      </c>
      <c r="F434" s="101">
        <v>1710</v>
      </c>
      <c r="G434" s="101">
        <v>6425</v>
      </c>
      <c r="H434" s="101">
        <v>71916.149999999994</v>
      </c>
      <c r="I434" s="101">
        <v>23643.843999999997</v>
      </c>
      <c r="J434" s="101">
        <v>65</v>
      </c>
      <c r="K434" s="101">
        <v>2967</v>
      </c>
      <c r="L434" s="101">
        <v>13608</v>
      </c>
      <c r="M434" s="101">
        <v>137040</v>
      </c>
      <c r="N434" s="101">
        <v>43236</v>
      </c>
      <c r="O434" s="101">
        <v>74</v>
      </c>
      <c r="P434" s="101">
        <v>1596</v>
      </c>
      <c r="Q434" s="101">
        <v>7844</v>
      </c>
      <c r="R434" s="101">
        <v>57385.83</v>
      </c>
      <c r="S434" s="101">
        <v>26395.399000000001</v>
      </c>
      <c r="T434" s="169">
        <v>1.02</v>
      </c>
      <c r="U434" s="101">
        <f t="shared" si="35"/>
        <v>75.48</v>
      </c>
      <c r="V434" s="101">
        <f t="shared" si="36"/>
        <v>1627.92</v>
      </c>
      <c r="W434" s="101">
        <f t="shared" si="37"/>
        <v>8000.88</v>
      </c>
      <c r="X434" s="101">
        <f t="shared" si="34"/>
        <v>58533.546600000001</v>
      </c>
      <c r="Y434" s="101">
        <f t="shared" si="38"/>
        <v>26923.306980000001</v>
      </c>
      <c r="AA434" s="101">
        <v>53</v>
      </c>
      <c r="AB434" s="101">
        <v>1709</v>
      </c>
      <c r="AC434" s="101">
        <v>8646</v>
      </c>
      <c r="AD434" s="101">
        <v>67912</v>
      </c>
      <c r="AE434" s="101">
        <v>29413</v>
      </c>
    </row>
    <row r="435" spans="1:31" ht="11.25" hidden="1" customHeight="1" x14ac:dyDescent="0.3">
      <c r="A435" s="126" t="s">
        <v>176</v>
      </c>
      <c r="B435" s="126">
        <v>18</v>
      </c>
      <c r="C435" s="126">
        <v>41</v>
      </c>
      <c r="D435" s="126" t="str">
        <f t="shared" si="33"/>
        <v>1841</v>
      </c>
      <c r="O435" s="101">
        <v>3</v>
      </c>
      <c r="P435" s="101">
        <v>3</v>
      </c>
      <c r="Q435" s="101">
        <v>4</v>
      </c>
      <c r="R435" s="101">
        <v>70.760000000000005</v>
      </c>
      <c r="S435" s="101">
        <v>9.4049999999999994</v>
      </c>
      <c r="T435" s="169">
        <v>1.02</v>
      </c>
      <c r="U435" s="101">
        <f t="shared" si="35"/>
        <v>3.06</v>
      </c>
      <c r="V435" s="101">
        <f t="shared" si="36"/>
        <v>3.06</v>
      </c>
      <c r="W435" s="101">
        <f t="shared" si="37"/>
        <v>4.08</v>
      </c>
      <c r="X435" s="101">
        <f t="shared" si="34"/>
        <v>72.175200000000004</v>
      </c>
      <c r="Y435" s="101">
        <f t="shared" si="38"/>
        <v>9.5930999999999997</v>
      </c>
      <c r="AA435" s="101">
        <v>3</v>
      </c>
      <c r="AB435" s="101">
        <v>3</v>
      </c>
      <c r="AC435" s="101">
        <v>71</v>
      </c>
      <c r="AD435" s="101">
        <v>253</v>
      </c>
      <c r="AE435" s="101">
        <v>93</v>
      </c>
    </row>
    <row r="436" spans="1:31" ht="11.25" customHeight="1" x14ac:dyDescent="0.3">
      <c r="A436" s="126" t="s">
        <v>176</v>
      </c>
      <c r="B436" s="126">
        <v>18</v>
      </c>
      <c r="C436" s="126" t="s">
        <v>172</v>
      </c>
      <c r="D436" s="126" t="str">
        <f t="shared" si="33"/>
        <v>18Uml</v>
      </c>
      <c r="J436" s="101">
        <v>263</v>
      </c>
      <c r="K436" s="101">
        <v>263</v>
      </c>
      <c r="L436" s="101">
        <v>89916</v>
      </c>
      <c r="N436" s="101">
        <v>459391</v>
      </c>
      <c r="O436" s="101">
        <v>218</v>
      </c>
      <c r="P436" s="101">
        <v>219</v>
      </c>
      <c r="Q436" s="101">
        <v>32738</v>
      </c>
      <c r="S436" s="101">
        <v>141940</v>
      </c>
      <c r="T436" s="169">
        <v>1.02</v>
      </c>
      <c r="U436" s="101">
        <f t="shared" si="35"/>
        <v>222.36</v>
      </c>
      <c r="V436" s="101">
        <f t="shared" si="36"/>
        <v>223.38</v>
      </c>
      <c r="W436" s="101">
        <f t="shared" si="37"/>
        <v>33392.76</v>
      </c>
      <c r="X436" s="101">
        <f t="shared" si="34"/>
        <v>0</v>
      </c>
      <c r="Y436" s="101">
        <f t="shared" si="38"/>
        <v>144778.79999999999</v>
      </c>
      <c r="AA436" s="101">
        <v>249</v>
      </c>
      <c r="AB436" s="101">
        <v>254</v>
      </c>
      <c r="AC436" s="101">
        <v>45710</v>
      </c>
      <c r="AE436" s="101">
        <v>294492.92099999997</v>
      </c>
    </row>
    <row r="437" spans="1:31" ht="11.25" hidden="1" customHeight="1" x14ac:dyDescent="0.3">
      <c r="A437" s="126" t="s">
        <v>176</v>
      </c>
      <c r="B437" s="126">
        <v>18</v>
      </c>
      <c r="C437" s="126">
        <v>37</v>
      </c>
      <c r="D437" s="126" t="str">
        <f t="shared" si="33"/>
        <v>1837</v>
      </c>
      <c r="E437" s="101">
        <v>8.75</v>
      </c>
      <c r="F437" s="101">
        <v>25.75</v>
      </c>
      <c r="G437" s="101">
        <v>395.75</v>
      </c>
      <c r="H437" s="101">
        <v>2188.145</v>
      </c>
      <c r="I437" s="101">
        <v>1353.5842500000001</v>
      </c>
      <c r="J437" s="101">
        <v>31</v>
      </c>
      <c r="K437" s="101">
        <v>83</v>
      </c>
      <c r="L437" s="101">
        <v>1847</v>
      </c>
      <c r="M437" s="101">
        <v>10898</v>
      </c>
      <c r="N437" s="101">
        <v>4326</v>
      </c>
      <c r="O437" s="101">
        <v>22</v>
      </c>
      <c r="P437" s="101">
        <v>65</v>
      </c>
      <c r="Q437" s="101">
        <v>13417</v>
      </c>
      <c r="R437" s="101">
        <v>29396.45</v>
      </c>
      <c r="S437" s="101">
        <v>23076.350999999999</v>
      </c>
      <c r="T437" s="169">
        <v>1.02</v>
      </c>
      <c r="U437" s="101">
        <f t="shared" si="35"/>
        <v>22.44</v>
      </c>
      <c r="V437" s="101">
        <f t="shared" si="36"/>
        <v>66.3</v>
      </c>
      <c r="W437" s="101">
        <f t="shared" si="37"/>
        <v>13685.34</v>
      </c>
      <c r="X437" s="101">
        <f t="shared" si="34"/>
        <v>29984.379000000001</v>
      </c>
      <c r="Y437" s="101">
        <f t="shared" si="38"/>
        <v>23537.87802</v>
      </c>
      <c r="AA437" s="101">
        <v>26</v>
      </c>
      <c r="AB437" s="101">
        <v>74</v>
      </c>
      <c r="AC437" s="101">
        <v>996</v>
      </c>
      <c r="AD437" s="101">
        <v>6835</v>
      </c>
      <c r="AE437" s="101">
        <v>3313</v>
      </c>
    </row>
    <row r="438" spans="1:31" ht="11.25" hidden="1" customHeight="1" x14ac:dyDescent="0.3">
      <c r="A438" s="126" t="s">
        <v>176</v>
      </c>
      <c r="B438" s="126">
        <v>19</v>
      </c>
      <c r="C438" s="126">
        <v>12</v>
      </c>
      <c r="D438" s="126" t="str">
        <f t="shared" si="33"/>
        <v>1912</v>
      </c>
      <c r="E438" s="101">
        <v>53</v>
      </c>
      <c r="F438" s="101">
        <v>64</v>
      </c>
      <c r="G438" s="101">
        <v>93</v>
      </c>
      <c r="H438" s="101">
        <v>1864.3799999999997</v>
      </c>
      <c r="I438" s="101">
        <v>410.42099999999994</v>
      </c>
      <c r="J438" s="101">
        <v>29</v>
      </c>
      <c r="K438" s="101">
        <v>30</v>
      </c>
      <c r="L438" s="101">
        <v>39</v>
      </c>
      <c r="M438" s="101">
        <v>1152.5800000000002</v>
      </c>
      <c r="N438" s="101">
        <v>175.37300000000002</v>
      </c>
      <c r="O438" s="101">
        <v>13</v>
      </c>
      <c r="P438" s="101">
        <v>18</v>
      </c>
      <c r="Q438" s="101">
        <v>20</v>
      </c>
      <c r="R438" s="101">
        <v>311.77</v>
      </c>
      <c r="S438" s="101">
        <v>79.570000000000007</v>
      </c>
      <c r="T438" s="169">
        <v>1.02</v>
      </c>
      <c r="U438" s="101">
        <f t="shared" si="35"/>
        <v>13.26</v>
      </c>
      <c r="V438" s="101">
        <f t="shared" si="36"/>
        <v>18.36</v>
      </c>
      <c r="W438" s="101">
        <f t="shared" si="37"/>
        <v>20.399999999999999</v>
      </c>
      <c r="X438" s="101">
        <f t="shared" si="34"/>
        <v>318.00540000000001</v>
      </c>
      <c r="Y438" s="101">
        <f t="shared" si="38"/>
        <v>81.161400000000015</v>
      </c>
      <c r="AA438" s="101">
        <v>6</v>
      </c>
      <c r="AB438" s="101">
        <v>6</v>
      </c>
      <c r="AC438" s="101">
        <v>6</v>
      </c>
      <c r="AD438" s="101">
        <v>82.2</v>
      </c>
      <c r="AE438" s="101">
        <v>32.625</v>
      </c>
    </row>
    <row r="439" spans="1:31" ht="11.25" hidden="1" customHeight="1" x14ac:dyDescent="0.3">
      <c r="A439" s="126" t="s">
        <v>176</v>
      </c>
      <c r="B439" s="126">
        <v>19</v>
      </c>
      <c r="C439" s="126">
        <v>17</v>
      </c>
      <c r="D439" s="126" t="str">
        <f t="shared" si="33"/>
        <v>1917</v>
      </c>
      <c r="E439" s="101">
        <v>1746</v>
      </c>
      <c r="F439" s="101">
        <v>2291</v>
      </c>
      <c r="G439" s="101">
        <v>3216</v>
      </c>
      <c r="H439" s="101">
        <v>107786.5</v>
      </c>
      <c r="I439" s="101">
        <v>20401.417999999998</v>
      </c>
      <c r="J439" s="101">
        <v>1021</v>
      </c>
      <c r="K439" s="101">
        <v>1756</v>
      </c>
      <c r="L439" s="101">
        <v>2741</v>
      </c>
      <c r="M439" s="101">
        <v>63789.69</v>
      </c>
      <c r="N439" s="101">
        <v>10132.744000000001</v>
      </c>
      <c r="O439" s="101">
        <v>978</v>
      </c>
      <c r="P439" s="101">
        <v>1938</v>
      </c>
      <c r="Q439" s="101">
        <v>2733</v>
      </c>
      <c r="R439" s="101">
        <v>63283.83</v>
      </c>
      <c r="S439" s="101">
        <v>10814.503000000001</v>
      </c>
      <c r="T439" s="169">
        <v>1.02</v>
      </c>
      <c r="U439" s="101">
        <v>1024</v>
      </c>
      <c r="V439" s="101">
        <v>2013</v>
      </c>
      <c r="W439" s="101">
        <v>3048</v>
      </c>
      <c r="X439" s="144">
        <f t="shared" si="34"/>
        <v>64549.506600000001</v>
      </c>
      <c r="Y439" s="101">
        <v>15000</v>
      </c>
      <c r="AA439" s="101">
        <v>1814</v>
      </c>
      <c r="AB439" s="101">
        <v>2683</v>
      </c>
      <c r="AC439" s="101">
        <v>3560</v>
      </c>
      <c r="AD439" s="101">
        <v>113752.69</v>
      </c>
      <c r="AE439" s="101">
        <v>18840.013999999999</v>
      </c>
    </row>
    <row r="440" spans="1:31" ht="11.25" hidden="1" customHeight="1" x14ac:dyDescent="0.3">
      <c r="A440" s="126" t="s">
        <v>176</v>
      </c>
      <c r="B440" s="126">
        <v>19</v>
      </c>
      <c r="C440" s="126">
        <v>18</v>
      </c>
      <c r="D440" s="126" t="str">
        <f t="shared" si="33"/>
        <v>1918</v>
      </c>
      <c r="E440" s="101">
        <v>239</v>
      </c>
      <c r="F440" s="101">
        <v>304</v>
      </c>
      <c r="G440" s="101">
        <v>405</v>
      </c>
      <c r="H440" s="101">
        <v>17080.16</v>
      </c>
      <c r="I440" s="101">
        <v>2950.951</v>
      </c>
      <c r="J440" s="101">
        <v>1775</v>
      </c>
      <c r="K440" s="101">
        <v>1977</v>
      </c>
      <c r="L440" s="101">
        <v>2201</v>
      </c>
      <c r="M440" s="101">
        <v>98541.11</v>
      </c>
      <c r="N440" s="101">
        <v>17685.891</v>
      </c>
      <c r="O440" s="101">
        <v>1799</v>
      </c>
      <c r="P440" s="101">
        <v>1984</v>
      </c>
      <c r="Q440" s="101">
        <v>10888</v>
      </c>
      <c r="R440" s="101">
        <v>79892.039999999994</v>
      </c>
      <c r="S440" s="101">
        <v>250736.59100000001</v>
      </c>
      <c r="T440" s="169">
        <v>0.6</v>
      </c>
      <c r="U440" s="101">
        <f t="shared" si="35"/>
        <v>1079.3999999999999</v>
      </c>
      <c r="V440" s="101">
        <f t="shared" si="36"/>
        <v>1190.3999999999999</v>
      </c>
      <c r="W440" s="101">
        <f t="shared" si="37"/>
        <v>6532.8</v>
      </c>
      <c r="X440" s="101">
        <f t="shared" si="34"/>
        <v>47935.223999999995</v>
      </c>
      <c r="Y440" s="101">
        <f t="shared" si="38"/>
        <v>150441.9546</v>
      </c>
      <c r="AA440" s="101">
        <v>2063</v>
      </c>
      <c r="AB440" s="101">
        <v>2290</v>
      </c>
      <c r="AC440" s="101">
        <v>2670</v>
      </c>
      <c r="AD440" s="101">
        <v>128124.36</v>
      </c>
      <c r="AE440" s="101">
        <v>33883.487999999998</v>
      </c>
    </row>
    <row r="441" spans="1:31" ht="11.25" hidden="1" customHeight="1" x14ac:dyDescent="0.3">
      <c r="A441" s="126" t="s">
        <v>176</v>
      </c>
      <c r="B441" s="126">
        <v>19</v>
      </c>
      <c r="C441" s="126">
        <v>28</v>
      </c>
      <c r="D441" s="126" t="str">
        <f t="shared" si="33"/>
        <v>1928</v>
      </c>
      <c r="E441" s="101">
        <v>314</v>
      </c>
      <c r="F441" s="101">
        <v>2645</v>
      </c>
      <c r="G441" s="101">
        <v>20371</v>
      </c>
      <c r="H441" s="101">
        <v>404653.81000000006</v>
      </c>
      <c r="I441" s="101">
        <v>81940.687999999995</v>
      </c>
      <c r="J441" s="101">
        <v>271</v>
      </c>
      <c r="K441" s="101">
        <v>5497</v>
      </c>
      <c r="L441" s="101">
        <v>38957</v>
      </c>
      <c r="M441" s="101">
        <v>948324.76000000013</v>
      </c>
      <c r="N441" s="101">
        <v>242038.37499999997</v>
      </c>
      <c r="O441" s="101">
        <v>231</v>
      </c>
      <c r="P441" s="101">
        <v>4165</v>
      </c>
      <c r="Q441" s="101">
        <v>23228</v>
      </c>
      <c r="R441" s="101">
        <v>353599.26999999996</v>
      </c>
      <c r="S441" s="101">
        <v>83160.313999999969</v>
      </c>
      <c r="T441" s="169">
        <v>1.02</v>
      </c>
      <c r="U441" s="101">
        <f t="shared" si="35"/>
        <v>235.62</v>
      </c>
      <c r="V441" s="101">
        <f t="shared" si="36"/>
        <v>4248.3</v>
      </c>
      <c r="W441" s="101">
        <f t="shared" si="37"/>
        <v>23692.560000000001</v>
      </c>
      <c r="X441" s="101">
        <f t="shared" si="34"/>
        <v>360671.25539999997</v>
      </c>
      <c r="Y441" s="101">
        <f t="shared" si="38"/>
        <v>84823.520279999968</v>
      </c>
      <c r="AA441" s="101">
        <v>255</v>
      </c>
      <c r="AB441" s="101">
        <v>6286</v>
      </c>
      <c r="AC441" s="101">
        <v>43921</v>
      </c>
      <c r="AD441" s="101">
        <v>759427.49</v>
      </c>
      <c r="AE441" s="101">
        <v>174503.508</v>
      </c>
    </row>
    <row r="442" spans="1:31" ht="11.25" hidden="1" customHeight="1" x14ac:dyDescent="0.3">
      <c r="A442" s="126" t="s">
        <v>176</v>
      </c>
      <c r="B442" s="126">
        <v>19</v>
      </c>
      <c r="C442" s="126">
        <v>46</v>
      </c>
      <c r="D442" s="126" t="str">
        <f t="shared" si="33"/>
        <v>1946</v>
      </c>
      <c r="E442" s="101">
        <v>399</v>
      </c>
      <c r="F442" s="101">
        <v>728</v>
      </c>
      <c r="G442" s="101">
        <v>11948</v>
      </c>
      <c r="H442" s="101">
        <v>281178.96000000002</v>
      </c>
      <c r="I442" s="101">
        <v>62932.861999999994</v>
      </c>
      <c r="J442" s="101">
        <v>243</v>
      </c>
      <c r="K442" s="101">
        <v>511</v>
      </c>
      <c r="L442" s="101">
        <v>34324</v>
      </c>
      <c r="M442" s="101">
        <v>319257.02999999997</v>
      </c>
      <c r="N442" s="101">
        <v>156144.348</v>
      </c>
      <c r="O442" s="101">
        <v>128</v>
      </c>
      <c r="P442" s="101">
        <v>259</v>
      </c>
      <c r="Q442" s="101">
        <v>8882</v>
      </c>
      <c r="R442" s="101">
        <v>90309.61</v>
      </c>
      <c r="S442" s="101">
        <v>23459.675000000003</v>
      </c>
      <c r="T442" s="169">
        <v>1.02</v>
      </c>
      <c r="U442" s="101">
        <f t="shared" si="35"/>
        <v>130.56</v>
      </c>
      <c r="V442" s="101">
        <f t="shared" si="36"/>
        <v>264.18</v>
      </c>
      <c r="W442" s="101">
        <f t="shared" si="37"/>
        <v>9059.64</v>
      </c>
      <c r="X442" s="101">
        <f t="shared" si="34"/>
        <v>92115.802200000006</v>
      </c>
      <c r="Y442" s="101">
        <f t="shared" si="38"/>
        <v>23928.868500000004</v>
      </c>
      <c r="AA442" s="101">
        <v>249</v>
      </c>
      <c r="AB442" s="101">
        <v>518</v>
      </c>
      <c r="AC442" s="101">
        <v>24128</v>
      </c>
      <c r="AD442" s="101">
        <v>553792.1</v>
      </c>
      <c r="AE442" s="101">
        <v>240082.09299999999</v>
      </c>
    </row>
    <row r="443" spans="1:31" ht="11.25" hidden="1" customHeight="1" x14ac:dyDescent="0.3">
      <c r="A443" s="126" t="s">
        <v>176</v>
      </c>
      <c r="B443" s="126">
        <v>19</v>
      </c>
      <c r="C443" s="126">
        <v>48</v>
      </c>
      <c r="D443" s="126" t="str">
        <f t="shared" si="33"/>
        <v>1948</v>
      </c>
      <c r="E443" s="101">
        <v>1</v>
      </c>
      <c r="F443" s="101">
        <v>1</v>
      </c>
      <c r="G443" s="101">
        <v>300</v>
      </c>
      <c r="H443" s="101">
        <v>9909</v>
      </c>
      <c r="I443" s="101">
        <v>2154.96</v>
      </c>
      <c r="J443" s="101">
        <v>1</v>
      </c>
      <c r="K443" s="101">
        <v>1</v>
      </c>
      <c r="L443" s="101">
        <v>250</v>
      </c>
      <c r="M443" s="101">
        <v>8257.5</v>
      </c>
      <c r="N443" s="101">
        <v>1795.8</v>
      </c>
      <c r="O443" s="101">
        <v>0</v>
      </c>
      <c r="P443" s="101">
        <v>0</v>
      </c>
      <c r="Q443" s="101">
        <v>0</v>
      </c>
      <c r="R443" s="101">
        <v>0</v>
      </c>
      <c r="S443" s="101">
        <v>0</v>
      </c>
      <c r="T443" s="169">
        <v>1.02</v>
      </c>
      <c r="U443" s="101">
        <f t="shared" si="35"/>
        <v>0</v>
      </c>
      <c r="V443" s="101">
        <f t="shared" si="36"/>
        <v>0</v>
      </c>
      <c r="W443" s="101">
        <f t="shared" si="37"/>
        <v>0</v>
      </c>
      <c r="X443" s="101">
        <f t="shared" si="34"/>
        <v>0</v>
      </c>
      <c r="Y443" s="101">
        <f t="shared" si="38"/>
        <v>0</v>
      </c>
      <c r="AA443" s="101">
        <v>0</v>
      </c>
      <c r="AB443" s="101">
        <v>0</v>
      </c>
      <c r="AC443" s="101">
        <v>0</v>
      </c>
      <c r="AD443" s="101">
        <v>0</v>
      </c>
      <c r="AE443" s="101">
        <v>0</v>
      </c>
    </row>
    <row r="444" spans="1:31" ht="11.25" hidden="1" customHeight="1" x14ac:dyDescent="0.3">
      <c r="A444" s="126" t="s">
        <v>176</v>
      </c>
      <c r="B444" s="126">
        <v>19</v>
      </c>
      <c r="C444" s="126">
        <v>66</v>
      </c>
      <c r="D444" s="126" t="str">
        <f t="shared" si="33"/>
        <v>1966</v>
      </c>
      <c r="E444" s="101">
        <v>580</v>
      </c>
      <c r="F444" s="101">
        <v>1473</v>
      </c>
      <c r="G444" s="101">
        <v>17858</v>
      </c>
      <c r="H444" s="101">
        <v>161419.65</v>
      </c>
      <c r="I444" s="101">
        <v>71956.593999999997</v>
      </c>
      <c r="J444" s="101">
        <v>309</v>
      </c>
      <c r="K444" s="101">
        <v>1157</v>
      </c>
      <c r="L444" s="101">
        <v>20290</v>
      </c>
      <c r="M444" s="101">
        <v>133444.22</v>
      </c>
      <c r="N444" s="101">
        <v>58669.016000000003</v>
      </c>
      <c r="O444" s="101">
        <v>245</v>
      </c>
      <c r="P444" s="101">
        <v>985</v>
      </c>
      <c r="Q444" s="101">
        <v>18455</v>
      </c>
      <c r="R444" s="101">
        <v>95788.800000000017</v>
      </c>
      <c r="S444" s="101">
        <v>42238.076999999997</v>
      </c>
      <c r="T444" s="169">
        <v>1.02</v>
      </c>
      <c r="U444" s="101">
        <f t="shared" si="35"/>
        <v>249.9</v>
      </c>
      <c r="V444" s="101">
        <f t="shared" si="36"/>
        <v>1004.7</v>
      </c>
      <c r="W444" s="101">
        <f t="shared" si="37"/>
        <v>18824.099999999999</v>
      </c>
      <c r="X444" s="101">
        <f t="shared" si="34"/>
        <v>97704.576000000015</v>
      </c>
      <c r="Y444" s="101">
        <f t="shared" si="38"/>
        <v>43082.838539999997</v>
      </c>
      <c r="AA444" s="101">
        <v>79</v>
      </c>
      <c r="AB444" s="101">
        <v>1418</v>
      </c>
      <c r="AC444" s="101">
        <v>35216</v>
      </c>
      <c r="AD444" s="101">
        <v>174189.78</v>
      </c>
      <c r="AE444" s="101">
        <v>77617.960000000006</v>
      </c>
    </row>
    <row r="445" spans="1:31" ht="11.25" hidden="1" customHeight="1" x14ac:dyDescent="0.3">
      <c r="A445" s="126" t="s">
        <v>176</v>
      </c>
      <c r="B445" s="126">
        <v>19</v>
      </c>
      <c r="C445" s="126">
        <v>30</v>
      </c>
      <c r="D445" s="126" t="str">
        <f t="shared" si="33"/>
        <v>1930</v>
      </c>
      <c r="E445" s="101">
        <v>281</v>
      </c>
      <c r="F445" s="101">
        <v>2638.5</v>
      </c>
      <c r="G445" s="101">
        <v>12077</v>
      </c>
      <c r="H445" s="101">
        <v>290946.32500000001</v>
      </c>
      <c r="I445" s="101">
        <v>92787.975000000006</v>
      </c>
      <c r="J445" s="101">
        <v>565</v>
      </c>
      <c r="K445" s="101">
        <v>5436</v>
      </c>
      <c r="L445" s="101">
        <v>19404</v>
      </c>
      <c r="M445" s="101">
        <v>448462.33</v>
      </c>
      <c r="N445" s="101">
        <v>180622.68400000001</v>
      </c>
      <c r="O445" s="138"/>
      <c r="P445" s="138"/>
      <c r="Q445" s="138"/>
      <c r="R445" s="138"/>
      <c r="S445" s="138"/>
      <c r="T445" s="169">
        <v>1.02</v>
      </c>
      <c r="U445" s="101">
        <f t="shared" si="35"/>
        <v>0</v>
      </c>
      <c r="V445" s="101">
        <f t="shared" si="36"/>
        <v>0</v>
      </c>
      <c r="W445" s="101">
        <f t="shared" si="37"/>
        <v>0</v>
      </c>
      <c r="X445" s="101">
        <f t="shared" si="34"/>
        <v>0</v>
      </c>
      <c r="Y445" s="101">
        <f t="shared" si="38"/>
        <v>0</v>
      </c>
      <c r="AA445" s="101">
        <v>56</v>
      </c>
      <c r="AB445" s="101">
        <v>59</v>
      </c>
      <c r="AC445" s="101">
        <v>723</v>
      </c>
      <c r="AD445" s="101">
        <v>53563.5</v>
      </c>
      <c r="AE445" s="101">
        <v>27057.141</v>
      </c>
    </row>
    <row r="446" spans="1:31" ht="11.25" hidden="1" customHeight="1" x14ac:dyDescent="0.3">
      <c r="A446" s="126" t="s">
        <v>176</v>
      </c>
      <c r="B446" s="126">
        <v>19</v>
      </c>
      <c r="C446" s="126">
        <v>21</v>
      </c>
      <c r="D446" s="126" t="str">
        <f t="shared" si="33"/>
        <v>1921</v>
      </c>
      <c r="E446" s="101">
        <v>1008.5</v>
      </c>
      <c r="F446" s="101">
        <v>5724.5</v>
      </c>
      <c r="G446" s="101">
        <v>22561.5</v>
      </c>
      <c r="H446" s="101">
        <v>402391.16499999998</v>
      </c>
      <c r="I446" s="101">
        <v>107633.9115</v>
      </c>
      <c r="J446" s="101">
        <v>1065</v>
      </c>
      <c r="K446" s="101">
        <v>7459</v>
      </c>
      <c r="L446" s="101">
        <v>38853</v>
      </c>
      <c r="M446" s="101">
        <v>526346.38</v>
      </c>
      <c r="N446" s="101">
        <v>165601.64600000004</v>
      </c>
      <c r="O446" s="138">
        <v>933</v>
      </c>
      <c r="P446" s="138">
        <v>6706</v>
      </c>
      <c r="Q446" s="138">
        <v>35813</v>
      </c>
      <c r="R446" s="138">
        <v>490553.15999999992</v>
      </c>
      <c r="S446" s="138">
        <v>218085.99400000001</v>
      </c>
      <c r="T446" s="169">
        <v>1.02</v>
      </c>
      <c r="U446" s="101">
        <f>O446*T446-2</f>
        <v>949.66</v>
      </c>
      <c r="V446" s="101">
        <f>P446*T446-4</f>
        <v>6836.12</v>
      </c>
      <c r="W446" s="101">
        <f>Q446*T446-250</f>
        <v>36279.26</v>
      </c>
      <c r="X446" s="101">
        <f>R446*T446-4025</f>
        <v>496339.22319999995</v>
      </c>
      <c r="Y446" s="101">
        <f>S446*T446-1715</f>
        <v>220732.71388</v>
      </c>
      <c r="AA446" s="101">
        <v>907</v>
      </c>
      <c r="AB446" s="101">
        <v>7153</v>
      </c>
      <c r="AC446" s="101">
        <v>31914</v>
      </c>
      <c r="AD446" s="101">
        <v>465862.53</v>
      </c>
      <c r="AE446" s="101">
        <v>137261.46100000001</v>
      </c>
    </row>
    <row r="447" spans="1:31" ht="11.25" hidden="1" customHeight="1" x14ac:dyDescent="0.3">
      <c r="A447" s="126" t="s">
        <v>176</v>
      </c>
      <c r="B447" s="126">
        <v>19</v>
      </c>
      <c r="C447" s="126">
        <v>71</v>
      </c>
      <c r="D447" s="126" t="str">
        <f t="shared" si="33"/>
        <v>1971</v>
      </c>
      <c r="E447" s="101">
        <v>585.5</v>
      </c>
      <c r="F447" s="101">
        <v>4717.5</v>
      </c>
      <c r="G447" s="101">
        <v>14281</v>
      </c>
      <c r="H447" s="101">
        <v>120321.23000000001</v>
      </c>
      <c r="I447" s="101">
        <v>58068.364499999996</v>
      </c>
      <c r="J447" s="101">
        <v>374</v>
      </c>
      <c r="K447" s="101">
        <v>4350</v>
      </c>
      <c r="L447" s="101">
        <v>13019</v>
      </c>
      <c r="M447" s="101">
        <v>99213.739999999991</v>
      </c>
      <c r="N447" s="101">
        <v>52943.006999999998</v>
      </c>
      <c r="O447" s="101">
        <v>442</v>
      </c>
      <c r="P447" s="101">
        <v>5530</v>
      </c>
      <c r="Q447" s="101">
        <v>21059</v>
      </c>
      <c r="R447" s="101">
        <v>112186.15999999999</v>
      </c>
      <c r="S447" s="101">
        <v>55388.953000000001</v>
      </c>
      <c r="T447" s="169">
        <v>0.98</v>
      </c>
      <c r="U447" s="101">
        <f t="shared" si="35"/>
        <v>433.15999999999997</v>
      </c>
      <c r="V447" s="101">
        <f t="shared" si="36"/>
        <v>5419.4</v>
      </c>
      <c r="W447" s="101">
        <f t="shared" si="37"/>
        <v>20637.82</v>
      </c>
      <c r="X447" s="101">
        <f t="shared" si="34"/>
        <v>109942.43679999998</v>
      </c>
      <c r="Y447" s="101">
        <f t="shared" si="38"/>
        <v>54281.173940000001</v>
      </c>
      <c r="AA447" s="101">
        <v>292</v>
      </c>
      <c r="AB447" s="101">
        <v>7197</v>
      </c>
      <c r="AC447" s="101">
        <v>35693</v>
      </c>
      <c r="AD447" s="101">
        <v>208981.52</v>
      </c>
      <c r="AE447" s="101">
        <v>112401.59</v>
      </c>
    </row>
    <row r="448" spans="1:31" ht="11.25" hidden="1" customHeight="1" x14ac:dyDescent="0.3">
      <c r="A448" s="126" t="s">
        <v>176</v>
      </c>
      <c r="B448" s="126">
        <v>19</v>
      </c>
      <c r="C448" s="126">
        <v>14</v>
      </c>
      <c r="D448" s="126" t="str">
        <f t="shared" si="33"/>
        <v>1914</v>
      </c>
      <c r="J448" s="101">
        <v>6</v>
      </c>
      <c r="K448" s="101">
        <v>13</v>
      </c>
      <c r="L448" s="101">
        <v>27</v>
      </c>
      <c r="M448" s="101">
        <v>2135.1999999999998</v>
      </c>
      <c r="N448" s="101">
        <v>228.99099999999999</v>
      </c>
      <c r="O448" s="101">
        <v>25</v>
      </c>
      <c r="P448" s="101">
        <v>59</v>
      </c>
      <c r="Q448" s="101">
        <v>87</v>
      </c>
      <c r="R448" s="101">
        <v>2708.4100000000003</v>
      </c>
      <c r="S448" s="101">
        <v>282.07499999999999</v>
      </c>
      <c r="T448" s="169">
        <v>1.02</v>
      </c>
      <c r="U448" s="101">
        <f t="shared" si="35"/>
        <v>25.5</v>
      </c>
      <c r="V448" s="101">
        <f t="shared" si="36"/>
        <v>60.18</v>
      </c>
      <c r="W448" s="101">
        <f t="shared" si="37"/>
        <v>88.74</v>
      </c>
      <c r="X448" s="101">
        <f t="shared" si="34"/>
        <v>2762.5782000000004</v>
      </c>
      <c r="Y448" s="101">
        <f t="shared" si="38"/>
        <v>287.7165</v>
      </c>
      <c r="AA448" s="101">
        <v>153</v>
      </c>
      <c r="AB448" s="101">
        <v>226</v>
      </c>
      <c r="AC448" s="101">
        <v>289</v>
      </c>
      <c r="AD448" s="101">
        <v>15923.88</v>
      </c>
      <c r="AE448" s="101">
        <v>2545.846</v>
      </c>
    </row>
    <row r="449" spans="1:31" ht="11.25" hidden="1" customHeight="1" x14ac:dyDescent="0.3">
      <c r="A449" s="126" t="s">
        <v>176</v>
      </c>
      <c r="B449" s="126">
        <v>19</v>
      </c>
      <c r="C449" s="126">
        <v>22</v>
      </c>
      <c r="D449" s="126" t="str">
        <f t="shared" si="33"/>
        <v>1922</v>
      </c>
      <c r="J449" s="101">
        <v>13</v>
      </c>
      <c r="K449" s="101">
        <v>22</v>
      </c>
      <c r="L449" s="101">
        <v>969</v>
      </c>
      <c r="M449" s="101">
        <v>57325.9</v>
      </c>
      <c r="N449" s="101">
        <v>28592.552</v>
      </c>
      <c r="O449" s="101">
        <v>12</v>
      </c>
      <c r="P449" s="101">
        <v>17</v>
      </c>
      <c r="Q449" s="101">
        <v>48</v>
      </c>
      <c r="R449" s="101">
        <v>503.91999999999996</v>
      </c>
      <c r="S449" s="101">
        <v>214.97700000000003</v>
      </c>
      <c r="T449" s="169">
        <v>1.02</v>
      </c>
      <c r="U449" s="101">
        <f t="shared" si="35"/>
        <v>12.24</v>
      </c>
      <c r="V449" s="101">
        <f t="shared" si="36"/>
        <v>17.34</v>
      </c>
      <c r="W449" s="101">
        <f t="shared" si="37"/>
        <v>48.96</v>
      </c>
      <c r="X449" s="101">
        <f t="shared" si="34"/>
        <v>513.99839999999995</v>
      </c>
      <c r="Y449" s="101">
        <f t="shared" si="38"/>
        <v>219.27654000000004</v>
      </c>
      <c r="AA449" s="101">
        <v>3</v>
      </c>
      <c r="AB449" s="101">
        <v>3</v>
      </c>
      <c r="AC449" s="101">
        <v>83</v>
      </c>
      <c r="AD449" s="101">
        <v>482.4</v>
      </c>
      <c r="AE449" s="101">
        <v>620.86500000000001</v>
      </c>
    </row>
    <row r="450" spans="1:31" ht="11.25" hidden="1" customHeight="1" x14ac:dyDescent="0.3">
      <c r="A450" s="126" t="s">
        <v>176</v>
      </c>
      <c r="B450" s="126">
        <v>19</v>
      </c>
      <c r="C450" s="126">
        <v>26</v>
      </c>
      <c r="D450" s="126" t="str">
        <f t="shared" si="33"/>
        <v>1926</v>
      </c>
      <c r="J450" s="101">
        <v>3</v>
      </c>
      <c r="K450" s="101">
        <v>42</v>
      </c>
      <c r="L450" s="101">
        <v>520</v>
      </c>
      <c r="M450" s="101">
        <v>5778.03</v>
      </c>
      <c r="N450" s="101">
        <v>1793.8040000000001</v>
      </c>
      <c r="O450" s="101">
        <v>7</v>
      </c>
      <c r="P450" s="101">
        <v>14</v>
      </c>
      <c r="Q450" s="101">
        <v>262</v>
      </c>
      <c r="R450" s="101">
        <v>12098.3</v>
      </c>
      <c r="S450" s="101">
        <v>7866.6100000000006</v>
      </c>
      <c r="T450" s="169">
        <v>1.02</v>
      </c>
      <c r="U450" s="101">
        <f t="shared" si="35"/>
        <v>7.1400000000000006</v>
      </c>
      <c r="V450" s="101">
        <f t="shared" si="36"/>
        <v>14.280000000000001</v>
      </c>
      <c r="W450" s="101">
        <f t="shared" si="37"/>
        <v>267.24</v>
      </c>
      <c r="X450" s="101">
        <f t="shared" si="34"/>
        <v>12340.266</v>
      </c>
      <c r="Y450" s="101">
        <f t="shared" si="38"/>
        <v>8023.9422000000004</v>
      </c>
      <c r="AA450" s="101">
        <v>8</v>
      </c>
      <c r="AB450" s="101">
        <v>23</v>
      </c>
      <c r="AC450" s="101">
        <v>104</v>
      </c>
      <c r="AD450" s="101">
        <v>482.5</v>
      </c>
      <c r="AE450" s="101">
        <v>719.16899999999998</v>
      </c>
    </row>
    <row r="451" spans="1:31" ht="11.25" hidden="1" customHeight="1" x14ac:dyDescent="0.3">
      <c r="A451" s="126" t="s">
        <v>176</v>
      </c>
      <c r="B451" s="126">
        <v>19</v>
      </c>
      <c r="C451" s="126">
        <v>32</v>
      </c>
      <c r="D451" s="126" t="str">
        <f t="shared" si="33"/>
        <v>1932</v>
      </c>
      <c r="J451" s="101">
        <v>42</v>
      </c>
      <c r="K451" s="101">
        <v>71</v>
      </c>
      <c r="L451" s="101">
        <v>2099</v>
      </c>
      <c r="M451" s="101">
        <v>25565.06</v>
      </c>
      <c r="N451" s="101">
        <v>25274.041000000005</v>
      </c>
      <c r="O451" s="101">
        <v>33</v>
      </c>
      <c r="P451" s="101">
        <v>66</v>
      </c>
      <c r="Q451" s="101">
        <v>1969</v>
      </c>
      <c r="R451" s="101">
        <v>41414.269999999997</v>
      </c>
      <c r="S451" s="101">
        <v>13096.201999999999</v>
      </c>
      <c r="T451" s="169">
        <v>1.02</v>
      </c>
      <c r="U451" s="101">
        <f t="shared" si="35"/>
        <v>33.660000000000004</v>
      </c>
      <c r="V451" s="101">
        <f t="shared" si="36"/>
        <v>67.320000000000007</v>
      </c>
      <c r="W451" s="101">
        <f t="shared" si="37"/>
        <v>2008.38</v>
      </c>
      <c r="X451" s="101">
        <f t="shared" si="34"/>
        <v>42242.555399999997</v>
      </c>
      <c r="Y451" s="101">
        <f t="shared" si="38"/>
        <v>13358.126039999999</v>
      </c>
      <c r="AA451" s="101">
        <v>26</v>
      </c>
      <c r="AB451" s="101">
        <v>68</v>
      </c>
      <c r="AC451" s="101">
        <v>1296</v>
      </c>
      <c r="AD451" s="101">
        <v>22379.34</v>
      </c>
      <c r="AE451" s="101">
        <v>11518.061</v>
      </c>
    </row>
    <row r="452" spans="1:31" ht="11.25" hidden="1" customHeight="1" x14ac:dyDescent="0.3">
      <c r="A452" s="126" t="s">
        <v>176</v>
      </c>
      <c r="B452" s="126">
        <v>19</v>
      </c>
      <c r="C452" s="126">
        <v>43</v>
      </c>
      <c r="D452" s="126" t="str">
        <f t="shared" si="33"/>
        <v>1943</v>
      </c>
      <c r="J452" s="101">
        <v>0</v>
      </c>
      <c r="K452" s="101">
        <v>0</v>
      </c>
      <c r="L452" s="101">
        <v>0</v>
      </c>
      <c r="M452" s="101">
        <v>0</v>
      </c>
      <c r="N452" s="101">
        <v>0</v>
      </c>
      <c r="O452" s="101">
        <v>0</v>
      </c>
      <c r="P452" s="101">
        <v>0</v>
      </c>
      <c r="Q452" s="101">
        <v>0</v>
      </c>
      <c r="R452" s="101">
        <v>0</v>
      </c>
      <c r="S452" s="101">
        <v>0</v>
      </c>
      <c r="T452" s="169">
        <v>1.02</v>
      </c>
      <c r="U452" s="101">
        <f t="shared" si="35"/>
        <v>0</v>
      </c>
      <c r="V452" s="101">
        <f t="shared" si="36"/>
        <v>0</v>
      </c>
      <c r="W452" s="101">
        <f t="shared" si="37"/>
        <v>0</v>
      </c>
      <c r="X452" s="101">
        <f t="shared" si="34"/>
        <v>0</v>
      </c>
      <c r="Y452" s="101">
        <f t="shared" si="38"/>
        <v>0</v>
      </c>
      <c r="AA452" s="101">
        <v>0</v>
      </c>
      <c r="AB452" s="101">
        <v>0</v>
      </c>
      <c r="AC452" s="101">
        <v>0</v>
      </c>
      <c r="AD452" s="101">
        <v>0</v>
      </c>
      <c r="AE452" s="101">
        <v>0</v>
      </c>
    </row>
    <row r="453" spans="1:31" ht="11.25" hidden="1" customHeight="1" x14ac:dyDescent="0.3">
      <c r="A453" s="126" t="s">
        <v>176</v>
      </c>
      <c r="B453" s="126">
        <v>19</v>
      </c>
      <c r="C453" s="126">
        <v>44</v>
      </c>
      <c r="D453" s="126" t="str">
        <f t="shared" si="33"/>
        <v>1944</v>
      </c>
      <c r="J453" s="101">
        <v>0</v>
      </c>
      <c r="K453" s="101">
        <v>0</v>
      </c>
      <c r="L453" s="101">
        <v>0</v>
      </c>
      <c r="M453" s="101">
        <v>0</v>
      </c>
      <c r="N453" s="101">
        <v>0</v>
      </c>
      <c r="O453" s="101">
        <v>0</v>
      </c>
      <c r="P453" s="101">
        <v>0</v>
      </c>
      <c r="Q453" s="101">
        <v>0</v>
      </c>
      <c r="R453" s="101">
        <v>0</v>
      </c>
      <c r="S453" s="101">
        <v>0</v>
      </c>
      <c r="T453" s="169">
        <v>1.02</v>
      </c>
      <c r="U453" s="101">
        <f t="shared" si="35"/>
        <v>0</v>
      </c>
      <c r="V453" s="101">
        <f t="shared" si="36"/>
        <v>0</v>
      </c>
      <c r="W453" s="101">
        <f t="shared" si="37"/>
        <v>0</v>
      </c>
      <c r="X453" s="101">
        <f t="shared" si="34"/>
        <v>0</v>
      </c>
      <c r="Y453" s="101">
        <f t="shared" si="38"/>
        <v>0</v>
      </c>
      <c r="AA453" s="101">
        <v>0</v>
      </c>
      <c r="AB453" s="101">
        <v>0</v>
      </c>
      <c r="AC453" s="101">
        <v>0</v>
      </c>
      <c r="AD453" s="101">
        <v>0</v>
      </c>
      <c r="AE453" s="101">
        <v>0</v>
      </c>
    </row>
    <row r="454" spans="1:31" ht="11.25" hidden="1" customHeight="1" x14ac:dyDescent="0.3">
      <c r="A454" s="126" t="s">
        <v>176</v>
      </c>
      <c r="B454" s="126">
        <v>19</v>
      </c>
      <c r="C454" s="126">
        <v>45</v>
      </c>
      <c r="D454" s="126" t="str">
        <f t="shared" si="33"/>
        <v>1945</v>
      </c>
      <c r="J454" s="101">
        <v>0</v>
      </c>
      <c r="K454" s="101">
        <v>0</v>
      </c>
      <c r="L454" s="101">
        <v>0</v>
      </c>
      <c r="M454" s="101">
        <v>0</v>
      </c>
      <c r="N454" s="101">
        <v>0</v>
      </c>
      <c r="O454" s="101">
        <v>0</v>
      </c>
      <c r="P454" s="101">
        <v>0</v>
      </c>
      <c r="Q454" s="101">
        <v>0</v>
      </c>
      <c r="R454" s="101">
        <v>0</v>
      </c>
      <c r="S454" s="101">
        <v>0</v>
      </c>
      <c r="T454" s="169">
        <v>1.02</v>
      </c>
      <c r="U454" s="101">
        <f t="shared" si="35"/>
        <v>0</v>
      </c>
      <c r="V454" s="101">
        <f t="shared" si="36"/>
        <v>0</v>
      </c>
      <c r="W454" s="101">
        <f t="shared" si="37"/>
        <v>0</v>
      </c>
      <c r="X454" s="101">
        <f t="shared" ref="X454:X517" si="39">R454*T454</f>
        <v>0</v>
      </c>
      <c r="Y454" s="101">
        <f t="shared" si="38"/>
        <v>0</v>
      </c>
      <c r="AA454" s="101">
        <v>0</v>
      </c>
      <c r="AB454" s="101">
        <v>0</v>
      </c>
      <c r="AC454" s="101">
        <v>0</v>
      </c>
      <c r="AD454" s="101">
        <v>0</v>
      </c>
      <c r="AE454" s="101">
        <v>0</v>
      </c>
    </row>
    <row r="455" spans="1:31" ht="11.25" hidden="1" customHeight="1" x14ac:dyDescent="0.3">
      <c r="A455" s="126" t="s">
        <v>176</v>
      </c>
      <c r="B455" s="126">
        <v>19</v>
      </c>
      <c r="C455" s="126">
        <v>47</v>
      </c>
      <c r="D455" s="126" t="str">
        <f t="shared" si="33"/>
        <v>1947</v>
      </c>
      <c r="J455" s="101">
        <v>2</v>
      </c>
      <c r="K455" s="101">
        <v>2</v>
      </c>
      <c r="L455" s="101">
        <v>19021</v>
      </c>
      <c r="M455" s="101">
        <v>64680.13</v>
      </c>
      <c r="N455" s="101">
        <v>39543.919999999998</v>
      </c>
      <c r="O455" s="101">
        <v>2</v>
      </c>
      <c r="P455" s="101">
        <v>2</v>
      </c>
      <c r="Q455" s="101">
        <v>3000</v>
      </c>
      <c r="R455" s="101">
        <v>23850</v>
      </c>
      <c r="S455" s="101">
        <v>2154.7200000000003</v>
      </c>
      <c r="T455" s="169">
        <v>1.02</v>
      </c>
      <c r="U455" s="101">
        <f t="shared" ref="U455:U518" si="40">O455*T455</f>
        <v>2.04</v>
      </c>
      <c r="V455" s="101">
        <f t="shared" ref="V455:V518" si="41">P455*T455</f>
        <v>2.04</v>
      </c>
      <c r="W455" s="101">
        <f t="shared" ref="W455:W518" si="42">Q455*T455</f>
        <v>3060</v>
      </c>
      <c r="X455" s="101">
        <f t="shared" si="39"/>
        <v>24327</v>
      </c>
      <c r="Y455" s="101">
        <f t="shared" ref="Y455:Y518" si="43">S455*T455</f>
        <v>2197.8144000000002</v>
      </c>
      <c r="AA455" s="101">
        <v>3</v>
      </c>
      <c r="AB455" s="101">
        <v>7</v>
      </c>
      <c r="AC455" s="101">
        <v>159</v>
      </c>
      <c r="AD455" s="101">
        <v>3295.86</v>
      </c>
      <c r="AE455" s="101">
        <v>1320.595</v>
      </c>
    </row>
    <row r="456" spans="1:31" ht="11.25" hidden="1" customHeight="1" x14ac:dyDescent="0.3">
      <c r="A456" s="126" t="s">
        <v>176</v>
      </c>
      <c r="B456" s="126">
        <v>19</v>
      </c>
      <c r="C456" s="126">
        <v>91</v>
      </c>
      <c r="D456" s="126" t="str">
        <f t="shared" si="33"/>
        <v>1991</v>
      </c>
      <c r="J456" s="101">
        <v>92</v>
      </c>
      <c r="K456" s="101">
        <v>665</v>
      </c>
      <c r="L456" s="101">
        <v>3360</v>
      </c>
      <c r="M456" s="101">
        <v>20594.66</v>
      </c>
      <c r="N456" s="101">
        <v>8687.3580000000002</v>
      </c>
      <c r="O456" s="101">
        <v>27</v>
      </c>
      <c r="P456" s="101">
        <v>99</v>
      </c>
      <c r="Q456" s="101">
        <v>403</v>
      </c>
      <c r="R456" s="101">
        <v>1067.3500000000001</v>
      </c>
      <c r="S456" s="101">
        <v>1119.539</v>
      </c>
      <c r="T456" s="169">
        <v>1.02</v>
      </c>
      <c r="U456" s="101">
        <f t="shared" si="40"/>
        <v>27.54</v>
      </c>
      <c r="V456" s="101">
        <f t="shared" si="41"/>
        <v>100.98</v>
      </c>
      <c r="W456" s="101">
        <f t="shared" si="42"/>
        <v>411.06</v>
      </c>
      <c r="X456" s="101">
        <f t="shared" si="39"/>
        <v>1088.6970000000001</v>
      </c>
      <c r="Y456" s="101">
        <f t="shared" si="43"/>
        <v>1141.9297799999999</v>
      </c>
      <c r="AA456" s="101">
        <v>44</v>
      </c>
      <c r="AB456" s="101">
        <v>171</v>
      </c>
      <c r="AC456" s="101">
        <v>1417</v>
      </c>
      <c r="AD456" s="101">
        <v>14625.48</v>
      </c>
      <c r="AE456" s="101">
        <v>5340.076</v>
      </c>
    </row>
    <row r="457" spans="1:31" ht="11.25" hidden="1" customHeight="1" x14ac:dyDescent="0.3">
      <c r="A457" s="126" t="s">
        <v>176</v>
      </c>
      <c r="B457" s="126">
        <v>19</v>
      </c>
      <c r="C457" s="126">
        <v>25</v>
      </c>
      <c r="D457" s="126" t="str">
        <f t="shared" si="33"/>
        <v>1925</v>
      </c>
      <c r="E457" s="101">
        <v>1520</v>
      </c>
      <c r="F457" s="101">
        <v>7882</v>
      </c>
      <c r="G457" s="101">
        <v>57565</v>
      </c>
      <c r="H457" s="101">
        <v>731301.36</v>
      </c>
      <c r="I457" s="101">
        <v>318688.83899999998</v>
      </c>
      <c r="J457" s="101">
        <v>812</v>
      </c>
      <c r="K457" s="101">
        <v>7933</v>
      </c>
      <c r="L457" s="101">
        <v>40378</v>
      </c>
      <c r="M457" s="101">
        <v>566297.99</v>
      </c>
      <c r="N457" s="101">
        <v>262962.37099999998</v>
      </c>
      <c r="O457" s="101">
        <v>577</v>
      </c>
      <c r="P457" s="101">
        <v>4668</v>
      </c>
      <c r="Q457" s="101">
        <v>26064</v>
      </c>
      <c r="R457" s="101">
        <v>211150.77</v>
      </c>
      <c r="S457" s="101">
        <v>109253.91799999999</v>
      </c>
      <c r="T457" s="169">
        <v>1.02</v>
      </c>
      <c r="U457" s="101">
        <f t="shared" si="40"/>
        <v>588.54</v>
      </c>
      <c r="V457" s="101">
        <f t="shared" si="41"/>
        <v>4761.3599999999997</v>
      </c>
      <c r="W457" s="101">
        <f t="shared" si="42"/>
        <v>26585.279999999999</v>
      </c>
      <c r="X457" s="101">
        <f t="shared" si="39"/>
        <v>215373.78539999999</v>
      </c>
      <c r="Y457" s="101">
        <f t="shared" si="43"/>
        <v>111438.99635999999</v>
      </c>
      <c r="AA457" s="101">
        <v>703</v>
      </c>
      <c r="AB457" s="101">
        <v>6551</v>
      </c>
      <c r="AC457" s="101">
        <v>29038</v>
      </c>
      <c r="AD457" s="101">
        <v>306463.71999999997</v>
      </c>
      <c r="AE457" s="101">
        <v>173597.39600000001</v>
      </c>
    </row>
    <row r="458" spans="1:31" ht="11.25" hidden="1" customHeight="1" x14ac:dyDescent="0.3">
      <c r="A458" s="126" t="s">
        <v>176</v>
      </c>
      <c r="B458" s="126">
        <v>19</v>
      </c>
      <c r="C458" s="126">
        <v>27</v>
      </c>
      <c r="D458" s="126" t="str">
        <f t="shared" si="33"/>
        <v>1927</v>
      </c>
      <c r="E458" s="101">
        <v>142</v>
      </c>
      <c r="F458" s="101">
        <v>1302</v>
      </c>
      <c r="G458" s="101">
        <v>5073</v>
      </c>
      <c r="H458" s="101">
        <v>77597.2</v>
      </c>
      <c r="I458" s="101">
        <v>23862.849000000002</v>
      </c>
      <c r="J458" s="101">
        <v>67</v>
      </c>
      <c r="K458" s="101">
        <v>1351</v>
      </c>
      <c r="L458" s="101">
        <v>6372</v>
      </c>
      <c r="M458" s="101">
        <v>69689.19</v>
      </c>
      <c r="N458" s="101">
        <v>23241.091999999997</v>
      </c>
      <c r="O458" s="101">
        <v>75</v>
      </c>
      <c r="P458" s="101">
        <v>2138</v>
      </c>
      <c r="Q458" s="101">
        <v>13232</v>
      </c>
      <c r="R458" s="101">
        <v>93359.01</v>
      </c>
      <c r="S458" s="101">
        <v>39759.981</v>
      </c>
      <c r="T458" s="169">
        <v>1.02</v>
      </c>
      <c r="U458" s="101">
        <f t="shared" si="40"/>
        <v>76.5</v>
      </c>
      <c r="V458" s="101">
        <f t="shared" si="41"/>
        <v>2180.7600000000002</v>
      </c>
      <c r="W458" s="101">
        <f t="shared" si="42"/>
        <v>13496.64</v>
      </c>
      <c r="X458" s="101">
        <f t="shared" si="39"/>
        <v>95226.190199999997</v>
      </c>
      <c r="Y458" s="101">
        <f t="shared" si="43"/>
        <v>40555.180619999999</v>
      </c>
      <c r="AA458" s="101">
        <v>77</v>
      </c>
      <c r="AB458" s="101">
        <v>2456</v>
      </c>
      <c r="AC458" s="101">
        <v>14643</v>
      </c>
      <c r="AD458" s="101">
        <v>99617.49</v>
      </c>
      <c r="AE458" s="101">
        <v>43012.642999999996</v>
      </c>
    </row>
    <row r="459" spans="1:31" ht="11.25" hidden="1" customHeight="1" x14ac:dyDescent="0.3">
      <c r="A459" s="126" t="s">
        <v>176</v>
      </c>
      <c r="B459" s="126">
        <v>19</v>
      </c>
      <c r="C459" s="126">
        <v>41</v>
      </c>
      <c r="D459" s="126" t="str">
        <f t="shared" si="33"/>
        <v>1941</v>
      </c>
      <c r="O459" s="101">
        <v>3</v>
      </c>
      <c r="P459" s="101">
        <v>7</v>
      </c>
      <c r="Q459" s="101">
        <v>15</v>
      </c>
      <c r="R459" s="101">
        <v>344.09000000000003</v>
      </c>
      <c r="S459" s="101">
        <v>49.785000000000004</v>
      </c>
      <c r="T459" s="169">
        <v>1.02</v>
      </c>
      <c r="U459" s="101">
        <f t="shared" si="40"/>
        <v>3.06</v>
      </c>
      <c r="V459" s="101">
        <f t="shared" si="41"/>
        <v>7.1400000000000006</v>
      </c>
      <c r="W459" s="101">
        <f t="shared" si="42"/>
        <v>15.3</v>
      </c>
      <c r="X459" s="101">
        <f t="shared" si="39"/>
        <v>350.97180000000003</v>
      </c>
      <c r="Y459" s="101">
        <f t="shared" si="43"/>
        <v>50.780700000000003</v>
      </c>
      <c r="AA459" s="101">
        <v>1</v>
      </c>
      <c r="AB459" s="101">
        <v>2</v>
      </c>
      <c r="AC459" s="101">
        <v>2</v>
      </c>
      <c r="AD459" s="101">
        <v>31.52</v>
      </c>
      <c r="AE459" s="101">
        <v>3.6720000000000002</v>
      </c>
    </row>
    <row r="460" spans="1:31" ht="11.25" customHeight="1" x14ac:dyDescent="0.3">
      <c r="A460" s="126" t="s">
        <v>176</v>
      </c>
      <c r="B460" s="126">
        <v>19</v>
      </c>
      <c r="C460" s="126" t="s">
        <v>172</v>
      </c>
      <c r="D460" s="126" t="str">
        <f t="shared" si="33"/>
        <v>19Uml</v>
      </c>
      <c r="J460" s="101">
        <v>179</v>
      </c>
      <c r="K460" s="101">
        <v>187</v>
      </c>
      <c r="L460" s="101">
        <v>64829</v>
      </c>
      <c r="N460" s="101">
        <v>461644</v>
      </c>
      <c r="O460" s="101">
        <v>191</v>
      </c>
      <c r="P460" s="101">
        <v>191</v>
      </c>
      <c r="Q460" s="101">
        <v>45142</v>
      </c>
      <c r="S460" s="101">
        <v>206892.63199999998</v>
      </c>
      <c r="T460" s="169">
        <v>1.02</v>
      </c>
      <c r="U460" s="101">
        <f t="shared" si="40"/>
        <v>194.82</v>
      </c>
      <c r="V460" s="101">
        <f t="shared" si="41"/>
        <v>194.82</v>
      </c>
      <c r="W460" s="101">
        <f t="shared" si="42"/>
        <v>46044.840000000004</v>
      </c>
      <c r="X460" s="101">
        <f t="shared" si="39"/>
        <v>0</v>
      </c>
      <c r="Y460" s="101">
        <f t="shared" si="43"/>
        <v>211030.48463999998</v>
      </c>
      <c r="AA460" s="101">
        <v>333</v>
      </c>
      <c r="AB460" s="101">
        <v>345</v>
      </c>
      <c r="AC460" s="101">
        <v>101867</v>
      </c>
      <c r="AE460" s="101">
        <v>660301</v>
      </c>
    </row>
    <row r="461" spans="1:31" ht="11.25" hidden="1" customHeight="1" x14ac:dyDescent="0.3">
      <c r="A461" s="126" t="s">
        <v>176</v>
      </c>
      <c r="B461" s="126">
        <v>19</v>
      </c>
      <c r="C461" s="126">
        <v>37</v>
      </c>
      <c r="D461" s="126" t="str">
        <f t="shared" si="33"/>
        <v>1937</v>
      </c>
      <c r="E461" s="101">
        <v>13.25</v>
      </c>
      <c r="F461" s="101">
        <v>25.25</v>
      </c>
      <c r="G461" s="101">
        <v>1918.25</v>
      </c>
      <c r="H461" s="101">
        <v>13941.505000000001</v>
      </c>
      <c r="I461" s="101">
        <v>13607.18375</v>
      </c>
      <c r="J461" s="101">
        <v>44</v>
      </c>
      <c r="K461" s="101">
        <v>102</v>
      </c>
      <c r="L461" s="101">
        <v>3008</v>
      </c>
      <c r="M461" s="101">
        <v>14260.599999999999</v>
      </c>
      <c r="N461" s="101">
        <v>8445.5540000000001</v>
      </c>
      <c r="O461" s="101">
        <v>29</v>
      </c>
      <c r="P461" s="101">
        <v>93</v>
      </c>
      <c r="Q461" s="101">
        <v>2948</v>
      </c>
      <c r="R461" s="101">
        <v>23703.969999999998</v>
      </c>
      <c r="S461" s="101">
        <v>9824.0639999999985</v>
      </c>
      <c r="T461" s="169">
        <v>1.02</v>
      </c>
      <c r="U461" s="101">
        <f t="shared" si="40"/>
        <v>29.580000000000002</v>
      </c>
      <c r="V461" s="101">
        <f t="shared" si="41"/>
        <v>94.86</v>
      </c>
      <c r="W461" s="101">
        <f t="shared" si="42"/>
        <v>3006.96</v>
      </c>
      <c r="X461" s="101">
        <f t="shared" si="39"/>
        <v>24178.049399999996</v>
      </c>
      <c r="Y461" s="101">
        <f t="shared" si="43"/>
        <v>10020.545279999998</v>
      </c>
      <c r="AA461" s="101">
        <v>48</v>
      </c>
      <c r="AB461" s="101">
        <v>145</v>
      </c>
      <c r="AC461" s="101">
        <v>1981</v>
      </c>
      <c r="AD461" s="101">
        <v>14075.2</v>
      </c>
      <c r="AE461" s="101">
        <v>6456.7830000000004</v>
      </c>
    </row>
    <row r="462" spans="1:31" ht="11.25" hidden="1" customHeight="1" x14ac:dyDescent="0.3">
      <c r="A462" s="126" t="s">
        <v>176</v>
      </c>
      <c r="B462" s="126">
        <v>20</v>
      </c>
      <c r="C462" s="126">
        <v>12</v>
      </c>
      <c r="D462" s="126" t="str">
        <f t="shared" si="33"/>
        <v>2012</v>
      </c>
      <c r="E462" s="101">
        <v>40</v>
      </c>
      <c r="F462" s="101">
        <v>52</v>
      </c>
      <c r="G462" s="101">
        <v>74</v>
      </c>
      <c r="H462" s="101">
        <v>1518.23</v>
      </c>
      <c r="I462" s="101">
        <v>367.78600000000006</v>
      </c>
      <c r="J462" s="101">
        <v>22</v>
      </c>
      <c r="K462" s="101">
        <v>33</v>
      </c>
      <c r="L462" s="101">
        <v>38</v>
      </c>
      <c r="M462" s="101">
        <v>754.35</v>
      </c>
      <c r="N462" s="101">
        <v>367.52499999999998</v>
      </c>
      <c r="O462" s="101">
        <v>8</v>
      </c>
      <c r="P462" s="101">
        <v>10</v>
      </c>
      <c r="Q462" s="101">
        <v>15</v>
      </c>
      <c r="R462" s="101">
        <v>219.31</v>
      </c>
      <c r="S462" s="101">
        <v>52.21</v>
      </c>
      <c r="T462" s="169">
        <v>1.02</v>
      </c>
      <c r="U462" s="101">
        <f t="shared" si="40"/>
        <v>8.16</v>
      </c>
      <c r="V462" s="101">
        <f t="shared" si="41"/>
        <v>10.199999999999999</v>
      </c>
      <c r="W462" s="101">
        <f t="shared" si="42"/>
        <v>15.3</v>
      </c>
      <c r="X462" s="101">
        <f t="shared" si="39"/>
        <v>223.6962</v>
      </c>
      <c r="Y462" s="101">
        <f t="shared" si="43"/>
        <v>53.254200000000004</v>
      </c>
      <c r="AA462" s="101">
        <v>16</v>
      </c>
      <c r="AB462" s="101">
        <v>26</v>
      </c>
      <c r="AC462" s="101">
        <v>27</v>
      </c>
      <c r="AD462" s="101">
        <v>705</v>
      </c>
      <c r="AE462" s="101">
        <v>152</v>
      </c>
    </row>
    <row r="463" spans="1:31" ht="11.25" hidden="1" customHeight="1" x14ac:dyDescent="0.3">
      <c r="A463" s="126" t="s">
        <v>176</v>
      </c>
      <c r="B463" s="126">
        <v>20</v>
      </c>
      <c r="C463" s="126">
        <v>17</v>
      </c>
      <c r="D463" s="126" t="str">
        <f t="shared" si="33"/>
        <v>2017</v>
      </c>
      <c r="E463" s="101">
        <v>1567</v>
      </c>
      <c r="F463" s="101">
        <v>2008</v>
      </c>
      <c r="G463" s="101">
        <v>2959</v>
      </c>
      <c r="H463" s="101">
        <v>110533.40999999999</v>
      </c>
      <c r="I463" s="101">
        <v>17923.482000000004</v>
      </c>
      <c r="J463" s="101">
        <v>828</v>
      </c>
      <c r="K463" s="101">
        <v>2080</v>
      </c>
      <c r="L463" s="101">
        <v>2762</v>
      </c>
      <c r="M463" s="101">
        <v>58234.520000000004</v>
      </c>
      <c r="N463" s="101">
        <v>8576.2579999999998</v>
      </c>
      <c r="O463" s="101">
        <v>743</v>
      </c>
      <c r="P463" s="101">
        <v>1291</v>
      </c>
      <c r="Q463" s="101">
        <v>2026</v>
      </c>
      <c r="R463" s="101">
        <v>49338.990000000005</v>
      </c>
      <c r="S463" s="101">
        <v>8954.8819999999996</v>
      </c>
      <c r="T463" s="169">
        <v>1.02</v>
      </c>
      <c r="U463" s="101">
        <v>1024</v>
      </c>
      <c r="V463" s="101">
        <v>2013</v>
      </c>
      <c r="W463" s="101">
        <v>3048</v>
      </c>
      <c r="X463" s="144">
        <f t="shared" si="39"/>
        <v>50325.769800000009</v>
      </c>
      <c r="Y463" s="101">
        <v>15000</v>
      </c>
      <c r="AA463" s="101">
        <v>1653</v>
      </c>
      <c r="AB463" s="101">
        <v>2564</v>
      </c>
      <c r="AC463" s="101">
        <v>3399</v>
      </c>
      <c r="AD463" s="101">
        <v>111414</v>
      </c>
      <c r="AE463" s="101">
        <v>19356</v>
      </c>
    </row>
    <row r="464" spans="1:31" ht="11.25" hidden="1" customHeight="1" x14ac:dyDescent="0.3">
      <c r="A464" s="126" t="s">
        <v>176</v>
      </c>
      <c r="B464" s="126">
        <v>20</v>
      </c>
      <c r="C464" s="126">
        <v>18</v>
      </c>
      <c r="D464" s="126" t="str">
        <f t="shared" si="33"/>
        <v>2018</v>
      </c>
      <c r="E464" s="101">
        <v>211</v>
      </c>
      <c r="F464" s="101">
        <v>251</v>
      </c>
      <c r="G464" s="101">
        <v>312</v>
      </c>
      <c r="H464" s="101">
        <v>11307.57</v>
      </c>
      <c r="I464" s="101">
        <v>1828.6669999999999</v>
      </c>
      <c r="J464" s="101">
        <v>1319</v>
      </c>
      <c r="K464" s="101">
        <v>1466</v>
      </c>
      <c r="L464" s="101">
        <v>1676</v>
      </c>
      <c r="M464" s="101">
        <v>68426.080000000002</v>
      </c>
      <c r="N464" s="101">
        <v>12418.337</v>
      </c>
      <c r="O464" s="101">
        <v>1574</v>
      </c>
      <c r="P464" s="101">
        <v>1775</v>
      </c>
      <c r="Q464" s="101">
        <v>6592</v>
      </c>
      <c r="R464" s="101">
        <v>68856.73</v>
      </c>
      <c r="S464" s="101">
        <v>78151.72099999999</v>
      </c>
      <c r="T464" s="169">
        <v>0.6</v>
      </c>
      <c r="U464" s="101">
        <f t="shared" si="40"/>
        <v>944.4</v>
      </c>
      <c r="V464" s="101">
        <f t="shared" si="41"/>
        <v>1065</v>
      </c>
      <c r="W464" s="101">
        <f t="shared" si="42"/>
        <v>3955.2</v>
      </c>
      <c r="X464" s="101">
        <f t="shared" si="39"/>
        <v>41314.037999999993</v>
      </c>
      <c r="Y464" s="101">
        <f t="shared" si="43"/>
        <v>46891.032599999991</v>
      </c>
      <c r="AA464" s="101">
        <v>1728</v>
      </c>
      <c r="AB464" s="101">
        <v>1817</v>
      </c>
      <c r="AC464" s="101">
        <v>2073</v>
      </c>
      <c r="AD464" s="101">
        <v>92648</v>
      </c>
      <c r="AE464" s="101">
        <v>22829</v>
      </c>
    </row>
    <row r="465" spans="1:31" ht="11.25" hidden="1" customHeight="1" x14ac:dyDescent="0.3">
      <c r="A465" s="126" t="s">
        <v>176</v>
      </c>
      <c r="B465" s="126">
        <v>20</v>
      </c>
      <c r="C465" s="126">
        <v>28</v>
      </c>
      <c r="D465" s="126" t="str">
        <f t="shared" si="33"/>
        <v>2028</v>
      </c>
      <c r="E465" s="101">
        <v>253</v>
      </c>
      <c r="F465" s="101">
        <v>1476</v>
      </c>
      <c r="G465" s="101">
        <v>14381</v>
      </c>
      <c r="H465" s="101">
        <v>265345.33999999997</v>
      </c>
      <c r="I465" s="101">
        <v>69127.39</v>
      </c>
      <c r="J465" s="101">
        <v>252</v>
      </c>
      <c r="K465" s="101">
        <v>5344</v>
      </c>
      <c r="L465" s="101">
        <v>32344</v>
      </c>
      <c r="M465" s="101">
        <v>534077.42999999993</v>
      </c>
      <c r="N465" s="101">
        <v>142629.462</v>
      </c>
      <c r="O465" s="101">
        <v>244</v>
      </c>
      <c r="P465" s="101">
        <v>4511</v>
      </c>
      <c r="Q465" s="101">
        <v>29192</v>
      </c>
      <c r="R465" s="101">
        <v>519010.19000000006</v>
      </c>
      <c r="S465" s="101">
        <v>127315.14199999999</v>
      </c>
      <c r="T465" s="169">
        <v>1.02</v>
      </c>
      <c r="U465" s="101">
        <f t="shared" si="40"/>
        <v>248.88</v>
      </c>
      <c r="V465" s="101">
        <f t="shared" si="41"/>
        <v>4601.22</v>
      </c>
      <c r="W465" s="101">
        <f t="shared" si="42"/>
        <v>29775.84</v>
      </c>
      <c r="X465" s="101">
        <f t="shared" si="39"/>
        <v>529390.39380000008</v>
      </c>
      <c r="Y465" s="101">
        <f t="shared" si="43"/>
        <v>129861.44484</v>
      </c>
      <c r="AA465" s="101">
        <v>227</v>
      </c>
      <c r="AB465" s="101">
        <v>7007</v>
      </c>
      <c r="AC465" s="101">
        <v>47581</v>
      </c>
      <c r="AD465" s="101">
        <v>886679</v>
      </c>
      <c r="AE465" s="101">
        <v>203950</v>
      </c>
    </row>
    <row r="466" spans="1:31" ht="11.25" hidden="1" customHeight="1" x14ac:dyDescent="0.3">
      <c r="A466" s="126" t="s">
        <v>176</v>
      </c>
      <c r="B466" s="126">
        <v>20</v>
      </c>
      <c r="C466" s="126">
        <v>46</v>
      </c>
      <c r="D466" s="126" t="str">
        <f t="shared" si="33"/>
        <v>2046</v>
      </c>
      <c r="E466" s="101">
        <v>252</v>
      </c>
      <c r="F466" s="101">
        <v>497</v>
      </c>
      <c r="G466" s="101">
        <v>19180</v>
      </c>
      <c r="H466" s="101">
        <v>374728.24</v>
      </c>
      <c r="I466" s="101">
        <v>114507.348</v>
      </c>
      <c r="J466" s="101">
        <v>234</v>
      </c>
      <c r="K466" s="101">
        <v>509</v>
      </c>
      <c r="L466" s="101">
        <v>24025</v>
      </c>
      <c r="M466" s="101">
        <v>250991.22999999998</v>
      </c>
      <c r="N466" s="101">
        <v>72896.981999999989</v>
      </c>
      <c r="O466" s="101">
        <v>133</v>
      </c>
      <c r="P466" s="101">
        <v>260</v>
      </c>
      <c r="Q466" s="101">
        <v>11185</v>
      </c>
      <c r="R466" s="101">
        <v>212545.71</v>
      </c>
      <c r="S466" s="101">
        <v>88830.192999999985</v>
      </c>
      <c r="T466" s="169">
        <v>1.02</v>
      </c>
      <c r="U466" s="101">
        <f t="shared" si="40"/>
        <v>135.66</v>
      </c>
      <c r="V466" s="101">
        <f t="shared" si="41"/>
        <v>265.2</v>
      </c>
      <c r="W466" s="101">
        <f t="shared" si="42"/>
        <v>11408.7</v>
      </c>
      <c r="X466" s="101">
        <f t="shared" si="39"/>
        <v>216796.62419999999</v>
      </c>
      <c r="Y466" s="101">
        <f t="shared" si="43"/>
        <v>90606.796859999988</v>
      </c>
      <c r="AA466" s="101">
        <v>173</v>
      </c>
      <c r="AB466" s="101">
        <v>486</v>
      </c>
      <c r="AC466" s="101">
        <v>16283</v>
      </c>
      <c r="AD466" s="101">
        <v>177798</v>
      </c>
      <c r="AE466" s="101">
        <v>63299</v>
      </c>
    </row>
    <row r="467" spans="1:31" ht="11.25" hidden="1" customHeight="1" x14ac:dyDescent="0.3">
      <c r="A467" s="126" t="s">
        <v>176</v>
      </c>
      <c r="B467" s="126">
        <v>20</v>
      </c>
      <c r="C467" s="126">
        <v>47</v>
      </c>
      <c r="D467" s="126" t="str">
        <f t="shared" si="33"/>
        <v>2047</v>
      </c>
      <c r="E467" s="101">
        <v>1</v>
      </c>
      <c r="F467" s="101">
        <v>1</v>
      </c>
      <c r="G467" s="101">
        <v>1998</v>
      </c>
      <c r="H467" s="101">
        <v>105194.7</v>
      </c>
      <c r="I467" s="101">
        <v>72791.135999999999</v>
      </c>
      <c r="J467" s="101">
        <v>0</v>
      </c>
      <c r="K467" s="101">
        <v>0</v>
      </c>
      <c r="L467" s="101">
        <v>0</v>
      </c>
      <c r="M467" s="101">
        <v>0</v>
      </c>
      <c r="N467" s="101">
        <v>0</v>
      </c>
      <c r="O467" s="101">
        <v>0</v>
      </c>
      <c r="P467" s="101">
        <v>0</v>
      </c>
      <c r="Q467" s="101">
        <v>0</v>
      </c>
      <c r="R467" s="101">
        <v>0</v>
      </c>
      <c r="S467" s="101">
        <v>0</v>
      </c>
      <c r="T467" s="169">
        <v>1.02</v>
      </c>
      <c r="U467" s="101">
        <f t="shared" si="40"/>
        <v>0</v>
      </c>
      <c r="V467" s="101">
        <f t="shared" si="41"/>
        <v>0</v>
      </c>
      <c r="W467" s="101">
        <f t="shared" si="42"/>
        <v>0</v>
      </c>
      <c r="X467" s="101">
        <f t="shared" si="39"/>
        <v>0</v>
      </c>
      <c r="Y467" s="101">
        <f t="shared" si="43"/>
        <v>0</v>
      </c>
      <c r="AA467" s="101">
        <v>6</v>
      </c>
      <c r="AB467" s="101">
        <v>13</v>
      </c>
      <c r="AC467" s="101">
        <v>355</v>
      </c>
      <c r="AD467" s="101">
        <v>7268</v>
      </c>
      <c r="AE467" s="101">
        <v>2829</v>
      </c>
    </row>
    <row r="468" spans="1:31" ht="11.25" hidden="1" customHeight="1" x14ac:dyDescent="0.3">
      <c r="A468" s="126" t="s">
        <v>176</v>
      </c>
      <c r="B468" s="126">
        <v>20</v>
      </c>
      <c r="C468" s="126">
        <v>48</v>
      </c>
      <c r="D468" s="126" t="str">
        <f t="shared" si="33"/>
        <v>2048</v>
      </c>
      <c r="E468" s="101">
        <v>2</v>
      </c>
      <c r="F468" s="101">
        <v>3</v>
      </c>
      <c r="G468" s="101">
        <v>556</v>
      </c>
      <c r="H468" s="101">
        <v>18364.68</v>
      </c>
      <c r="I468" s="101">
        <v>3993.8589999999999</v>
      </c>
      <c r="J468" s="101">
        <v>0</v>
      </c>
      <c r="K468" s="101">
        <v>0</v>
      </c>
      <c r="L468" s="101">
        <v>0</v>
      </c>
      <c r="M468" s="101">
        <v>0</v>
      </c>
      <c r="N468" s="101">
        <v>0</v>
      </c>
      <c r="O468" s="101">
        <v>1</v>
      </c>
      <c r="P468" s="101">
        <v>1</v>
      </c>
      <c r="Q468" s="101">
        <v>150</v>
      </c>
      <c r="R468" s="101">
        <v>1152</v>
      </c>
      <c r="S468" s="101">
        <v>1117.2</v>
      </c>
      <c r="T468" s="169">
        <v>1.02</v>
      </c>
      <c r="U468" s="101">
        <f t="shared" si="40"/>
        <v>1.02</v>
      </c>
      <c r="V468" s="101">
        <f t="shared" si="41"/>
        <v>1.02</v>
      </c>
      <c r="W468" s="101">
        <f t="shared" si="42"/>
        <v>153</v>
      </c>
      <c r="X468" s="101">
        <f t="shared" si="39"/>
        <v>1175.04</v>
      </c>
      <c r="Y468" s="101">
        <f t="shared" si="43"/>
        <v>1139.5440000000001</v>
      </c>
      <c r="AA468" s="101">
        <v>0</v>
      </c>
      <c r="AB468" s="101">
        <v>0</v>
      </c>
      <c r="AC468" s="101">
        <v>0</v>
      </c>
      <c r="AD468" s="101">
        <v>0</v>
      </c>
      <c r="AE468" s="101">
        <v>0</v>
      </c>
    </row>
    <row r="469" spans="1:31" ht="11.25" hidden="1" customHeight="1" x14ac:dyDescent="0.3">
      <c r="A469" s="126" t="s">
        <v>176</v>
      </c>
      <c r="B469" s="126">
        <v>20</v>
      </c>
      <c r="C469" s="126">
        <v>66</v>
      </c>
      <c r="D469" s="126" t="str">
        <f t="shared" si="33"/>
        <v>2066</v>
      </c>
      <c r="E469" s="101">
        <v>506</v>
      </c>
      <c r="F469" s="101">
        <v>1582</v>
      </c>
      <c r="G469" s="101">
        <v>25542</v>
      </c>
      <c r="H469" s="101">
        <v>140578.13999999998</v>
      </c>
      <c r="I469" s="101">
        <v>67317.350999999995</v>
      </c>
      <c r="J469" s="101">
        <v>184</v>
      </c>
      <c r="K469" s="101">
        <v>872</v>
      </c>
      <c r="L469" s="101">
        <v>12442</v>
      </c>
      <c r="M469" s="101">
        <v>88154.87999999999</v>
      </c>
      <c r="N469" s="101">
        <v>37102.302000000003</v>
      </c>
      <c r="O469" s="101">
        <v>188</v>
      </c>
      <c r="P469" s="101">
        <v>1017</v>
      </c>
      <c r="Q469" s="101">
        <v>27336</v>
      </c>
      <c r="R469" s="101">
        <v>162157.13</v>
      </c>
      <c r="S469" s="101">
        <v>74014.793999999994</v>
      </c>
      <c r="T469" s="169">
        <v>1.02</v>
      </c>
      <c r="U469" s="101">
        <f t="shared" si="40"/>
        <v>191.76</v>
      </c>
      <c r="V469" s="101">
        <f t="shared" si="41"/>
        <v>1037.3399999999999</v>
      </c>
      <c r="W469" s="101">
        <f t="shared" si="42"/>
        <v>27882.720000000001</v>
      </c>
      <c r="X469" s="101">
        <f t="shared" si="39"/>
        <v>165400.2726</v>
      </c>
      <c r="Y469" s="101">
        <f t="shared" si="43"/>
        <v>75495.08988</v>
      </c>
      <c r="AA469" s="101">
        <v>70</v>
      </c>
      <c r="AB469" s="101">
        <v>1336</v>
      </c>
      <c r="AC469" s="101">
        <v>22546</v>
      </c>
      <c r="AD469" s="101">
        <v>168919</v>
      </c>
      <c r="AE469" s="101">
        <v>73507</v>
      </c>
    </row>
    <row r="470" spans="1:31" ht="11.25" hidden="1" customHeight="1" x14ac:dyDescent="0.3">
      <c r="A470" s="126" t="s">
        <v>176</v>
      </c>
      <c r="B470" s="126">
        <v>20</v>
      </c>
      <c r="C470" s="126">
        <v>30</v>
      </c>
      <c r="D470" s="126" t="str">
        <f t="shared" si="33"/>
        <v>2030</v>
      </c>
      <c r="E470" s="101">
        <v>196.5</v>
      </c>
      <c r="F470" s="101">
        <v>2273.5</v>
      </c>
      <c r="G470" s="101">
        <v>8495.5</v>
      </c>
      <c r="H470" s="101">
        <v>212377.17499999999</v>
      </c>
      <c r="I470" s="101">
        <v>61559.048999999999</v>
      </c>
      <c r="J470" s="101">
        <v>231</v>
      </c>
      <c r="K470" s="101">
        <v>3382</v>
      </c>
      <c r="L470" s="101">
        <v>14168</v>
      </c>
      <c r="M470" s="101">
        <v>374638.63</v>
      </c>
      <c r="N470" s="101">
        <v>100091.713</v>
      </c>
      <c r="O470" s="138"/>
      <c r="P470" s="138"/>
      <c r="Q470" s="138"/>
      <c r="R470" s="138"/>
      <c r="S470" s="138"/>
      <c r="T470" s="169">
        <v>1.02</v>
      </c>
      <c r="U470" s="101">
        <f t="shared" si="40"/>
        <v>0</v>
      </c>
      <c r="V470" s="101">
        <f t="shared" si="41"/>
        <v>0</v>
      </c>
      <c r="W470" s="101">
        <f t="shared" si="42"/>
        <v>0</v>
      </c>
      <c r="X470" s="101">
        <f t="shared" si="39"/>
        <v>0</v>
      </c>
      <c r="Y470" s="101">
        <f t="shared" si="43"/>
        <v>0</v>
      </c>
      <c r="AA470" s="101">
        <v>42</v>
      </c>
      <c r="AB470" s="101">
        <v>47</v>
      </c>
      <c r="AC470" s="101">
        <v>922</v>
      </c>
      <c r="AD470" s="101">
        <v>45991</v>
      </c>
      <c r="AE470" s="101">
        <v>31970</v>
      </c>
    </row>
    <row r="471" spans="1:31" ht="11.25" hidden="1" customHeight="1" x14ac:dyDescent="0.3">
      <c r="A471" s="126" t="s">
        <v>176</v>
      </c>
      <c r="B471" s="126">
        <v>20</v>
      </c>
      <c r="C471" s="126">
        <v>21</v>
      </c>
      <c r="D471" s="126" t="str">
        <f t="shared" si="33"/>
        <v>2021</v>
      </c>
      <c r="E471" s="101">
        <v>730.5</v>
      </c>
      <c r="F471" s="101">
        <v>4140</v>
      </c>
      <c r="G471" s="101">
        <v>26306.5</v>
      </c>
      <c r="H471" s="101">
        <v>318263.09499999997</v>
      </c>
      <c r="I471" s="101">
        <v>99889.921499999997</v>
      </c>
      <c r="J471" s="101">
        <v>698</v>
      </c>
      <c r="K471" s="101">
        <v>5246</v>
      </c>
      <c r="L471" s="101">
        <v>31700</v>
      </c>
      <c r="M471" s="101">
        <v>622063.42999999993</v>
      </c>
      <c r="N471" s="101">
        <v>199900.29899999997</v>
      </c>
      <c r="O471" s="138">
        <v>920</v>
      </c>
      <c r="P471" s="138">
        <v>8150</v>
      </c>
      <c r="Q471" s="138">
        <v>50694</v>
      </c>
      <c r="R471" s="138">
        <v>612947.99</v>
      </c>
      <c r="S471" s="138">
        <v>197366.04500000001</v>
      </c>
      <c r="T471" s="169">
        <v>1.02</v>
      </c>
      <c r="U471" s="101">
        <f>O471*T471-3</f>
        <v>935.4</v>
      </c>
      <c r="V471" s="101">
        <f>P471*T471-3</f>
        <v>8310</v>
      </c>
      <c r="W471" s="101">
        <f>Q471*T471-248</f>
        <v>51459.88</v>
      </c>
      <c r="X471" s="101">
        <f>R471*T471-6450</f>
        <v>618756.94979999994</v>
      </c>
      <c r="Y471" s="101">
        <f>S471*T471-1834</f>
        <v>199479.3659</v>
      </c>
      <c r="AA471" s="101">
        <v>1014</v>
      </c>
      <c r="AB471" s="101">
        <v>8643</v>
      </c>
      <c r="AC471" s="101">
        <v>39487</v>
      </c>
      <c r="AD471" s="101">
        <v>558638</v>
      </c>
      <c r="AE471" s="101">
        <v>202063</v>
      </c>
    </row>
    <row r="472" spans="1:31" ht="11.25" hidden="1" customHeight="1" x14ac:dyDescent="0.3">
      <c r="A472" s="126" t="s">
        <v>176</v>
      </c>
      <c r="B472" s="126">
        <v>20</v>
      </c>
      <c r="C472" s="126">
        <v>71</v>
      </c>
      <c r="D472" s="126" t="str">
        <f t="shared" si="33"/>
        <v>2071</v>
      </c>
      <c r="E472" s="101">
        <v>395.5</v>
      </c>
      <c r="F472" s="101">
        <v>3983</v>
      </c>
      <c r="G472" s="101">
        <v>10871</v>
      </c>
      <c r="H472" s="101">
        <v>100767.715</v>
      </c>
      <c r="I472" s="101">
        <v>45839.928</v>
      </c>
      <c r="J472" s="101">
        <v>420</v>
      </c>
      <c r="K472" s="101">
        <v>3774</v>
      </c>
      <c r="L472" s="101">
        <v>10692</v>
      </c>
      <c r="M472" s="101">
        <v>61455.649999999994</v>
      </c>
      <c r="N472" s="101">
        <v>31011.233999999997</v>
      </c>
      <c r="O472" s="101">
        <v>427</v>
      </c>
      <c r="P472" s="101">
        <v>5794</v>
      </c>
      <c r="Q472" s="101">
        <v>16695</v>
      </c>
      <c r="R472" s="101">
        <v>111785.55</v>
      </c>
      <c r="S472" s="101">
        <v>65420.414000000004</v>
      </c>
      <c r="T472" s="169">
        <v>0.98</v>
      </c>
      <c r="U472" s="101">
        <f t="shared" si="40"/>
        <v>418.46</v>
      </c>
      <c r="V472" s="101">
        <f t="shared" si="41"/>
        <v>5678.12</v>
      </c>
      <c r="W472" s="101">
        <f t="shared" si="42"/>
        <v>16361.1</v>
      </c>
      <c r="X472" s="101">
        <f t="shared" si="39"/>
        <v>109549.83900000001</v>
      </c>
      <c r="Y472" s="101">
        <f t="shared" si="43"/>
        <v>64112.005720000001</v>
      </c>
      <c r="AA472" s="101">
        <v>268</v>
      </c>
      <c r="AB472" s="101">
        <v>6097</v>
      </c>
      <c r="AC472" s="101">
        <v>29068</v>
      </c>
      <c r="AD472" s="101">
        <v>166453</v>
      </c>
      <c r="AE472" s="101">
        <v>106986</v>
      </c>
    </row>
    <row r="473" spans="1:31" ht="11.25" hidden="1" customHeight="1" x14ac:dyDescent="0.3">
      <c r="A473" s="126" t="s">
        <v>176</v>
      </c>
      <c r="B473" s="126">
        <v>20</v>
      </c>
      <c r="C473" s="126">
        <v>14</v>
      </c>
      <c r="D473" s="126" t="str">
        <f t="shared" si="33"/>
        <v>2014</v>
      </c>
      <c r="J473" s="101">
        <v>8</v>
      </c>
      <c r="K473" s="101">
        <v>15</v>
      </c>
      <c r="L473" s="101">
        <v>20</v>
      </c>
      <c r="M473" s="101">
        <v>1864.19</v>
      </c>
      <c r="N473" s="101">
        <v>322.12900000000002</v>
      </c>
      <c r="O473" s="101">
        <v>27</v>
      </c>
      <c r="P473" s="101">
        <v>58</v>
      </c>
      <c r="Q473" s="101">
        <v>74</v>
      </c>
      <c r="R473" s="101">
        <v>6822.94</v>
      </c>
      <c r="S473" s="101">
        <v>1007.845</v>
      </c>
      <c r="T473" s="169">
        <v>1.02</v>
      </c>
      <c r="U473" s="101">
        <f t="shared" si="40"/>
        <v>27.54</v>
      </c>
      <c r="V473" s="101">
        <f t="shared" si="41"/>
        <v>59.160000000000004</v>
      </c>
      <c r="W473" s="101">
        <f t="shared" si="42"/>
        <v>75.48</v>
      </c>
      <c r="X473" s="101">
        <f t="shared" si="39"/>
        <v>6959.3987999999999</v>
      </c>
      <c r="Y473" s="101">
        <f t="shared" si="43"/>
        <v>1028.0019</v>
      </c>
      <c r="AA473" s="101">
        <v>127</v>
      </c>
      <c r="AB473" s="101">
        <v>153</v>
      </c>
      <c r="AC473" s="101">
        <v>259</v>
      </c>
      <c r="AD473" s="101">
        <v>8732</v>
      </c>
      <c r="AE473" s="101">
        <v>1319</v>
      </c>
    </row>
    <row r="474" spans="1:31" ht="11.25" hidden="1" customHeight="1" x14ac:dyDescent="0.3">
      <c r="A474" s="126" t="s">
        <v>176</v>
      </c>
      <c r="B474" s="126">
        <v>20</v>
      </c>
      <c r="C474" s="126">
        <v>22</v>
      </c>
      <c r="D474" s="126" t="str">
        <f t="shared" si="33"/>
        <v>2022</v>
      </c>
      <c r="J474" s="101">
        <v>14</v>
      </c>
      <c r="K474" s="101">
        <v>26</v>
      </c>
      <c r="L474" s="101">
        <v>76</v>
      </c>
      <c r="M474" s="101">
        <v>2004.76</v>
      </c>
      <c r="N474" s="101">
        <v>534.34900000000005</v>
      </c>
      <c r="O474" s="101">
        <v>13</v>
      </c>
      <c r="P474" s="101">
        <v>15</v>
      </c>
      <c r="Q474" s="101">
        <v>97</v>
      </c>
      <c r="R474" s="101">
        <v>519.58000000000004</v>
      </c>
      <c r="S474" s="101">
        <v>481.30200000000002</v>
      </c>
      <c r="T474" s="169">
        <v>1.02</v>
      </c>
      <c r="U474" s="101">
        <f t="shared" si="40"/>
        <v>13.26</v>
      </c>
      <c r="V474" s="101">
        <f t="shared" si="41"/>
        <v>15.3</v>
      </c>
      <c r="W474" s="101">
        <f t="shared" si="42"/>
        <v>98.94</v>
      </c>
      <c r="X474" s="101">
        <f t="shared" si="39"/>
        <v>529.97160000000008</v>
      </c>
      <c r="Y474" s="101">
        <f t="shared" si="43"/>
        <v>490.92804000000001</v>
      </c>
      <c r="AA474" s="101">
        <v>0</v>
      </c>
      <c r="AB474" s="101">
        <v>0</v>
      </c>
      <c r="AC474" s="101">
        <v>0</v>
      </c>
      <c r="AD474" s="101">
        <v>0</v>
      </c>
      <c r="AE474" s="101">
        <v>0</v>
      </c>
    </row>
    <row r="475" spans="1:31" ht="11.25" hidden="1" customHeight="1" x14ac:dyDescent="0.3">
      <c r="A475" s="126" t="s">
        <v>176</v>
      </c>
      <c r="B475" s="126">
        <v>20</v>
      </c>
      <c r="C475" s="126">
        <v>26</v>
      </c>
      <c r="D475" s="126" t="str">
        <f t="shared" si="33"/>
        <v>2026</v>
      </c>
      <c r="J475" s="101">
        <v>16</v>
      </c>
      <c r="K475" s="101">
        <v>45</v>
      </c>
      <c r="L475" s="101">
        <v>402</v>
      </c>
      <c r="M475" s="101">
        <v>3974.8300000000004</v>
      </c>
      <c r="N475" s="101">
        <v>1176.943</v>
      </c>
      <c r="O475" s="101">
        <v>2</v>
      </c>
      <c r="P475" s="101">
        <v>14</v>
      </c>
      <c r="Q475" s="101">
        <v>14</v>
      </c>
      <c r="R475" s="101">
        <v>0</v>
      </c>
      <c r="S475" s="101">
        <v>38.445</v>
      </c>
      <c r="T475" s="169">
        <v>1.02</v>
      </c>
      <c r="U475" s="101">
        <f t="shared" si="40"/>
        <v>2.04</v>
      </c>
      <c r="V475" s="101">
        <f t="shared" si="41"/>
        <v>14.280000000000001</v>
      </c>
      <c r="W475" s="101">
        <f t="shared" si="42"/>
        <v>14.280000000000001</v>
      </c>
      <c r="X475" s="101">
        <f t="shared" si="39"/>
        <v>0</v>
      </c>
      <c r="Y475" s="101">
        <f t="shared" si="43"/>
        <v>39.213900000000002</v>
      </c>
      <c r="AA475" s="101">
        <v>2</v>
      </c>
      <c r="AB475" s="101">
        <v>4</v>
      </c>
      <c r="AC475" s="101">
        <v>45</v>
      </c>
      <c r="AD475" s="101">
        <v>0</v>
      </c>
      <c r="AE475" s="101">
        <v>173</v>
      </c>
    </row>
    <row r="476" spans="1:31" ht="11.25" hidden="1" customHeight="1" x14ac:dyDescent="0.3">
      <c r="A476" s="126" t="s">
        <v>176</v>
      </c>
      <c r="B476" s="126">
        <v>20</v>
      </c>
      <c r="C476" s="126">
        <v>32</v>
      </c>
      <c r="D476" s="126" t="str">
        <f t="shared" si="33"/>
        <v>2032</v>
      </c>
      <c r="J476" s="101">
        <v>27</v>
      </c>
      <c r="K476" s="101">
        <v>51</v>
      </c>
      <c r="L476" s="101">
        <v>1430</v>
      </c>
      <c r="M476" s="101">
        <v>15357.56</v>
      </c>
      <c r="N476" s="101">
        <v>23550.659</v>
      </c>
      <c r="O476" s="101">
        <v>37</v>
      </c>
      <c r="P476" s="101">
        <v>57</v>
      </c>
      <c r="Q476" s="101">
        <v>1924</v>
      </c>
      <c r="R476" s="101">
        <v>13351.74</v>
      </c>
      <c r="S476" s="101">
        <v>37028.717000000004</v>
      </c>
      <c r="T476" s="169">
        <v>1.02</v>
      </c>
      <c r="U476" s="101">
        <f t="shared" si="40"/>
        <v>37.74</v>
      </c>
      <c r="V476" s="101">
        <f t="shared" si="41"/>
        <v>58.14</v>
      </c>
      <c r="W476" s="101">
        <f t="shared" si="42"/>
        <v>1962.48</v>
      </c>
      <c r="X476" s="101">
        <f t="shared" si="39"/>
        <v>13618.774799999999</v>
      </c>
      <c r="Y476" s="101">
        <f t="shared" si="43"/>
        <v>37769.291340000003</v>
      </c>
      <c r="AA476" s="101">
        <v>36</v>
      </c>
      <c r="AB476" s="101">
        <v>72</v>
      </c>
      <c r="AC476" s="101">
        <v>2709</v>
      </c>
      <c r="AD476" s="101">
        <v>75153</v>
      </c>
      <c r="AE476" s="101">
        <v>44277</v>
      </c>
    </row>
    <row r="477" spans="1:31" ht="11.25" hidden="1" customHeight="1" x14ac:dyDescent="0.3">
      <c r="A477" s="126" t="s">
        <v>176</v>
      </c>
      <c r="B477" s="126">
        <v>20</v>
      </c>
      <c r="C477" s="126">
        <v>43</v>
      </c>
      <c r="D477" s="126" t="str">
        <f t="shared" si="33"/>
        <v>2043</v>
      </c>
      <c r="J477" s="101">
        <v>0</v>
      </c>
      <c r="K477" s="101">
        <v>0</v>
      </c>
      <c r="L477" s="101">
        <v>0</v>
      </c>
      <c r="M477" s="101">
        <v>0</v>
      </c>
      <c r="N477" s="101">
        <v>0</v>
      </c>
      <c r="O477" s="101">
        <v>0</v>
      </c>
      <c r="P477" s="101">
        <v>0</v>
      </c>
      <c r="Q477" s="101">
        <v>0</v>
      </c>
      <c r="R477" s="101">
        <v>0</v>
      </c>
      <c r="S477" s="101">
        <v>0</v>
      </c>
      <c r="T477" s="169">
        <v>1.02</v>
      </c>
      <c r="U477" s="101">
        <f t="shared" si="40"/>
        <v>0</v>
      </c>
      <c r="V477" s="101">
        <f t="shared" si="41"/>
        <v>0</v>
      </c>
      <c r="W477" s="101">
        <f t="shared" si="42"/>
        <v>0</v>
      </c>
      <c r="X477" s="101">
        <f t="shared" si="39"/>
        <v>0</v>
      </c>
      <c r="Y477" s="101">
        <f t="shared" si="43"/>
        <v>0</v>
      </c>
      <c r="AA477" s="101">
        <v>0</v>
      </c>
      <c r="AB477" s="101">
        <v>0</v>
      </c>
      <c r="AC477" s="101">
        <v>0</v>
      </c>
      <c r="AD477" s="101">
        <v>0</v>
      </c>
      <c r="AE477" s="101">
        <v>0</v>
      </c>
    </row>
    <row r="478" spans="1:31" ht="11.25" hidden="1" customHeight="1" x14ac:dyDescent="0.3">
      <c r="A478" s="126" t="s">
        <v>176</v>
      </c>
      <c r="B478" s="126">
        <v>20</v>
      </c>
      <c r="C478" s="126">
        <v>44</v>
      </c>
      <c r="D478" s="126" t="str">
        <f t="shared" si="33"/>
        <v>2044</v>
      </c>
      <c r="J478" s="101">
        <v>0</v>
      </c>
      <c r="K478" s="101">
        <v>0</v>
      </c>
      <c r="L478" s="101">
        <v>0</v>
      </c>
      <c r="M478" s="101">
        <v>0</v>
      </c>
      <c r="N478" s="101">
        <v>0</v>
      </c>
      <c r="O478" s="101">
        <v>0</v>
      </c>
      <c r="P478" s="101">
        <v>0</v>
      </c>
      <c r="Q478" s="101">
        <v>0</v>
      </c>
      <c r="R478" s="101">
        <v>0</v>
      </c>
      <c r="S478" s="101">
        <v>0</v>
      </c>
      <c r="T478" s="169">
        <v>1.02</v>
      </c>
      <c r="U478" s="101">
        <f t="shared" si="40"/>
        <v>0</v>
      </c>
      <c r="V478" s="101">
        <f t="shared" si="41"/>
        <v>0</v>
      </c>
      <c r="W478" s="101">
        <f t="shared" si="42"/>
        <v>0</v>
      </c>
      <c r="X478" s="101">
        <f t="shared" si="39"/>
        <v>0</v>
      </c>
      <c r="Y478" s="101">
        <f t="shared" si="43"/>
        <v>0</v>
      </c>
      <c r="AA478" s="101">
        <v>0</v>
      </c>
      <c r="AB478" s="101">
        <v>0</v>
      </c>
      <c r="AC478" s="101">
        <v>0</v>
      </c>
      <c r="AD478" s="101">
        <v>0</v>
      </c>
      <c r="AE478" s="101">
        <v>0</v>
      </c>
    </row>
    <row r="479" spans="1:31" ht="11.25" hidden="1" customHeight="1" x14ac:dyDescent="0.3">
      <c r="A479" s="126" t="s">
        <v>176</v>
      </c>
      <c r="B479" s="126">
        <v>20</v>
      </c>
      <c r="C479" s="126">
        <v>91</v>
      </c>
      <c r="D479" s="126" t="str">
        <f t="shared" si="33"/>
        <v>2091</v>
      </c>
      <c r="J479" s="101">
        <v>83</v>
      </c>
      <c r="K479" s="101">
        <v>169</v>
      </c>
      <c r="L479" s="101">
        <v>1523</v>
      </c>
      <c r="M479" s="101">
        <v>6308.64</v>
      </c>
      <c r="N479" s="101">
        <v>2999.3179999999998</v>
      </c>
      <c r="O479" s="101">
        <v>75</v>
      </c>
      <c r="P479" s="101">
        <v>844</v>
      </c>
      <c r="Q479" s="101">
        <v>4480</v>
      </c>
      <c r="R479" s="101">
        <v>29649.640000000003</v>
      </c>
      <c r="S479" s="101">
        <v>12462.869000000001</v>
      </c>
      <c r="T479" s="169">
        <v>1.02</v>
      </c>
      <c r="U479" s="101">
        <f t="shared" si="40"/>
        <v>76.5</v>
      </c>
      <c r="V479" s="101">
        <f t="shared" si="41"/>
        <v>860.88</v>
      </c>
      <c r="W479" s="101">
        <f t="shared" si="42"/>
        <v>4569.6000000000004</v>
      </c>
      <c r="X479" s="101">
        <f t="shared" si="39"/>
        <v>30242.632800000003</v>
      </c>
      <c r="Y479" s="101">
        <f t="shared" si="43"/>
        <v>12712.126380000002</v>
      </c>
      <c r="AA479" s="101">
        <v>65</v>
      </c>
      <c r="AB479" s="101">
        <v>245</v>
      </c>
      <c r="AC479" s="101">
        <v>1701</v>
      </c>
      <c r="AD479" s="101">
        <v>10941</v>
      </c>
      <c r="AE479" s="101">
        <v>5871</v>
      </c>
    </row>
    <row r="480" spans="1:31" ht="11.25" hidden="1" customHeight="1" x14ac:dyDescent="0.3">
      <c r="A480" s="126" t="s">
        <v>176</v>
      </c>
      <c r="B480" s="126">
        <v>20</v>
      </c>
      <c r="C480" s="126">
        <v>45</v>
      </c>
      <c r="D480" s="126" t="str">
        <f t="shared" si="33"/>
        <v>2045</v>
      </c>
      <c r="J480" s="101">
        <v>0</v>
      </c>
      <c r="K480" s="101">
        <v>0</v>
      </c>
      <c r="L480" s="101">
        <v>0</v>
      </c>
      <c r="M480" s="101">
        <v>0</v>
      </c>
      <c r="N480" s="101">
        <v>0</v>
      </c>
      <c r="O480" s="101">
        <v>0</v>
      </c>
      <c r="P480" s="101">
        <v>0</v>
      </c>
      <c r="Q480" s="101">
        <v>0</v>
      </c>
      <c r="R480" s="101">
        <v>0</v>
      </c>
      <c r="S480" s="101">
        <v>0</v>
      </c>
      <c r="T480" s="169">
        <v>1.02</v>
      </c>
      <c r="U480" s="101">
        <f t="shared" si="40"/>
        <v>0</v>
      </c>
      <c r="V480" s="101">
        <f t="shared" si="41"/>
        <v>0</v>
      </c>
      <c r="W480" s="101">
        <f t="shared" si="42"/>
        <v>0</v>
      </c>
      <c r="X480" s="101">
        <f t="shared" si="39"/>
        <v>0</v>
      </c>
      <c r="Y480" s="101">
        <f t="shared" si="43"/>
        <v>0</v>
      </c>
      <c r="AA480" s="101">
        <v>0</v>
      </c>
      <c r="AB480" s="101">
        <v>0</v>
      </c>
      <c r="AC480" s="101">
        <v>0</v>
      </c>
      <c r="AD480" s="101">
        <v>0</v>
      </c>
      <c r="AE480" s="101">
        <v>0</v>
      </c>
    </row>
    <row r="481" spans="1:31" ht="11.25" hidden="1" customHeight="1" x14ac:dyDescent="0.3">
      <c r="A481" s="126" t="s">
        <v>176</v>
      </c>
      <c r="B481" s="126">
        <v>20</v>
      </c>
      <c r="C481" s="126">
        <v>25</v>
      </c>
      <c r="D481" s="126" t="str">
        <f t="shared" si="33"/>
        <v>2025</v>
      </c>
      <c r="E481" s="101">
        <v>1059</v>
      </c>
      <c r="F481" s="101">
        <v>5490</v>
      </c>
      <c r="G481" s="101">
        <v>31283</v>
      </c>
      <c r="H481" s="101">
        <v>312073.70999999996</v>
      </c>
      <c r="I481" s="101">
        <v>145099.87399999998</v>
      </c>
      <c r="J481" s="101">
        <v>866</v>
      </c>
      <c r="K481" s="101">
        <v>7591</v>
      </c>
      <c r="L481" s="101">
        <v>36186</v>
      </c>
      <c r="M481" s="101">
        <v>452423.26000000007</v>
      </c>
      <c r="N481" s="101">
        <v>229375.53200000001</v>
      </c>
      <c r="O481" s="101">
        <v>751</v>
      </c>
      <c r="P481" s="101">
        <v>6343</v>
      </c>
      <c r="Q481" s="101">
        <v>30972</v>
      </c>
      <c r="R481" s="101">
        <v>213476.61</v>
      </c>
      <c r="S481" s="101">
        <v>129583.50899999999</v>
      </c>
      <c r="T481" s="169">
        <v>1.02</v>
      </c>
      <c r="U481" s="101">
        <f t="shared" si="40"/>
        <v>766.02</v>
      </c>
      <c r="V481" s="101">
        <f t="shared" si="41"/>
        <v>6469.86</v>
      </c>
      <c r="W481" s="101">
        <f t="shared" si="42"/>
        <v>31591.440000000002</v>
      </c>
      <c r="X481" s="101">
        <f t="shared" si="39"/>
        <v>217746.1422</v>
      </c>
      <c r="Y481" s="101">
        <f t="shared" si="43"/>
        <v>132175.17918000001</v>
      </c>
      <c r="AA481" s="101">
        <v>759</v>
      </c>
      <c r="AB481" s="101">
        <v>8896</v>
      </c>
      <c r="AC481" s="101">
        <v>63183</v>
      </c>
      <c r="AD481" s="101">
        <v>507950</v>
      </c>
      <c r="AE481" s="101">
        <v>349440</v>
      </c>
    </row>
    <row r="482" spans="1:31" ht="11.25" hidden="1" customHeight="1" x14ac:dyDescent="0.3">
      <c r="A482" s="126" t="s">
        <v>176</v>
      </c>
      <c r="B482" s="126">
        <v>20</v>
      </c>
      <c r="C482" s="126">
        <v>27</v>
      </c>
      <c r="D482" s="126" t="str">
        <f t="shared" si="33"/>
        <v>2027</v>
      </c>
      <c r="E482" s="101">
        <v>97</v>
      </c>
      <c r="F482" s="101">
        <v>1097</v>
      </c>
      <c r="G482" s="101">
        <v>4300</v>
      </c>
      <c r="H482" s="101">
        <v>56372.43</v>
      </c>
      <c r="I482" s="101">
        <v>22470.580999999998</v>
      </c>
      <c r="J482" s="101">
        <v>69</v>
      </c>
      <c r="K482" s="101">
        <v>1350</v>
      </c>
      <c r="L482" s="101">
        <v>7036</v>
      </c>
      <c r="M482" s="101">
        <v>82978.789999999994</v>
      </c>
      <c r="N482" s="101">
        <v>27231.52</v>
      </c>
      <c r="O482" s="101">
        <v>82</v>
      </c>
      <c r="P482" s="101">
        <v>2067</v>
      </c>
      <c r="Q482" s="101">
        <v>8741</v>
      </c>
      <c r="R482" s="101">
        <v>64717.97</v>
      </c>
      <c r="S482" s="101">
        <v>28693.161999999997</v>
      </c>
      <c r="T482" s="169">
        <v>1.02</v>
      </c>
      <c r="U482" s="101">
        <f t="shared" si="40"/>
        <v>83.64</v>
      </c>
      <c r="V482" s="101">
        <f t="shared" si="41"/>
        <v>2108.34</v>
      </c>
      <c r="W482" s="101">
        <f t="shared" si="42"/>
        <v>8915.82</v>
      </c>
      <c r="X482" s="101">
        <f t="shared" si="39"/>
        <v>66012.329400000002</v>
      </c>
      <c r="Y482" s="101">
        <f t="shared" si="43"/>
        <v>29267.025239999995</v>
      </c>
      <c r="AA482" s="101">
        <v>66</v>
      </c>
      <c r="AB482" s="101">
        <v>2316</v>
      </c>
      <c r="AC482" s="101">
        <v>12073</v>
      </c>
      <c r="AD482" s="101">
        <v>110685</v>
      </c>
      <c r="AE482" s="101">
        <v>53751</v>
      </c>
    </row>
    <row r="483" spans="1:31" ht="11.25" hidden="1" customHeight="1" x14ac:dyDescent="0.3">
      <c r="A483" s="126" t="s">
        <v>176</v>
      </c>
      <c r="B483" s="126">
        <v>20</v>
      </c>
      <c r="C483" s="126">
        <v>38</v>
      </c>
      <c r="D483" s="126" t="str">
        <f t="shared" si="33"/>
        <v>2038</v>
      </c>
      <c r="O483" s="101">
        <v>1</v>
      </c>
      <c r="P483" s="101">
        <v>1</v>
      </c>
      <c r="Q483" s="101">
        <v>1</v>
      </c>
      <c r="R483" s="101">
        <v>0</v>
      </c>
      <c r="S483" s="101">
        <v>5.4080000000000004</v>
      </c>
      <c r="T483" s="169">
        <v>1.02</v>
      </c>
      <c r="U483" s="101">
        <f t="shared" si="40"/>
        <v>1.02</v>
      </c>
      <c r="V483" s="101">
        <f t="shared" si="41"/>
        <v>1.02</v>
      </c>
      <c r="W483" s="101">
        <f t="shared" si="42"/>
        <v>1.02</v>
      </c>
      <c r="X483" s="101">
        <f t="shared" si="39"/>
        <v>0</v>
      </c>
      <c r="Y483" s="101">
        <f t="shared" si="43"/>
        <v>5.5161600000000002</v>
      </c>
      <c r="AA483" s="101">
        <v>0</v>
      </c>
      <c r="AB483" s="101">
        <v>0</v>
      </c>
      <c r="AC483" s="101">
        <v>0</v>
      </c>
      <c r="AD483" s="101">
        <v>0</v>
      </c>
      <c r="AE483" s="101">
        <v>0</v>
      </c>
    </row>
    <row r="484" spans="1:31" ht="11.25" hidden="1" customHeight="1" x14ac:dyDescent="0.3">
      <c r="A484" s="126" t="s">
        <v>176</v>
      </c>
      <c r="B484" s="126">
        <v>20</v>
      </c>
      <c r="C484" s="126">
        <v>41</v>
      </c>
      <c r="D484" s="126" t="str">
        <f t="shared" si="33"/>
        <v>2041</v>
      </c>
      <c r="O484" s="101">
        <v>1</v>
      </c>
      <c r="P484" s="101">
        <v>1</v>
      </c>
      <c r="Q484" s="101">
        <v>1</v>
      </c>
      <c r="R484" s="101">
        <v>0</v>
      </c>
      <c r="S484" s="101">
        <v>21.805</v>
      </c>
      <c r="T484" s="169">
        <v>1.02</v>
      </c>
      <c r="U484" s="101">
        <f t="shared" si="40"/>
        <v>1.02</v>
      </c>
      <c r="V484" s="101">
        <f t="shared" si="41"/>
        <v>1.02</v>
      </c>
      <c r="W484" s="101">
        <f t="shared" si="42"/>
        <v>1.02</v>
      </c>
      <c r="X484" s="101">
        <f t="shared" si="39"/>
        <v>0</v>
      </c>
      <c r="Y484" s="101">
        <f t="shared" si="43"/>
        <v>22.241099999999999</v>
      </c>
      <c r="AA484" s="101">
        <v>0</v>
      </c>
      <c r="AB484" s="101">
        <v>0</v>
      </c>
      <c r="AC484" s="101">
        <v>0</v>
      </c>
      <c r="AD484" s="101">
        <v>0</v>
      </c>
      <c r="AE484" s="101">
        <v>0</v>
      </c>
    </row>
    <row r="485" spans="1:31" ht="11.25" customHeight="1" x14ac:dyDescent="0.3">
      <c r="A485" s="126" t="s">
        <v>176</v>
      </c>
      <c r="B485" s="126">
        <v>20</v>
      </c>
      <c r="C485" s="126" t="s">
        <v>172</v>
      </c>
      <c r="D485" s="126" t="str">
        <f t="shared" si="33"/>
        <v>20Uml</v>
      </c>
      <c r="J485" s="101">
        <v>253</v>
      </c>
      <c r="K485" s="101">
        <v>264</v>
      </c>
      <c r="L485" s="101">
        <v>119663</v>
      </c>
      <c r="N485" s="101">
        <v>532893</v>
      </c>
      <c r="O485" s="101">
        <v>241</v>
      </c>
      <c r="P485" s="101">
        <v>248</v>
      </c>
      <c r="Q485" s="101">
        <v>62999</v>
      </c>
      <c r="S485" s="101">
        <v>207258</v>
      </c>
      <c r="T485" s="169">
        <v>1.02</v>
      </c>
      <c r="U485" s="101">
        <f t="shared" si="40"/>
        <v>245.82</v>
      </c>
      <c r="V485" s="101">
        <f t="shared" si="41"/>
        <v>252.96</v>
      </c>
      <c r="W485" s="101">
        <f t="shared" si="42"/>
        <v>64258.98</v>
      </c>
      <c r="X485" s="101">
        <f t="shared" si="39"/>
        <v>0</v>
      </c>
      <c r="Y485" s="101">
        <f t="shared" si="43"/>
        <v>211403.16</v>
      </c>
      <c r="AA485" s="101">
        <v>318</v>
      </c>
      <c r="AB485" s="101">
        <v>330</v>
      </c>
      <c r="AC485" s="101">
        <v>61442</v>
      </c>
      <c r="AE485" s="101">
        <v>244041.75599999999</v>
      </c>
    </row>
    <row r="486" spans="1:31" ht="11.25" hidden="1" customHeight="1" x14ac:dyDescent="0.3">
      <c r="A486" s="126" t="s">
        <v>176</v>
      </c>
      <c r="B486" s="126">
        <v>20</v>
      </c>
      <c r="C486" s="126">
        <v>37</v>
      </c>
      <c r="D486" s="126" t="str">
        <f t="shared" ref="D486:D601" si="44">CONCATENATE(B486,C486)</f>
        <v>2037</v>
      </c>
      <c r="E486" s="101">
        <v>25.25</v>
      </c>
      <c r="F486" s="101">
        <v>67.75</v>
      </c>
      <c r="G486" s="101">
        <v>9366</v>
      </c>
      <c r="H486" s="101">
        <v>17962.872500000001</v>
      </c>
      <c r="I486" s="101">
        <v>10098.38775</v>
      </c>
      <c r="J486" s="101">
        <v>39</v>
      </c>
      <c r="K486" s="101">
        <v>175</v>
      </c>
      <c r="L486" s="101">
        <v>6371</v>
      </c>
      <c r="M486" s="101">
        <v>29077.190000000002</v>
      </c>
      <c r="N486" s="101">
        <v>10977.449000000001</v>
      </c>
      <c r="O486" s="101">
        <v>32</v>
      </c>
      <c r="P486" s="101">
        <v>139</v>
      </c>
      <c r="Q486" s="101">
        <v>2464</v>
      </c>
      <c r="R486" s="101">
        <v>18387.669999999998</v>
      </c>
      <c r="S486" s="101">
        <v>9571.1290000000008</v>
      </c>
      <c r="T486" s="169">
        <v>1.02</v>
      </c>
      <c r="U486" s="101">
        <f t="shared" si="40"/>
        <v>32.64</v>
      </c>
      <c r="V486" s="101">
        <f t="shared" si="41"/>
        <v>141.78</v>
      </c>
      <c r="W486" s="101">
        <f t="shared" si="42"/>
        <v>2513.2800000000002</v>
      </c>
      <c r="X486" s="101">
        <f t="shared" si="39"/>
        <v>18755.4234</v>
      </c>
      <c r="Y486" s="101">
        <f t="shared" si="43"/>
        <v>9762.5515800000012</v>
      </c>
      <c r="AA486" s="101">
        <v>27</v>
      </c>
      <c r="AB486" s="101">
        <v>106</v>
      </c>
      <c r="AC486" s="101">
        <v>832</v>
      </c>
      <c r="AD486" s="101">
        <v>5552</v>
      </c>
      <c r="AE486" s="101">
        <v>2509</v>
      </c>
    </row>
    <row r="487" spans="1:31" ht="11.25" hidden="1" customHeight="1" x14ac:dyDescent="0.3">
      <c r="A487" s="126" t="s">
        <v>176</v>
      </c>
      <c r="B487" s="126">
        <v>21</v>
      </c>
      <c r="C487" s="126">
        <v>12</v>
      </c>
      <c r="D487" s="126" t="str">
        <f t="shared" si="44"/>
        <v>2112</v>
      </c>
      <c r="E487" s="101">
        <v>31</v>
      </c>
      <c r="F487" s="101">
        <v>34</v>
      </c>
      <c r="G487" s="101">
        <v>42</v>
      </c>
      <c r="H487" s="101">
        <v>703.17000000000007</v>
      </c>
      <c r="I487" s="101">
        <v>234.22399999999999</v>
      </c>
      <c r="J487" s="101">
        <v>28</v>
      </c>
      <c r="K487" s="101">
        <v>42</v>
      </c>
      <c r="L487" s="101">
        <v>49</v>
      </c>
      <c r="M487" s="101">
        <v>1121.31</v>
      </c>
      <c r="N487" s="101">
        <v>368.13499999999999</v>
      </c>
      <c r="O487" s="101">
        <v>19</v>
      </c>
      <c r="P487" s="101">
        <v>24</v>
      </c>
      <c r="Q487" s="101">
        <v>36</v>
      </c>
      <c r="R487" s="101">
        <v>559.85</v>
      </c>
      <c r="S487" s="101">
        <v>131.655</v>
      </c>
      <c r="T487" s="169">
        <v>1.02</v>
      </c>
      <c r="U487" s="101">
        <f t="shared" si="40"/>
        <v>19.38</v>
      </c>
      <c r="V487" s="101">
        <f t="shared" si="41"/>
        <v>24.48</v>
      </c>
      <c r="W487" s="101">
        <f t="shared" si="42"/>
        <v>36.72</v>
      </c>
      <c r="X487" s="101">
        <f t="shared" si="39"/>
        <v>571.04700000000003</v>
      </c>
      <c r="Y487" s="101">
        <f t="shared" si="43"/>
        <v>134.28810000000001</v>
      </c>
      <c r="AA487" s="101">
        <v>17</v>
      </c>
      <c r="AB487" s="101">
        <v>29</v>
      </c>
      <c r="AC487" s="101">
        <v>33</v>
      </c>
      <c r="AD487" s="101">
        <v>689</v>
      </c>
      <c r="AE487" s="101">
        <v>114</v>
      </c>
    </row>
    <row r="488" spans="1:31" ht="11.25" hidden="1" customHeight="1" x14ac:dyDescent="0.3">
      <c r="A488" s="126" t="s">
        <v>176</v>
      </c>
      <c r="B488" s="126">
        <v>21</v>
      </c>
      <c r="C488" s="126">
        <v>17</v>
      </c>
      <c r="D488" s="126" t="str">
        <f t="shared" si="44"/>
        <v>2117</v>
      </c>
      <c r="E488" s="101">
        <v>1674</v>
      </c>
      <c r="F488" s="101">
        <v>2215</v>
      </c>
      <c r="G488" s="101">
        <v>3022</v>
      </c>
      <c r="H488" s="101">
        <v>109205.63999999998</v>
      </c>
      <c r="I488" s="101">
        <v>19143.316999999999</v>
      </c>
      <c r="J488" s="101">
        <v>695</v>
      </c>
      <c r="K488" s="101">
        <v>1271</v>
      </c>
      <c r="L488" s="101">
        <v>1797</v>
      </c>
      <c r="M488" s="101">
        <v>52507.040000000001</v>
      </c>
      <c r="N488" s="101">
        <v>7799.0079999999998</v>
      </c>
      <c r="O488" s="101">
        <v>787</v>
      </c>
      <c r="P488" s="101">
        <v>1337</v>
      </c>
      <c r="Q488" s="101">
        <v>1832</v>
      </c>
      <c r="R488" s="101">
        <v>50136.93</v>
      </c>
      <c r="S488" s="101">
        <v>8861.9719999999998</v>
      </c>
      <c r="T488" s="169">
        <v>1.02</v>
      </c>
      <c r="U488" s="101">
        <v>1024</v>
      </c>
      <c r="V488" s="101">
        <v>2013</v>
      </c>
      <c r="W488" s="101">
        <v>3048</v>
      </c>
      <c r="X488" s="144">
        <f t="shared" si="39"/>
        <v>51139.668600000005</v>
      </c>
      <c r="Y488" s="101">
        <v>15000</v>
      </c>
      <c r="AA488" s="101">
        <v>2103</v>
      </c>
      <c r="AB488" s="101">
        <v>3140</v>
      </c>
      <c r="AC488" s="101">
        <v>4084</v>
      </c>
      <c r="AD488" s="101">
        <v>129948</v>
      </c>
      <c r="AE488" s="101">
        <v>23897</v>
      </c>
    </row>
    <row r="489" spans="1:31" ht="11.25" hidden="1" customHeight="1" x14ac:dyDescent="0.3">
      <c r="A489" s="126" t="s">
        <v>176</v>
      </c>
      <c r="B489" s="126">
        <v>21</v>
      </c>
      <c r="C489" s="126">
        <v>18</v>
      </c>
      <c r="D489" s="126" t="str">
        <f t="shared" si="44"/>
        <v>2118</v>
      </c>
      <c r="E489" s="101">
        <v>218</v>
      </c>
      <c r="F489" s="101">
        <v>299</v>
      </c>
      <c r="G489" s="101">
        <v>431</v>
      </c>
      <c r="H489" s="101">
        <v>13455.750000000002</v>
      </c>
      <c r="I489" s="101">
        <v>2083.3399999999997</v>
      </c>
      <c r="J489" s="101">
        <v>1259</v>
      </c>
      <c r="K489" s="101">
        <v>1535</v>
      </c>
      <c r="L489" s="101">
        <v>1767</v>
      </c>
      <c r="M489" s="101">
        <v>68983.77</v>
      </c>
      <c r="N489" s="101">
        <v>13985.008</v>
      </c>
      <c r="O489" s="101">
        <v>1590</v>
      </c>
      <c r="P489" s="101">
        <v>1742</v>
      </c>
      <c r="Q489" s="101">
        <v>1999</v>
      </c>
      <c r="R489" s="101">
        <v>76847.3</v>
      </c>
      <c r="S489" s="101">
        <v>17040.564999999999</v>
      </c>
      <c r="T489" s="169">
        <v>0.6</v>
      </c>
      <c r="U489" s="101">
        <f t="shared" si="40"/>
        <v>954</v>
      </c>
      <c r="V489" s="101">
        <f t="shared" si="41"/>
        <v>1045.2</v>
      </c>
      <c r="W489" s="101">
        <f t="shared" si="42"/>
        <v>1199.3999999999999</v>
      </c>
      <c r="X489" s="101">
        <f t="shared" si="39"/>
        <v>46108.38</v>
      </c>
      <c r="Y489" s="101">
        <f t="shared" si="43"/>
        <v>10224.338999999998</v>
      </c>
      <c r="AA489" s="101">
        <v>2250</v>
      </c>
      <c r="AB489" s="101">
        <v>2480</v>
      </c>
      <c r="AC489" s="101">
        <v>2870</v>
      </c>
      <c r="AD489" s="101">
        <v>110788</v>
      </c>
      <c r="AE489" s="101">
        <v>26758</v>
      </c>
    </row>
    <row r="490" spans="1:31" ht="11.25" hidden="1" customHeight="1" x14ac:dyDescent="0.3">
      <c r="A490" s="126" t="s">
        <v>176</v>
      </c>
      <c r="B490" s="126">
        <v>21</v>
      </c>
      <c r="C490" s="126">
        <v>28</v>
      </c>
      <c r="D490" s="126" t="str">
        <f t="shared" si="44"/>
        <v>2128</v>
      </c>
      <c r="E490" s="101">
        <v>348</v>
      </c>
      <c r="F490" s="101">
        <v>2407</v>
      </c>
      <c r="G490" s="101">
        <v>19135</v>
      </c>
      <c r="H490" s="101">
        <v>378001.89</v>
      </c>
      <c r="I490" s="101">
        <v>86387.153999999995</v>
      </c>
      <c r="J490" s="101">
        <v>278</v>
      </c>
      <c r="K490" s="101">
        <v>4051</v>
      </c>
      <c r="L490" s="101">
        <v>25231</v>
      </c>
      <c r="M490" s="101">
        <v>383303.48</v>
      </c>
      <c r="N490" s="101">
        <v>161850.72399999999</v>
      </c>
      <c r="O490" s="101">
        <v>296</v>
      </c>
      <c r="P490" s="101">
        <v>3452</v>
      </c>
      <c r="Q490" s="101">
        <v>22673</v>
      </c>
      <c r="R490" s="101">
        <v>431270.22</v>
      </c>
      <c r="S490" s="101">
        <v>106106.323</v>
      </c>
      <c r="T490" s="169">
        <v>1.02</v>
      </c>
      <c r="U490" s="101">
        <f t="shared" si="40"/>
        <v>301.92</v>
      </c>
      <c r="V490" s="101">
        <f t="shared" si="41"/>
        <v>3521.04</v>
      </c>
      <c r="W490" s="101">
        <f t="shared" si="42"/>
        <v>23126.46</v>
      </c>
      <c r="X490" s="101">
        <f t="shared" si="39"/>
        <v>439895.62439999997</v>
      </c>
      <c r="Y490" s="101">
        <f t="shared" si="43"/>
        <v>108228.44946</v>
      </c>
      <c r="AA490" s="101">
        <v>247</v>
      </c>
      <c r="AB490" s="101">
        <v>5471</v>
      </c>
      <c r="AC490" s="101">
        <v>26471</v>
      </c>
      <c r="AD490" s="101">
        <v>566573</v>
      </c>
      <c r="AE490" s="101">
        <v>161612</v>
      </c>
    </row>
    <row r="491" spans="1:31" ht="11.25" hidden="1" customHeight="1" x14ac:dyDescent="0.3">
      <c r="A491" s="126" t="s">
        <v>176</v>
      </c>
      <c r="B491" s="126">
        <v>21</v>
      </c>
      <c r="C491" s="126">
        <v>46</v>
      </c>
      <c r="D491" s="126" t="str">
        <f t="shared" si="44"/>
        <v>2146</v>
      </c>
      <c r="E491" s="101">
        <v>163</v>
      </c>
      <c r="F491" s="101">
        <v>352</v>
      </c>
      <c r="G491" s="101">
        <v>2320</v>
      </c>
      <c r="H491" s="101">
        <v>44767.11</v>
      </c>
      <c r="I491" s="101">
        <v>10387.109</v>
      </c>
      <c r="J491" s="101">
        <v>104</v>
      </c>
      <c r="K491" s="101">
        <v>241</v>
      </c>
      <c r="L491" s="101">
        <v>10517</v>
      </c>
      <c r="M491" s="101">
        <v>200234.67</v>
      </c>
      <c r="N491" s="101">
        <v>64805.142</v>
      </c>
      <c r="O491" s="101">
        <v>193</v>
      </c>
      <c r="P491" s="101">
        <v>385</v>
      </c>
      <c r="Q491" s="101">
        <v>25536</v>
      </c>
      <c r="R491" s="101">
        <v>396956.77</v>
      </c>
      <c r="S491" s="101">
        <v>146144.726</v>
      </c>
      <c r="T491" s="169">
        <v>1.02</v>
      </c>
      <c r="U491" s="101">
        <f t="shared" si="40"/>
        <v>196.86</v>
      </c>
      <c r="V491" s="101">
        <f t="shared" si="41"/>
        <v>392.7</v>
      </c>
      <c r="W491" s="101">
        <f t="shared" si="42"/>
        <v>26046.720000000001</v>
      </c>
      <c r="X491" s="101">
        <f t="shared" si="39"/>
        <v>404895.90540000005</v>
      </c>
      <c r="Y491" s="101">
        <f t="shared" si="43"/>
        <v>149067.62052</v>
      </c>
      <c r="AA491" s="101">
        <v>353</v>
      </c>
      <c r="AB491" s="101">
        <v>576</v>
      </c>
      <c r="AC491" s="101">
        <v>43949</v>
      </c>
      <c r="AD491" s="101">
        <v>496895</v>
      </c>
      <c r="AE491" s="101">
        <v>166010</v>
      </c>
    </row>
    <row r="492" spans="1:31" ht="11.25" hidden="1" customHeight="1" x14ac:dyDescent="0.3">
      <c r="A492" s="126" t="s">
        <v>176</v>
      </c>
      <c r="B492" s="126">
        <v>21</v>
      </c>
      <c r="C492" s="126">
        <v>48</v>
      </c>
      <c r="D492" s="126" t="str">
        <f t="shared" si="44"/>
        <v>2148</v>
      </c>
      <c r="E492" s="101">
        <v>1</v>
      </c>
      <c r="F492" s="101">
        <v>1</v>
      </c>
      <c r="G492" s="101">
        <v>450</v>
      </c>
      <c r="H492" s="101">
        <v>11588.57</v>
      </c>
      <c r="I492" s="101">
        <v>3110.4</v>
      </c>
      <c r="J492" s="101">
        <v>0</v>
      </c>
      <c r="K492" s="101">
        <v>0</v>
      </c>
      <c r="L492" s="101">
        <v>0</v>
      </c>
      <c r="M492" s="101">
        <v>0</v>
      </c>
      <c r="N492" s="101">
        <v>0</v>
      </c>
      <c r="O492" s="101">
        <v>0</v>
      </c>
      <c r="P492" s="101">
        <v>0</v>
      </c>
      <c r="Q492" s="101">
        <v>0</v>
      </c>
      <c r="R492" s="101">
        <v>0</v>
      </c>
      <c r="S492" s="101">
        <v>0</v>
      </c>
      <c r="T492" s="169">
        <v>1.02</v>
      </c>
      <c r="U492" s="101">
        <f t="shared" si="40"/>
        <v>0</v>
      </c>
      <c r="V492" s="101">
        <f t="shared" si="41"/>
        <v>0</v>
      </c>
      <c r="W492" s="101">
        <f t="shared" si="42"/>
        <v>0</v>
      </c>
      <c r="X492" s="101">
        <f t="shared" si="39"/>
        <v>0</v>
      </c>
      <c r="Y492" s="101">
        <f t="shared" si="43"/>
        <v>0</v>
      </c>
      <c r="AA492" s="101">
        <v>0</v>
      </c>
      <c r="AB492" s="101">
        <v>0</v>
      </c>
      <c r="AC492" s="101">
        <v>0</v>
      </c>
      <c r="AD492" s="101">
        <v>0</v>
      </c>
      <c r="AE492" s="101">
        <v>0</v>
      </c>
    </row>
    <row r="493" spans="1:31" ht="11.25" hidden="1" customHeight="1" x14ac:dyDescent="0.3">
      <c r="A493" s="126" t="s">
        <v>176</v>
      </c>
      <c r="B493" s="126">
        <v>21</v>
      </c>
      <c r="C493" s="126">
        <v>66</v>
      </c>
      <c r="D493" s="126" t="str">
        <f t="shared" si="44"/>
        <v>2166</v>
      </c>
      <c r="E493" s="101">
        <v>456</v>
      </c>
      <c r="F493" s="101">
        <v>1461</v>
      </c>
      <c r="G493" s="101">
        <v>22707</v>
      </c>
      <c r="H493" s="101">
        <v>146363.29999999999</v>
      </c>
      <c r="I493" s="101">
        <v>78126.778999999995</v>
      </c>
      <c r="J493" s="101">
        <v>256</v>
      </c>
      <c r="K493" s="101">
        <v>1267</v>
      </c>
      <c r="L493" s="101">
        <v>17231</v>
      </c>
      <c r="M493" s="101">
        <v>114237.29</v>
      </c>
      <c r="N493" s="101">
        <v>54945.173000000003</v>
      </c>
      <c r="O493" s="101">
        <v>199</v>
      </c>
      <c r="P493" s="101">
        <v>1045</v>
      </c>
      <c r="Q493" s="101">
        <v>22688</v>
      </c>
      <c r="R493" s="101">
        <v>155752.79999999999</v>
      </c>
      <c r="S493" s="101">
        <v>90863.506999999998</v>
      </c>
      <c r="T493" s="169">
        <v>1.02</v>
      </c>
      <c r="U493" s="101">
        <f t="shared" si="40"/>
        <v>202.98</v>
      </c>
      <c r="V493" s="101">
        <f t="shared" si="41"/>
        <v>1065.9000000000001</v>
      </c>
      <c r="W493" s="101">
        <f t="shared" si="42"/>
        <v>23141.760000000002</v>
      </c>
      <c r="X493" s="101">
        <f t="shared" si="39"/>
        <v>158867.856</v>
      </c>
      <c r="Y493" s="101">
        <f t="shared" si="43"/>
        <v>92680.777140000006</v>
      </c>
      <c r="AA493" s="101">
        <v>75</v>
      </c>
      <c r="AB493" s="101">
        <v>1292</v>
      </c>
      <c r="AC493" s="101">
        <v>20386</v>
      </c>
      <c r="AD493" s="101">
        <v>126455</v>
      </c>
      <c r="AE493" s="101">
        <v>62943</v>
      </c>
    </row>
    <row r="494" spans="1:31" ht="11.25" hidden="1" customHeight="1" x14ac:dyDescent="0.3">
      <c r="A494" s="126" t="s">
        <v>176</v>
      </c>
      <c r="B494" s="126">
        <v>21</v>
      </c>
      <c r="C494" s="126">
        <v>30</v>
      </c>
      <c r="D494" s="126" t="str">
        <f t="shared" si="44"/>
        <v>2130</v>
      </c>
      <c r="E494" s="101">
        <v>300</v>
      </c>
      <c r="F494" s="101">
        <v>3064.5</v>
      </c>
      <c r="G494" s="101">
        <v>11014.5</v>
      </c>
      <c r="H494" s="101">
        <v>252524.75000000003</v>
      </c>
      <c r="I494" s="101">
        <v>77095.439500000008</v>
      </c>
      <c r="J494" s="101">
        <v>175</v>
      </c>
      <c r="K494" s="101">
        <v>2905</v>
      </c>
      <c r="L494" s="101">
        <v>14712</v>
      </c>
      <c r="M494" s="101">
        <v>166082.68</v>
      </c>
      <c r="N494" s="101">
        <v>74994.445000000007</v>
      </c>
      <c r="O494" s="138"/>
      <c r="P494" s="138"/>
      <c r="Q494" s="138"/>
      <c r="R494" s="138"/>
      <c r="S494" s="138"/>
      <c r="T494" s="169">
        <v>1.02</v>
      </c>
      <c r="U494" s="101">
        <f t="shared" si="40"/>
        <v>0</v>
      </c>
      <c r="V494" s="101">
        <f t="shared" si="41"/>
        <v>0</v>
      </c>
      <c r="W494" s="101">
        <f t="shared" si="42"/>
        <v>0</v>
      </c>
      <c r="X494" s="101">
        <f t="shared" si="39"/>
        <v>0</v>
      </c>
      <c r="Y494" s="101">
        <f t="shared" si="43"/>
        <v>0</v>
      </c>
      <c r="AA494" s="101">
        <v>31</v>
      </c>
      <c r="AB494" s="101">
        <v>40</v>
      </c>
      <c r="AC494" s="101">
        <v>2588</v>
      </c>
      <c r="AD494" s="101">
        <v>215934</v>
      </c>
      <c r="AE494" s="101">
        <v>119383</v>
      </c>
    </row>
    <row r="495" spans="1:31" ht="11.25" hidden="1" customHeight="1" x14ac:dyDescent="0.3">
      <c r="A495" s="126" t="s">
        <v>176</v>
      </c>
      <c r="B495" s="126">
        <v>21</v>
      </c>
      <c r="C495" s="126">
        <v>21</v>
      </c>
      <c r="D495" s="126" t="str">
        <f t="shared" si="44"/>
        <v>2121</v>
      </c>
      <c r="E495" s="101">
        <v>1100.5</v>
      </c>
      <c r="F495" s="101">
        <v>4186</v>
      </c>
      <c r="G495" s="101">
        <v>19738</v>
      </c>
      <c r="H495" s="101">
        <v>314131.57500000007</v>
      </c>
      <c r="I495" s="101">
        <v>90612.6685</v>
      </c>
      <c r="J495" s="101">
        <v>561</v>
      </c>
      <c r="K495" s="101">
        <v>4076</v>
      </c>
      <c r="L495" s="101">
        <v>23711</v>
      </c>
      <c r="M495" s="101">
        <v>291197.7</v>
      </c>
      <c r="N495" s="101">
        <v>66328.043000000005</v>
      </c>
      <c r="O495" s="138">
        <v>826</v>
      </c>
      <c r="P495" s="138">
        <v>7073</v>
      </c>
      <c r="Q495" s="138">
        <v>34089</v>
      </c>
      <c r="R495" s="138">
        <v>370590.68999999994</v>
      </c>
      <c r="S495" s="138">
        <v>96782.179000000004</v>
      </c>
      <c r="T495" s="169">
        <v>1.02</v>
      </c>
      <c r="U495" s="101">
        <f t="shared" si="40"/>
        <v>842.52</v>
      </c>
      <c r="V495" s="101">
        <f t="shared" si="41"/>
        <v>7214.46</v>
      </c>
      <c r="W495" s="101">
        <f t="shared" si="42"/>
        <v>34770.78</v>
      </c>
      <c r="X495" s="101">
        <f t="shared" si="39"/>
        <v>378002.50379999995</v>
      </c>
      <c r="Y495" s="101">
        <f t="shared" si="43"/>
        <v>98717.822580000007</v>
      </c>
      <c r="AA495" s="101">
        <v>942</v>
      </c>
      <c r="AB495" s="101">
        <v>7695</v>
      </c>
      <c r="AC495" s="101">
        <v>38700</v>
      </c>
      <c r="AD495" s="101">
        <v>470092</v>
      </c>
      <c r="AE495" s="101">
        <v>155704</v>
      </c>
    </row>
    <row r="496" spans="1:31" ht="11.25" hidden="1" customHeight="1" x14ac:dyDescent="0.3">
      <c r="A496" s="126" t="s">
        <v>176</v>
      </c>
      <c r="B496" s="126">
        <v>21</v>
      </c>
      <c r="C496" s="126">
        <v>71</v>
      </c>
      <c r="D496" s="126" t="str">
        <f t="shared" si="44"/>
        <v>2171</v>
      </c>
      <c r="E496" s="101">
        <v>523</v>
      </c>
      <c r="F496" s="101">
        <v>4795.5</v>
      </c>
      <c r="G496" s="101">
        <v>13952</v>
      </c>
      <c r="H496" s="101">
        <v>73332.75</v>
      </c>
      <c r="I496" s="101">
        <v>34230.178499999995</v>
      </c>
      <c r="J496" s="101">
        <v>452</v>
      </c>
      <c r="K496" s="101">
        <v>4970</v>
      </c>
      <c r="L496" s="101">
        <v>13326</v>
      </c>
      <c r="M496" s="101">
        <v>101274.56</v>
      </c>
      <c r="N496" s="101">
        <v>45059.591</v>
      </c>
      <c r="O496" s="101">
        <v>327</v>
      </c>
      <c r="P496" s="101">
        <v>5289</v>
      </c>
      <c r="Q496" s="101">
        <v>16804</v>
      </c>
      <c r="R496" s="101">
        <v>136357</v>
      </c>
      <c r="S496" s="101">
        <v>76575.251999999993</v>
      </c>
      <c r="T496" s="169">
        <v>0.98</v>
      </c>
      <c r="U496" s="101">
        <f t="shared" si="40"/>
        <v>320.45999999999998</v>
      </c>
      <c r="V496" s="101">
        <f t="shared" si="41"/>
        <v>5183.22</v>
      </c>
      <c r="W496" s="101">
        <f t="shared" si="42"/>
        <v>16467.919999999998</v>
      </c>
      <c r="X496" s="101">
        <f t="shared" si="39"/>
        <v>133629.85999999999</v>
      </c>
      <c r="Y496" s="101">
        <f t="shared" si="43"/>
        <v>75043.746959999989</v>
      </c>
      <c r="AA496" s="101">
        <v>255</v>
      </c>
      <c r="AB496" s="101">
        <v>5028</v>
      </c>
      <c r="AC496" s="101">
        <v>28037</v>
      </c>
      <c r="AD496" s="101">
        <v>155224</v>
      </c>
      <c r="AE496" s="101">
        <v>78144</v>
      </c>
    </row>
    <row r="497" spans="1:31" ht="11.25" hidden="1" customHeight="1" x14ac:dyDescent="0.3">
      <c r="A497" s="126" t="s">
        <v>176</v>
      </c>
      <c r="B497" s="126">
        <v>21</v>
      </c>
      <c r="C497" s="126">
        <v>25</v>
      </c>
      <c r="D497" s="126" t="str">
        <f t="shared" si="44"/>
        <v>2125</v>
      </c>
      <c r="E497" s="101">
        <v>1129</v>
      </c>
      <c r="F497" s="101">
        <v>5381</v>
      </c>
      <c r="G497" s="101">
        <v>28204</v>
      </c>
      <c r="H497" s="101">
        <v>375976.42999999993</v>
      </c>
      <c r="I497" s="101">
        <v>186273.56100000002</v>
      </c>
      <c r="J497" s="101">
        <v>728</v>
      </c>
      <c r="K497" s="101">
        <v>5404</v>
      </c>
      <c r="L497" s="101">
        <v>19454</v>
      </c>
      <c r="M497" s="101">
        <v>247939.02</v>
      </c>
      <c r="N497" s="101">
        <v>99424.639999999999</v>
      </c>
      <c r="O497" s="101">
        <v>755</v>
      </c>
      <c r="P497" s="101">
        <v>5741</v>
      </c>
      <c r="Q497" s="101">
        <v>19696</v>
      </c>
      <c r="R497" s="101">
        <v>162257.07999999999</v>
      </c>
      <c r="S497" s="101">
        <v>88172.603000000003</v>
      </c>
      <c r="T497" s="169">
        <v>1.02</v>
      </c>
      <c r="U497" s="101">
        <f t="shared" si="40"/>
        <v>770.1</v>
      </c>
      <c r="V497" s="101">
        <f t="shared" si="41"/>
        <v>5855.82</v>
      </c>
      <c r="W497" s="101">
        <f t="shared" si="42"/>
        <v>20089.920000000002</v>
      </c>
      <c r="X497" s="101">
        <f t="shared" si="39"/>
        <v>165502.22159999999</v>
      </c>
      <c r="Y497" s="101">
        <f t="shared" si="43"/>
        <v>89936.055059999999</v>
      </c>
      <c r="AA497" s="101">
        <v>667</v>
      </c>
      <c r="AB497" s="101">
        <v>6920</v>
      </c>
      <c r="AC497" s="101">
        <v>32104</v>
      </c>
      <c r="AD497" s="101">
        <v>274738</v>
      </c>
      <c r="AE497" s="101">
        <v>152069</v>
      </c>
    </row>
    <row r="498" spans="1:31" ht="11.25" hidden="1" customHeight="1" x14ac:dyDescent="0.3">
      <c r="A498" s="126" t="s">
        <v>176</v>
      </c>
      <c r="B498" s="126">
        <v>21</v>
      </c>
      <c r="C498" s="126">
        <v>14</v>
      </c>
      <c r="D498" s="126" t="str">
        <f t="shared" si="44"/>
        <v>2114</v>
      </c>
      <c r="J498" s="101">
        <v>10</v>
      </c>
      <c r="K498" s="101">
        <v>17</v>
      </c>
      <c r="L498" s="101">
        <v>20</v>
      </c>
      <c r="M498" s="101">
        <v>3161.28</v>
      </c>
      <c r="N498" s="101">
        <v>370.07900000000001</v>
      </c>
      <c r="O498" s="101">
        <v>32</v>
      </c>
      <c r="P498" s="101">
        <v>60</v>
      </c>
      <c r="Q498" s="101">
        <v>85</v>
      </c>
      <c r="R498" s="101">
        <v>6601.43</v>
      </c>
      <c r="S498" s="101">
        <v>1014.189</v>
      </c>
      <c r="T498" s="169">
        <v>1.02</v>
      </c>
      <c r="U498" s="101">
        <f t="shared" si="40"/>
        <v>32.64</v>
      </c>
      <c r="V498" s="101">
        <f t="shared" si="41"/>
        <v>61.2</v>
      </c>
      <c r="W498" s="101">
        <f t="shared" si="42"/>
        <v>86.7</v>
      </c>
      <c r="X498" s="101">
        <f t="shared" si="39"/>
        <v>6733.4586000000008</v>
      </c>
      <c r="Y498" s="101">
        <f t="shared" si="43"/>
        <v>1034.4727800000001</v>
      </c>
      <c r="AA498" s="101">
        <v>139</v>
      </c>
      <c r="AB498" s="101">
        <v>182</v>
      </c>
      <c r="AC498" s="101">
        <v>281</v>
      </c>
      <c r="AD498" s="101">
        <v>12890</v>
      </c>
      <c r="AE498" s="101">
        <v>1936</v>
      </c>
    </row>
    <row r="499" spans="1:31" ht="11.25" hidden="1" customHeight="1" x14ac:dyDescent="0.3">
      <c r="A499" s="126" t="s">
        <v>176</v>
      </c>
      <c r="B499" s="126">
        <v>21</v>
      </c>
      <c r="C499" s="126">
        <v>22</v>
      </c>
      <c r="D499" s="126" t="str">
        <f t="shared" si="44"/>
        <v>2122</v>
      </c>
      <c r="J499" s="101">
        <v>5</v>
      </c>
      <c r="K499" s="101">
        <v>8</v>
      </c>
      <c r="L499" s="101">
        <v>254</v>
      </c>
      <c r="M499" s="101">
        <v>16089.08</v>
      </c>
      <c r="N499" s="101">
        <v>1953.8230000000001</v>
      </c>
      <c r="O499" s="101">
        <v>8</v>
      </c>
      <c r="P499" s="101">
        <v>12</v>
      </c>
      <c r="Q499" s="101">
        <v>64</v>
      </c>
      <c r="R499" s="101">
        <v>291.61</v>
      </c>
      <c r="S499" s="101">
        <v>189.976</v>
      </c>
      <c r="T499" s="169">
        <v>1.02</v>
      </c>
      <c r="U499" s="101">
        <f t="shared" si="40"/>
        <v>8.16</v>
      </c>
      <c r="V499" s="101">
        <f t="shared" si="41"/>
        <v>12.24</v>
      </c>
      <c r="W499" s="101">
        <f t="shared" si="42"/>
        <v>65.28</v>
      </c>
      <c r="X499" s="101">
        <f t="shared" si="39"/>
        <v>297.44220000000001</v>
      </c>
      <c r="Y499" s="101">
        <f t="shared" si="43"/>
        <v>193.77552</v>
      </c>
      <c r="AA499" s="101">
        <v>4</v>
      </c>
      <c r="AB499" s="101">
        <v>6</v>
      </c>
      <c r="AC499" s="101">
        <v>155</v>
      </c>
      <c r="AD499" s="101">
        <v>2688</v>
      </c>
      <c r="AE499" s="101">
        <v>2128</v>
      </c>
    </row>
    <row r="500" spans="1:31" ht="11.25" hidden="1" customHeight="1" x14ac:dyDescent="0.3">
      <c r="A500" s="126" t="s">
        <v>176</v>
      </c>
      <c r="B500" s="126">
        <v>21</v>
      </c>
      <c r="C500" s="126">
        <v>26</v>
      </c>
      <c r="D500" s="126" t="str">
        <f t="shared" si="44"/>
        <v>2126</v>
      </c>
      <c r="J500" s="101">
        <v>3</v>
      </c>
      <c r="K500" s="101">
        <v>8</v>
      </c>
      <c r="L500" s="101">
        <v>775</v>
      </c>
      <c r="M500" s="101">
        <v>2160.4699999999998</v>
      </c>
      <c r="N500" s="101">
        <v>553.08600000000001</v>
      </c>
      <c r="O500" s="101">
        <v>3</v>
      </c>
      <c r="P500" s="101">
        <v>3</v>
      </c>
      <c r="Q500" s="101">
        <v>542</v>
      </c>
      <c r="R500" s="101">
        <v>1525.2</v>
      </c>
      <c r="S500" s="101">
        <v>1225.758</v>
      </c>
      <c r="T500" s="169">
        <v>1.02</v>
      </c>
      <c r="U500" s="101">
        <f t="shared" si="40"/>
        <v>3.06</v>
      </c>
      <c r="V500" s="101">
        <f t="shared" si="41"/>
        <v>3.06</v>
      </c>
      <c r="W500" s="101">
        <f t="shared" si="42"/>
        <v>552.84</v>
      </c>
      <c r="X500" s="101">
        <f t="shared" si="39"/>
        <v>1555.7040000000002</v>
      </c>
      <c r="Y500" s="101">
        <f t="shared" si="43"/>
        <v>1250.27316</v>
      </c>
      <c r="AA500" s="101">
        <v>3</v>
      </c>
      <c r="AB500" s="101">
        <v>17</v>
      </c>
      <c r="AC500" s="101">
        <v>317</v>
      </c>
      <c r="AD500" s="101">
        <v>1547</v>
      </c>
      <c r="AE500" s="101">
        <v>90</v>
      </c>
    </row>
    <row r="501" spans="1:31" ht="11.25" hidden="1" customHeight="1" x14ac:dyDescent="0.3">
      <c r="A501" s="126" t="s">
        <v>176</v>
      </c>
      <c r="B501" s="126">
        <v>21</v>
      </c>
      <c r="C501" s="126">
        <v>32</v>
      </c>
      <c r="D501" s="126" t="str">
        <f t="shared" si="44"/>
        <v>2132</v>
      </c>
      <c r="J501" s="101">
        <v>10</v>
      </c>
      <c r="K501" s="101">
        <v>34</v>
      </c>
      <c r="L501" s="101">
        <v>620</v>
      </c>
      <c r="M501" s="101">
        <v>11447.28</v>
      </c>
      <c r="N501" s="101">
        <v>3766.703</v>
      </c>
      <c r="O501" s="101">
        <v>189</v>
      </c>
      <c r="P501" s="101">
        <v>215</v>
      </c>
      <c r="Q501" s="101">
        <v>1693</v>
      </c>
      <c r="R501" s="101">
        <v>2114.6799999999998</v>
      </c>
      <c r="S501" s="101">
        <v>4516.6899999999996</v>
      </c>
      <c r="T501" s="169">
        <v>1.02</v>
      </c>
      <c r="U501" s="101">
        <f t="shared" si="40"/>
        <v>192.78</v>
      </c>
      <c r="V501" s="101">
        <f t="shared" si="41"/>
        <v>219.3</v>
      </c>
      <c r="W501" s="101">
        <f t="shared" si="42"/>
        <v>1726.8600000000001</v>
      </c>
      <c r="X501" s="101">
        <f t="shared" si="39"/>
        <v>2156.9735999999998</v>
      </c>
      <c r="Y501" s="101">
        <f t="shared" si="43"/>
        <v>4607.0237999999999</v>
      </c>
      <c r="AA501" s="101">
        <v>41</v>
      </c>
      <c r="AB501" s="101">
        <v>88</v>
      </c>
      <c r="AC501" s="101">
        <v>4844</v>
      </c>
      <c r="AD501" s="101">
        <v>36231</v>
      </c>
      <c r="AE501" s="101">
        <v>17862</v>
      </c>
    </row>
    <row r="502" spans="1:31" ht="11.25" hidden="1" customHeight="1" x14ac:dyDescent="0.3">
      <c r="A502" s="126" t="s">
        <v>176</v>
      </c>
      <c r="B502" s="126">
        <v>21</v>
      </c>
      <c r="C502" s="126">
        <v>43</v>
      </c>
      <c r="D502" s="126" t="str">
        <f t="shared" si="44"/>
        <v>2143</v>
      </c>
      <c r="J502" s="101">
        <v>0</v>
      </c>
      <c r="K502" s="101">
        <v>0</v>
      </c>
      <c r="L502" s="101">
        <v>0</v>
      </c>
      <c r="M502" s="101">
        <v>0</v>
      </c>
      <c r="N502" s="101">
        <v>0</v>
      </c>
      <c r="O502" s="101">
        <v>0</v>
      </c>
      <c r="P502" s="101">
        <v>0</v>
      </c>
      <c r="Q502" s="101">
        <v>0</v>
      </c>
      <c r="R502" s="101">
        <v>0</v>
      </c>
      <c r="S502" s="101">
        <v>0</v>
      </c>
      <c r="T502" s="169">
        <v>1.02</v>
      </c>
      <c r="U502" s="101">
        <f t="shared" si="40"/>
        <v>0</v>
      </c>
      <c r="V502" s="101">
        <f t="shared" si="41"/>
        <v>0</v>
      </c>
      <c r="W502" s="101">
        <f t="shared" si="42"/>
        <v>0</v>
      </c>
      <c r="X502" s="101">
        <f t="shared" si="39"/>
        <v>0</v>
      </c>
      <c r="Y502" s="101">
        <f t="shared" si="43"/>
        <v>0</v>
      </c>
      <c r="AA502" s="101">
        <v>0</v>
      </c>
      <c r="AB502" s="101">
        <v>0</v>
      </c>
      <c r="AC502" s="101">
        <v>0</v>
      </c>
      <c r="AD502" s="101">
        <v>0</v>
      </c>
      <c r="AE502" s="101">
        <v>0</v>
      </c>
    </row>
    <row r="503" spans="1:31" ht="11.25" hidden="1" customHeight="1" x14ac:dyDescent="0.3">
      <c r="A503" s="126" t="s">
        <v>176</v>
      </c>
      <c r="B503" s="126">
        <v>21</v>
      </c>
      <c r="C503" s="126">
        <v>44</v>
      </c>
      <c r="D503" s="126" t="str">
        <f t="shared" si="44"/>
        <v>2144</v>
      </c>
      <c r="J503" s="101">
        <v>0</v>
      </c>
      <c r="K503" s="101">
        <v>0</v>
      </c>
      <c r="L503" s="101">
        <v>0</v>
      </c>
      <c r="M503" s="101">
        <v>0</v>
      </c>
      <c r="N503" s="101">
        <v>0</v>
      </c>
      <c r="O503" s="101">
        <v>0</v>
      </c>
      <c r="P503" s="101">
        <v>0</v>
      </c>
      <c r="Q503" s="101">
        <v>0</v>
      </c>
      <c r="R503" s="101">
        <v>0</v>
      </c>
      <c r="S503" s="101">
        <v>0</v>
      </c>
      <c r="T503" s="169">
        <v>1.02</v>
      </c>
      <c r="U503" s="101">
        <f t="shared" si="40"/>
        <v>0</v>
      </c>
      <c r="V503" s="101">
        <f t="shared" si="41"/>
        <v>0</v>
      </c>
      <c r="W503" s="101">
        <f t="shared" si="42"/>
        <v>0</v>
      </c>
      <c r="X503" s="101">
        <f t="shared" si="39"/>
        <v>0</v>
      </c>
      <c r="Y503" s="101">
        <f t="shared" si="43"/>
        <v>0</v>
      </c>
      <c r="AA503" s="101">
        <v>0</v>
      </c>
      <c r="AB503" s="101">
        <v>0</v>
      </c>
      <c r="AC503" s="101">
        <v>0</v>
      </c>
      <c r="AD503" s="101">
        <v>0</v>
      </c>
      <c r="AE503" s="101">
        <v>0</v>
      </c>
    </row>
    <row r="504" spans="1:31" ht="11.25" hidden="1" customHeight="1" x14ac:dyDescent="0.3">
      <c r="A504" s="126" t="s">
        <v>176</v>
      </c>
      <c r="B504" s="126">
        <v>21</v>
      </c>
      <c r="C504" s="126">
        <v>45</v>
      </c>
      <c r="D504" s="126" t="str">
        <f t="shared" si="44"/>
        <v>2145</v>
      </c>
      <c r="J504" s="101">
        <v>0</v>
      </c>
      <c r="K504" s="101">
        <v>0</v>
      </c>
      <c r="L504" s="101">
        <v>0</v>
      </c>
      <c r="M504" s="101">
        <v>0</v>
      </c>
      <c r="N504" s="101">
        <v>0</v>
      </c>
      <c r="O504" s="101">
        <v>0</v>
      </c>
      <c r="P504" s="101">
        <v>0</v>
      </c>
      <c r="Q504" s="101">
        <v>0</v>
      </c>
      <c r="R504" s="101">
        <v>0</v>
      </c>
      <c r="S504" s="101">
        <v>0</v>
      </c>
      <c r="T504" s="169">
        <v>1.02</v>
      </c>
      <c r="U504" s="101">
        <f t="shared" si="40"/>
        <v>0</v>
      </c>
      <c r="V504" s="101">
        <f t="shared" si="41"/>
        <v>0</v>
      </c>
      <c r="W504" s="101">
        <f t="shared" si="42"/>
        <v>0</v>
      </c>
      <c r="X504" s="101">
        <f t="shared" si="39"/>
        <v>0</v>
      </c>
      <c r="Y504" s="101">
        <f t="shared" si="43"/>
        <v>0</v>
      </c>
      <c r="AA504" s="101">
        <v>0</v>
      </c>
      <c r="AB504" s="101">
        <v>0</v>
      </c>
      <c r="AC504" s="101">
        <v>0</v>
      </c>
      <c r="AD504" s="101">
        <v>0</v>
      </c>
      <c r="AE504" s="101">
        <v>0</v>
      </c>
    </row>
    <row r="505" spans="1:31" ht="11.25" hidden="1" customHeight="1" x14ac:dyDescent="0.3">
      <c r="A505" s="126" t="s">
        <v>176</v>
      </c>
      <c r="B505" s="126">
        <v>21</v>
      </c>
      <c r="C505" s="126">
        <v>47</v>
      </c>
      <c r="D505" s="126" t="str">
        <f t="shared" si="44"/>
        <v>2147</v>
      </c>
      <c r="J505" s="101">
        <v>0</v>
      </c>
      <c r="K505" s="101">
        <v>0</v>
      </c>
      <c r="L505" s="101">
        <v>0</v>
      </c>
      <c r="M505" s="101">
        <v>0</v>
      </c>
      <c r="N505" s="101">
        <v>0</v>
      </c>
      <c r="O505" s="101">
        <v>0</v>
      </c>
      <c r="P505" s="101">
        <v>0</v>
      </c>
      <c r="Q505" s="101">
        <v>0</v>
      </c>
      <c r="R505" s="101">
        <v>0</v>
      </c>
      <c r="S505" s="101">
        <v>0</v>
      </c>
      <c r="T505" s="169">
        <v>1.02</v>
      </c>
      <c r="U505" s="101">
        <f t="shared" si="40"/>
        <v>0</v>
      </c>
      <c r="V505" s="101">
        <f t="shared" si="41"/>
        <v>0</v>
      </c>
      <c r="W505" s="101">
        <f t="shared" si="42"/>
        <v>0</v>
      </c>
      <c r="X505" s="101">
        <f t="shared" si="39"/>
        <v>0</v>
      </c>
      <c r="Y505" s="101">
        <f t="shared" si="43"/>
        <v>0</v>
      </c>
      <c r="AA505" s="101">
        <v>5</v>
      </c>
      <c r="AB505" s="101">
        <v>7</v>
      </c>
      <c r="AC505" s="101">
        <v>288</v>
      </c>
      <c r="AD505" s="101">
        <v>11038</v>
      </c>
      <c r="AE505" s="101">
        <v>2784</v>
      </c>
    </row>
    <row r="506" spans="1:31" ht="11.25" hidden="1" customHeight="1" x14ac:dyDescent="0.3">
      <c r="A506" s="126" t="s">
        <v>176</v>
      </c>
      <c r="B506" s="126">
        <v>21</v>
      </c>
      <c r="C506" s="126">
        <v>91</v>
      </c>
      <c r="D506" s="126" t="str">
        <f t="shared" si="44"/>
        <v>2191</v>
      </c>
      <c r="J506" s="101">
        <v>58</v>
      </c>
      <c r="K506" s="101">
        <v>198</v>
      </c>
      <c r="L506" s="101">
        <v>1130</v>
      </c>
      <c r="M506" s="101">
        <v>11070.59</v>
      </c>
      <c r="N506" s="101">
        <v>4069.4960000000001</v>
      </c>
      <c r="O506" s="101">
        <v>39</v>
      </c>
      <c r="P506" s="101">
        <v>245</v>
      </c>
      <c r="Q506" s="101">
        <v>1694</v>
      </c>
      <c r="R506" s="101">
        <v>13468.16</v>
      </c>
      <c r="S506" s="101">
        <v>5110.277</v>
      </c>
      <c r="T506" s="169">
        <v>1.02</v>
      </c>
      <c r="U506" s="101">
        <f t="shared" si="40"/>
        <v>39.78</v>
      </c>
      <c r="V506" s="101">
        <f t="shared" si="41"/>
        <v>249.9</v>
      </c>
      <c r="W506" s="101">
        <f t="shared" si="42"/>
        <v>1727.88</v>
      </c>
      <c r="X506" s="101">
        <f t="shared" si="39"/>
        <v>13737.5232</v>
      </c>
      <c r="Y506" s="101">
        <f t="shared" si="43"/>
        <v>5212.48254</v>
      </c>
      <c r="AA506" s="101">
        <v>70</v>
      </c>
      <c r="AB506" s="101">
        <v>230</v>
      </c>
      <c r="AC506" s="101">
        <v>2081</v>
      </c>
      <c r="AD506" s="101">
        <v>8825</v>
      </c>
      <c r="AE506" s="101">
        <v>3040</v>
      </c>
    </row>
    <row r="507" spans="1:31" ht="11.25" hidden="1" customHeight="1" x14ac:dyDescent="0.3">
      <c r="A507" s="126" t="s">
        <v>176</v>
      </c>
      <c r="B507" s="126">
        <v>21</v>
      </c>
      <c r="C507" s="126">
        <v>27</v>
      </c>
      <c r="D507" s="126" t="str">
        <f t="shared" si="44"/>
        <v>2127</v>
      </c>
      <c r="E507" s="101">
        <v>119</v>
      </c>
      <c r="F507" s="101">
        <v>1261</v>
      </c>
      <c r="G507" s="101">
        <v>4608</v>
      </c>
      <c r="H507" s="101">
        <v>48868.62000000001</v>
      </c>
      <c r="I507" s="101">
        <v>19671.973999999998</v>
      </c>
      <c r="J507" s="101">
        <v>102</v>
      </c>
      <c r="K507" s="101">
        <v>2362</v>
      </c>
      <c r="L507" s="101">
        <v>10433</v>
      </c>
      <c r="M507" s="101">
        <v>117763.13</v>
      </c>
      <c r="N507" s="101">
        <v>36437.633999999998</v>
      </c>
      <c r="O507" s="101">
        <v>73</v>
      </c>
      <c r="P507" s="101">
        <v>1930</v>
      </c>
      <c r="Q507" s="101">
        <v>10281</v>
      </c>
      <c r="R507" s="101">
        <v>86010.65</v>
      </c>
      <c r="S507" s="101">
        <v>43279.718000000001</v>
      </c>
      <c r="T507" s="169">
        <v>1.02</v>
      </c>
      <c r="U507" s="101">
        <f t="shared" si="40"/>
        <v>74.460000000000008</v>
      </c>
      <c r="V507" s="101">
        <f t="shared" si="41"/>
        <v>1968.6000000000001</v>
      </c>
      <c r="W507" s="101">
        <f t="shared" si="42"/>
        <v>10486.62</v>
      </c>
      <c r="X507" s="101">
        <f t="shared" si="39"/>
        <v>87730.862999999998</v>
      </c>
      <c r="Y507" s="101">
        <f t="shared" si="43"/>
        <v>44145.312360000004</v>
      </c>
      <c r="AA507" s="101">
        <v>73</v>
      </c>
      <c r="AB507" s="101">
        <v>1861</v>
      </c>
      <c r="AC507" s="101">
        <v>12343</v>
      </c>
      <c r="AD507" s="101">
        <v>97184</v>
      </c>
      <c r="AE507" s="101">
        <v>40073</v>
      </c>
    </row>
    <row r="508" spans="1:31" ht="11.25" hidden="1" customHeight="1" x14ac:dyDescent="0.3">
      <c r="A508" s="126" t="s">
        <v>176</v>
      </c>
      <c r="B508" s="126">
        <v>21</v>
      </c>
      <c r="C508" s="126">
        <v>41</v>
      </c>
      <c r="D508" s="126" t="str">
        <f t="shared" si="44"/>
        <v>2141</v>
      </c>
      <c r="O508" s="101">
        <v>1</v>
      </c>
      <c r="P508" s="101">
        <v>3</v>
      </c>
      <c r="Q508" s="101">
        <v>22</v>
      </c>
      <c r="R508" s="101">
        <v>264.10000000000002</v>
      </c>
      <c r="S508" s="101">
        <v>84.938000000000002</v>
      </c>
      <c r="T508" s="169">
        <v>1.02</v>
      </c>
      <c r="U508" s="101">
        <f t="shared" si="40"/>
        <v>1.02</v>
      </c>
      <c r="V508" s="101">
        <f t="shared" si="41"/>
        <v>3.06</v>
      </c>
      <c r="W508" s="101">
        <f t="shared" si="42"/>
        <v>22.44</v>
      </c>
      <c r="X508" s="101">
        <f t="shared" si="39"/>
        <v>269.38200000000001</v>
      </c>
      <c r="Y508" s="101">
        <f t="shared" si="43"/>
        <v>86.63676000000001</v>
      </c>
      <c r="AA508" s="101">
        <v>0</v>
      </c>
      <c r="AB508" s="101">
        <v>0</v>
      </c>
      <c r="AC508" s="101">
        <v>0</v>
      </c>
      <c r="AD508" s="101">
        <v>0</v>
      </c>
      <c r="AE508" s="101">
        <v>0</v>
      </c>
    </row>
    <row r="509" spans="1:31" ht="11.25" customHeight="1" x14ac:dyDescent="0.3">
      <c r="A509" s="126" t="s">
        <v>176</v>
      </c>
      <c r="B509" s="126">
        <v>21</v>
      </c>
      <c r="C509" s="126" t="s">
        <v>172</v>
      </c>
      <c r="D509" s="126" t="str">
        <f t="shared" si="44"/>
        <v>21Uml</v>
      </c>
      <c r="J509" s="101">
        <v>168</v>
      </c>
      <c r="K509" s="101">
        <v>168</v>
      </c>
      <c r="L509" s="101">
        <v>42397</v>
      </c>
      <c r="N509" s="101">
        <v>219166</v>
      </c>
      <c r="O509" s="101">
        <v>341</v>
      </c>
      <c r="P509" s="101">
        <v>347</v>
      </c>
      <c r="Q509" s="101">
        <v>82411</v>
      </c>
      <c r="S509" s="101">
        <v>321759</v>
      </c>
      <c r="T509" s="169">
        <v>1.02</v>
      </c>
      <c r="U509" s="101">
        <f t="shared" si="40"/>
        <v>347.82</v>
      </c>
      <c r="V509" s="101">
        <f t="shared" si="41"/>
        <v>353.94</v>
      </c>
      <c r="W509" s="101">
        <f t="shared" si="42"/>
        <v>84059.22</v>
      </c>
      <c r="X509" s="101">
        <f t="shared" si="39"/>
        <v>0</v>
      </c>
      <c r="Y509" s="101">
        <f t="shared" si="43"/>
        <v>328194.18</v>
      </c>
      <c r="AA509" s="101">
        <v>329</v>
      </c>
      <c r="AB509" s="101">
        <v>338</v>
      </c>
      <c r="AC509" s="101">
        <v>79423</v>
      </c>
      <c r="AE509" s="101">
        <v>299032.79200000002</v>
      </c>
    </row>
    <row r="510" spans="1:31" ht="11.25" hidden="1" customHeight="1" x14ac:dyDescent="0.3">
      <c r="A510" s="126" t="s">
        <v>176</v>
      </c>
      <c r="B510" s="126">
        <v>21</v>
      </c>
      <c r="C510" s="126">
        <v>37</v>
      </c>
      <c r="D510" s="126" t="str">
        <f t="shared" si="44"/>
        <v>2137</v>
      </c>
      <c r="E510" s="101">
        <v>7.5</v>
      </c>
      <c r="F510" s="101">
        <v>20.75</v>
      </c>
      <c r="G510" s="101">
        <v>774.5</v>
      </c>
      <c r="H510" s="101">
        <v>2393.8200000000002</v>
      </c>
      <c r="I510" s="101">
        <v>1150.8262499999998</v>
      </c>
      <c r="J510" s="101">
        <v>25</v>
      </c>
      <c r="K510" s="101">
        <v>120</v>
      </c>
      <c r="L510" s="101">
        <v>4010</v>
      </c>
      <c r="M510" s="101">
        <v>14460.34</v>
      </c>
      <c r="N510" s="101">
        <v>8958.9040000000005</v>
      </c>
      <c r="O510" s="101">
        <v>24</v>
      </c>
      <c r="P510" s="101">
        <v>80</v>
      </c>
      <c r="Q510" s="101">
        <v>2840</v>
      </c>
      <c r="R510" s="101">
        <v>17387.95</v>
      </c>
      <c r="S510" s="101">
        <v>8733.0959999999995</v>
      </c>
      <c r="T510" s="169">
        <v>1.02</v>
      </c>
      <c r="U510" s="101">
        <f t="shared" si="40"/>
        <v>24.48</v>
      </c>
      <c r="V510" s="101">
        <f t="shared" si="41"/>
        <v>81.599999999999994</v>
      </c>
      <c r="W510" s="101">
        <f t="shared" si="42"/>
        <v>2896.8</v>
      </c>
      <c r="X510" s="101">
        <f t="shared" si="39"/>
        <v>17735.709000000003</v>
      </c>
      <c r="Y510" s="101">
        <f t="shared" si="43"/>
        <v>8907.75792</v>
      </c>
      <c r="AA510" s="101">
        <v>38</v>
      </c>
      <c r="AB510" s="101">
        <v>144</v>
      </c>
      <c r="AC510" s="101">
        <v>4511</v>
      </c>
      <c r="AD510" s="101">
        <v>14515</v>
      </c>
      <c r="AE510" s="101">
        <v>5674</v>
      </c>
    </row>
    <row r="511" spans="1:31" ht="11.25" hidden="1" customHeight="1" x14ac:dyDescent="0.3">
      <c r="A511" s="126" t="s">
        <v>176</v>
      </c>
      <c r="B511" s="126">
        <v>22</v>
      </c>
      <c r="C511" s="126">
        <v>12</v>
      </c>
      <c r="D511" s="126" t="str">
        <f t="shared" si="44"/>
        <v>2212</v>
      </c>
      <c r="E511" s="101">
        <v>52</v>
      </c>
      <c r="F511" s="101">
        <v>88</v>
      </c>
      <c r="G511" s="101">
        <v>103</v>
      </c>
      <c r="H511" s="101">
        <v>1710.48</v>
      </c>
      <c r="I511" s="101">
        <v>444.62</v>
      </c>
      <c r="J511" s="101">
        <v>21</v>
      </c>
      <c r="K511" s="101">
        <v>32</v>
      </c>
      <c r="L511" s="101">
        <v>67</v>
      </c>
      <c r="M511" s="101">
        <v>722</v>
      </c>
      <c r="N511" s="101">
        <v>137</v>
      </c>
      <c r="O511" s="101">
        <v>13</v>
      </c>
      <c r="P511" s="101">
        <v>13</v>
      </c>
      <c r="Q511" s="101">
        <v>15</v>
      </c>
      <c r="R511" s="101">
        <v>191.82</v>
      </c>
      <c r="S511" s="101">
        <v>93.944000000000003</v>
      </c>
      <c r="T511" s="169">
        <v>1.02</v>
      </c>
      <c r="U511" s="101">
        <f t="shared" si="40"/>
        <v>13.26</v>
      </c>
      <c r="V511" s="101">
        <f t="shared" si="41"/>
        <v>13.26</v>
      </c>
      <c r="W511" s="101">
        <f t="shared" si="42"/>
        <v>15.3</v>
      </c>
      <c r="X511" s="101">
        <f t="shared" si="39"/>
        <v>195.65639999999999</v>
      </c>
      <c r="Y511" s="101">
        <f t="shared" si="43"/>
        <v>95.822879999999998</v>
      </c>
      <c r="AA511" s="101">
        <v>10</v>
      </c>
      <c r="AB511" s="101">
        <v>17</v>
      </c>
      <c r="AC511" s="101">
        <v>22</v>
      </c>
      <c r="AD511" s="101">
        <v>456.95</v>
      </c>
      <c r="AE511" s="101">
        <v>71.805000000000007</v>
      </c>
    </row>
    <row r="512" spans="1:31" ht="11.25" hidden="1" customHeight="1" x14ac:dyDescent="0.3">
      <c r="A512" s="126" t="s">
        <v>176</v>
      </c>
      <c r="B512" s="126">
        <v>22</v>
      </c>
      <c r="C512" s="126">
        <v>17</v>
      </c>
      <c r="D512" s="126" t="str">
        <f t="shared" si="44"/>
        <v>2217</v>
      </c>
      <c r="E512" s="101">
        <v>3027</v>
      </c>
      <c r="F512" s="101">
        <v>3669</v>
      </c>
      <c r="G512" s="101">
        <v>4519</v>
      </c>
      <c r="H512" s="101">
        <v>193610.64</v>
      </c>
      <c r="I512" s="101">
        <v>33100.472999999998</v>
      </c>
      <c r="J512" s="101">
        <v>734</v>
      </c>
      <c r="K512" s="101">
        <v>1728</v>
      </c>
      <c r="L512" s="101">
        <v>2358</v>
      </c>
      <c r="M512" s="101">
        <v>53317</v>
      </c>
      <c r="N512" s="101">
        <v>8169</v>
      </c>
      <c r="O512" s="101">
        <v>693</v>
      </c>
      <c r="P512" s="101">
        <v>1174</v>
      </c>
      <c r="Q512" s="101">
        <v>1720</v>
      </c>
      <c r="R512" s="101">
        <v>47169.71</v>
      </c>
      <c r="S512" s="101">
        <v>8808.0820000000003</v>
      </c>
      <c r="T512" s="169">
        <v>1.02</v>
      </c>
      <c r="U512" s="101">
        <v>1024</v>
      </c>
      <c r="V512" s="101">
        <v>2013</v>
      </c>
      <c r="W512" s="101">
        <v>3048</v>
      </c>
      <c r="X512" s="144">
        <f t="shared" si="39"/>
        <v>48113.104200000002</v>
      </c>
      <c r="Y512" s="101">
        <v>15000</v>
      </c>
      <c r="AA512" s="101">
        <v>1907</v>
      </c>
      <c r="AB512" s="101">
        <v>2961</v>
      </c>
      <c r="AC512" s="101">
        <v>3764</v>
      </c>
      <c r="AD512" s="101">
        <v>129164.59</v>
      </c>
      <c r="AE512" s="101">
        <v>24452.865000000002</v>
      </c>
    </row>
    <row r="513" spans="1:31" ht="11.25" hidden="1" customHeight="1" x14ac:dyDescent="0.3">
      <c r="A513" s="126" t="s">
        <v>176</v>
      </c>
      <c r="B513" s="126">
        <v>22</v>
      </c>
      <c r="C513" s="126">
        <v>18</v>
      </c>
      <c r="D513" s="126" t="str">
        <f t="shared" si="44"/>
        <v>2218</v>
      </c>
      <c r="E513" s="101">
        <v>299</v>
      </c>
      <c r="F513" s="101">
        <v>388</v>
      </c>
      <c r="G513" s="101">
        <v>526</v>
      </c>
      <c r="H513" s="101">
        <v>19647.789999999997</v>
      </c>
      <c r="I513" s="101">
        <v>3313.748</v>
      </c>
      <c r="J513" s="101">
        <v>1229</v>
      </c>
      <c r="K513" s="101">
        <v>1367</v>
      </c>
      <c r="L513" s="101">
        <v>1546</v>
      </c>
      <c r="M513" s="101">
        <v>69484</v>
      </c>
      <c r="N513" s="101">
        <v>13032</v>
      </c>
      <c r="O513" s="101">
        <v>1497</v>
      </c>
      <c r="P513" s="101">
        <v>1609</v>
      </c>
      <c r="Q513" s="101">
        <v>1760</v>
      </c>
      <c r="R513" s="101">
        <v>64792.36</v>
      </c>
      <c r="S513" s="101">
        <v>13371.687</v>
      </c>
      <c r="T513" s="169">
        <v>0.6</v>
      </c>
      <c r="U513" s="101">
        <f t="shared" si="40"/>
        <v>898.19999999999993</v>
      </c>
      <c r="V513" s="101">
        <f t="shared" si="41"/>
        <v>965.4</v>
      </c>
      <c r="W513" s="101">
        <f t="shared" si="42"/>
        <v>1056</v>
      </c>
      <c r="X513" s="101">
        <f t="shared" si="39"/>
        <v>38875.415999999997</v>
      </c>
      <c r="Y513" s="101">
        <f t="shared" si="43"/>
        <v>8023.0121999999992</v>
      </c>
      <c r="AA513" s="101">
        <v>1594</v>
      </c>
      <c r="AB513" s="101">
        <v>1750</v>
      </c>
      <c r="AC513" s="101">
        <v>2048</v>
      </c>
      <c r="AD513" s="101">
        <v>91724.23</v>
      </c>
      <c r="AE513" s="101">
        <v>23100.21</v>
      </c>
    </row>
    <row r="514" spans="1:31" ht="11.25" hidden="1" customHeight="1" x14ac:dyDescent="0.3">
      <c r="A514" s="126" t="s">
        <v>176</v>
      </c>
      <c r="B514" s="126">
        <v>22</v>
      </c>
      <c r="C514" s="126">
        <v>28</v>
      </c>
      <c r="D514" s="126" t="str">
        <f t="shared" si="44"/>
        <v>2228</v>
      </c>
      <c r="E514" s="101">
        <v>348</v>
      </c>
      <c r="F514" s="101">
        <v>2289</v>
      </c>
      <c r="G514" s="101">
        <v>19695</v>
      </c>
      <c r="H514" s="101">
        <v>638467.71</v>
      </c>
      <c r="I514" s="101">
        <v>162354.78599999999</v>
      </c>
      <c r="J514" s="101">
        <v>265</v>
      </c>
      <c r="K514" s="101">
        <v>3978</v>
      </c>
      <c r="L514" s="101">
        <v>27151</v>
      </c>
      <c r="M514" s="101">
        <v>394005</v>
      </c>
      <c r="N514" s="101">
        <v>264452</v>
      </c>
      <c r="O514" s="101">
        <v>302</v>
      </c>
      <c r="P514" s="101">
        <v>3929</v>
      </c>
      <c r="Q514" s="101">
        <v>44948</v>
      </c>
      <c r="R514" s="101">
        <v>1477411.73</v>
      </c>
      <c r="S514" s="101">
        <v>354738.89899999998</v>
      </c>
      <c r="T514" s="169">
        <v>1.02</v>
      </c>
      <c r="U514" s="101">
        <f t="shared" si="40"/>
        <v>308.04000000000002</v>
      </c>
      <c r="V514" s="101">
        <f t="shared" si="41"/>
        <v>4007.58</v>
      </c>
      <c r="W514" s="101">
        <f t="shared" si="42"/>
        <v>45846.96</v>
      </c>
      <c r="X514" s="101">
        <f t="shared" si="39"/>
        <v>1506959.9646000001</v>
      </c>
      <c r="Y514" s="101">
        <f t="shared" si="43"/>
        <v>361833.67697999999</v>
      </c>
      <c r="AA514" s="101">
        <v>256</v>
      </c>
      <c r="AB514" s="101">
        <v>5828</v>
      </c>
      <c r="AC514" s="101">
        <v>33176</v>
      </c>
      <c r="AD514" s="101">
        <v>632343.21</v>
      </c>
      <c r="AE514" s="101">
        <v>157030.03200000001</v>
      </c>
    </row>
    <row r="515" spans="1:31" ht="11.25" hidden="1" customHeight="1" x14ac:dyDescent="0.3">
      <c r="A515" s="126" t="s">
        <v>176</v>
      </c>
      <c r="B515" s="126">
        <v>22</v>
      </c>
      <c r="C515" s="126">
        <v>46</v>
      </c>
      <c r="D515" s="126" t="str">
        <f t="shared" si="44"/>
        <v>2246</v>
      </c>
      <c r="E515" s="101">
        <v>266</v>
      </c>
      <c r="F515" s="101">
        <v>499</v>
      </c>
      <c r="G515" s="101">
        <v>16475</v>
      </c>
      <c r="H515" s="101">
        <v>279275.66000000003</v>
      </c>
      <c r="I515" s="101">
        <v>193743.057</v>
      </c>
      <c r="J515" s="101">
        <v>249</v>
      </c>
      <c r="K515" s="101">
        <v>600</v>
      </c>
      <c r="L515" s="101">
        <v>19535</v>
      </c>
      <c r="M515" s="101">
        <v>327447</v>
      </c>
      <c r="N515" s="101">
        <v>92539</v>
      </c>
      <c r="O515" s="101">
        <v>89</v>
      </c>
      <c r="P515" s="101">
        <v>198</v>
      </c>
      <c r="Q515" s="101">
        <v>5632</v>
      </c>
      <c r="R515" s="101">
        <v>104771.05</v>
      </c>
      <c r="S515" s="101">
        <v>29993.973999999998</v>
      </c>
      <c r="T515" s="169">
        <v>1.02</v>
      </c>
      <c r="U515" s="101">
        <f t="shared" si="40"/>
        <v>90.78</v>
      </c>
      <c r="V515" s="101">
        <f t="shared" si="41"/>
        <v>201.96</v>
      </c>
      <c r="W515" s="101">
        <f t="shared" si="42"/>
        <v>5744.64</v>
      </c>
      <c r="X515" s="101">
        <f t="shared" si="39"/>
        <v>106866.47100000001</v>
      </c>
      <c r="Y515" s="101">
        <f t="shared" si="43"/>
        <v>30593.853479999998</v>
      </c>
      <c r="AA515" s="101">
        <v>191</v>
      </c>
      <c r="AB515" s="101">
        <v>502</v>
      </c>
      <c r="AC515" s="101">
        <v>6524</v>
      </c>
      <c r="AD515" s="101">
        <v>134032.01</v>
      </c>
      <c r="AE515" s="101">
        <v>43118.832999999999</v>
      </c>
    </row>
    <row r="516" spans="1:31" ht="11.25" hidden="1" customHeight="1" x14ac:dyDescent="0.3">
      <c r="A516" s="126" t="s">
        <v>176</v>
      </c>
      <c r="B516" s="126">
        <v>22</v>
      </c>
      <c r="C516" s="126">
        <v>47</v>
      </c>
      <c r="D516" s="126" t="str">
        <f t="shared" si="44"/>
        <v>2247</v>
      </c>
      <c r="E516" s="101">
        <v>2</v>
      </c>
      <c r="F516" s="101">
        <v>2</v>
      </c>
      <c r="G516" s="101">
        <v>996</v>
      </c>
      <c r="H516" s="101">
        <v>3884.4</v>
      </c>
      <c r="I516" s="101">
        <v>319.47699999999998</v>
      </c>
      <c r="J516" s="101">
        <v>0</v>
      </c>
      <c r="K516" s="101">
        <v>0</v>
      </c>
      <c r="L516" s="101">
        <v>0</v>
      </c>
      <c r="M516" s="101">
        <v>0</v>
      </c>
      <c r="N516" s="101">
        <v>0</v>
      </c>
      <c r="O516" s="101">
        <v>1</v>
      </c>
      <c r="P516" s="101">
        <v>3</v>
      </c>
      <c r="Q516" s="101">
        <v>201</v>
      </c>
      <c r="R516" s="101">
        <v>2010</v>
      </c>
      <c r="S516" s="101">
        <v>828.96299999999997</v>
      </c>
      <c r="T516" s="169">
        <v>1.02</v>
      </c>
      <c r="U516" s="101">
        <f t="shared" si="40"/>
        <v>1.02</v>
      </c>
      <c r="V516" s="101">
        <f t="shared" si="41"/>
        <v>3.06</v>
      </c>
      <c r="W516" s="101">
        <f t="shared" si="42"/>
        <v>205.02</v>
      </c>
      <c r="X516" s="101">
        <f t="shared" si="39"/>
        <v>2050.1999999999998</v>
      </c>
      <c r="Y516" s="101">
        <f t="shared" si="43"/>
        <v>845.54225999999994</v>
      </c>
      <c r="AA516" s="101">
        <v>1</v>
      </c>
      <c r="AB516" s="101">
        <v>1</v>
      </c>
      <c r="AC516" s="101">
        <v>150</v>
      </c>
      <c r="AD516" s="101">
        <v>1084.5</v>
      </c>
      <c r="AE516" s="101">
        <v>485.92500000000001</v>
      </c>
    </row>
    <row r="517" spans="1:31" ht="11.25" hidden="1" customHeight="1" x14ac:dyDescent="0.3">
      <c r="A517" s="126" t="s">
        <v>176</v>
      </c>
      <c r="B517" s="126">
        <v>22</v>
      </c>
      <c r="C517" s="126">
        <v>66</v>
      </c>
      <c r="D517" s="126" t="str">
        <f t="shared" si="44"/>
        <v>2266</v>
      </c>
      <c r="E517" s="101">
        <v>476</v>
      </c>
      <c r="F517" s="101">
        <v>1320</v>
      </c>
      <c r="G517" s="101">
        <v>18683</v>
      </c>
      <c r="H517" s="101">
        <v>138585.31</v>
      </c>
      <c r="I517" s="101">
        <v>77354.53</v>
      </c>
      <c r="J517" s="101">
        <v>343</v>
      </c>
      <c r="K517" s="101">
        <v>1247</v>
      </c>
      <c r="L517" s="101">
        <v>19289</v>
      </c>
      <c r="M517" s="101">
        <v>122003</v>
      </c>
      <c r="N517" s="101">
        <v>57314</v>
      </c>
      <c r="O517" s="101">
        <v>158</v>
      </c>
      <c r="P517" s="101">
        <v>553</v>
      </c>
      <c r="Q517" s="101">
        <v>7040</v>
      </c>
      <c r="R517" s="101">
        <v>45078.34</v>
      </c>
      <c r="S517" s="101">
        <v>21718.034</v>
      </c>
      <c r="T517" s="169">
        <v>1.02</v>
      </c>
      <c r="U517" s="101">
        <f t="shared" si="40"/>
        <v>161.16</v>
      </c>
      <c r="V517" s="101">
        <f t="shared" si="41"/>
        <v>564.06000000000006</v>
      </c>
      <c r="W517" s="101">
        <f t="shared" si="42"/>
        <v>7180.8</v>
      </c>
      <c r="X517" s="101">
        <f t="shared" si="39"/>
        <v>45979.906799999997</v>
      </c>
      <c r="Y517" s="101">
        <f t="shared" si="43"/>
        <v>22152.394680000001</v>
      </c>
      <c r="AA517" s="101">
        <v>50</v>
      </c>
      <c r="AB517" s="101">
        <v>1077</v>
      </c>
      <c r="AC517" s="101">
        <v>27060</v>
      </c>
      <c r="AD517" s="101">
        <v>155355.5</v>
      </c>
      <c r="AE517" s="101">
        <v>81420.103000000003</v>
      </c>
    </row>
    <row r="518" spans="1:31" ht="11.25" hidden="1" customHeight="1" x14ac:dyDescent="0.3">
      <c r="A518" s="126" t="s">
        <v>176</v>
      </c>
      <c r="B518" s="126">
        <v>22</v>
      </c>
      <c r="C518" s="126">
        <v>30</v>
      </c>
      <c r="D518" s="126" t="str">
        <f t="shared" si="44"/>
        <v>2230</v>
      </c>
      <c r="E518" s="101">
        <v>299</v>
      </c>
      <c r="F518" s="101">
        <v>2498.5</v>
      </c>
      <c r="G518" s="101">
        <v>9970</v>
      </c>
      <c r="H518" s="101">
        <v>239190.27499999999</v>
      </c>
      <c r="I518" s="101">
        <v>79131.076499999996</v>
      </c>
      <c r="J518" s="101">
        <v>241</v>
      </c>
      <c r="K518" s="101">
        <v>4091</v>
      </c>
      <c r="L518" s="101">
        <v>18816</v>
      </c>
      <c r="M518" s="101">
        <v>375655</v>
      </c>
      <c r="N518" s="101">
        <v>119026</v>
      </c>
      <c r="O518" s="138"/>
      <c r="P518" s="138"/>
      <c r="Q518" s="138"/>
      <c r="R518" s="138"/>
      <c r="S518" s="138"/>
      <c r="T518" s="169">
        <v>1.02</v>
      </c>
      <c r="U518" s="101">
        <f t="shared" si="40"/>
        <v>0</v>
      </c>
      <c r="V518" s="101">
        <f t="shared" si="41"/>
        <v>0</v>
      </c>
      <c r="W518" s="101">
        <f t="shared" si="42"/>
        <v>0</v>
      </c>
      <c r="X518" s="101">
        <f t="shared" ref="X518:X581" si="45">R518*T518</f>
        <v>0</v>
      </c>
      <c r="Y518" s="101">
        <f t="shared" si="43"/>
        <v>0</v>
      </c>
      <c r="AA518" s="101">
        <v>22</v>
      </c>
      <c r="AB518" s="101">
        <v>22</v>
      </c>
      <c r="AC518" s="101">
        <v>423</v>
      </c>
      <c r="AD518" s="101">
        <v>32348.22</v>
      </c>
      <c r="AE518" s="101">
        <v>11471.096</v>
      </c>
    </row>
    <row r="519" spans="1:31" ht="11.25" hidden="1" customHeight="1" x14ac:dyDescent="0.3">
      <c r="A519" s="126" t="s">
        <v>176</v>
      </c>
      <c r="B519" s="126">
        <v>22</v>
      </c>
      <c r="C519" s="126">
        <v>21</v>
      </c>
      <c r="D519" s="126" t="str">
        <f t="shared" si="44"/>
        <v>2221</v>
      </c>
      <c r="E519" s="101">
        <v>1079</v>
      </c>
      <c r="F519" s="101">
        <v>4333</v>
      </c>
      <c r="G519" s="101">
        <v>21245.5</v>
      </c>
      <c r="H519" s="101">
        <v>391546.04500000004</v>
      </c>
      <c r="I519" s="101">
        <v>115710.5595</v>
      </c>
      <c r="J519" s="101">
        <v>653</v>
      </c>
      <c r="K519" s="101">
        <v>4537</v>
      </c>
      <c r="L519" s="101">
        <v>25274</v>
      </c>
      <c r="M519" s="101">
        <v>417822</v>
      </c>
      <c r="N519" s="101">
        <v>131712</v>
      </c>
      <c r="O519" s="138">
        <v>790</v>
      </c>
      <c r="P519" s="138">
        <v>5790</v>
      </c>
      <c r="Q519" s="138">
        <v>30543</v>
      </c>
      <c r="R519" s="138">
        <v>355844.75999999995</v>
      </c>
      <c r="S519" s="138">
        <v>106112.06600000001</v>
      </c>
      <c r="T519" s="169">
        <v>1.02</v>
      </c>
      <c r="U519" s="101">
        <f t="shared" ref="U519:U582" si="46">O519*T519</f>
        <v>805.80000000000007</v>
      </c>
      <c r="V519" s="101">
        <f t="shared" ref="V519:V582" si="47">P519*T519</f>
        <v>5905.8</v>
      </c>
      <c r="W519" s="101">
        <f t="shared" ref="W519:W582" si="48">Q519*T519</f>
        <v>31153.86</v>
      </c>
      <c r="X519" s="101">
        <f t="shared" si="45"/>
        <v>362961.65519999998</v>
      </c>
      <c r="Y519" s="101">
        <f t="shared" ref="Y519:Y582" si="49">S519*T519</f>
        <v>108234.30732000001</v>
      </c>
      <c r="AA519" s="101">
        <v>658</v>
      </c>
      <c r="AB519" s="101">
        <v>5541</v>
      </c>
      <c r="AC519" s="101">
        <v>23889</v>
      </c>
      <c r="AD519" s="101">
        <v>290060.68</v>
      </c>
      <c r="AE519" s="101">
        <v>76401.861999999994</v>
      </c>
    </row>
    <row r="520" spans="1:31" ht="11.25" hidden="1" customHeight="1" x14ac:dyDescent="0.3">
      <c r="A520" s="126" t="s">
        <v>176</v>
      </c>
      <c r="B520" s="126">
        <v>22</v>
      </c>
      <c r="C520" s="126">
        <v>71</v>
      </c>
      <c r="D520" s="126" t="str">
        <f t="shared" si="44"/>
        <v>2271</v>
      </c>
      <c r="E520" s="101">
        <v>542.5</v>
      </c>
      <c r="F520" s="101">
        <v>4696.5</v>
      </c>
      <c r="G520" s="101">
        <v>12821.5</v>
      </c>
      <c r="H520" s="101">
        <v>101696.21</v>
      </c>
      <c r="I520" s="101">
        <v>43907.526500000007</v>
      </c>
      <c r="J520" s="101">
        <v>428</v>
      </c>
      <c r="K520" s="101">
        <v>4861</v>
      </c>
      <c r="L520" s="101">
        <v>16586</v>
      </c>
      <c r="M520" s="101">
        <v>126274</v>
      </c>
      <c r="N520" s="101">
        <v>67264</v>
      </c>
      <c r="O520" s="101">
        <v>441</v>
      </c>
      <c r="P520" s="101">
        <v>4872</v>
      </c>
      <c r="Q520" s="101">
        <v>16963</v>
      </c>
      <c r="R520" s="101">
        <v>125380.93</v>
      </c>
      <c r="S520" s="101">
        <v>46673.56</v>
      </c>
      <c r="T520" s="169">
        <v>0.98</v>
      </c>
      <c r="U520" s="101">
        <f t="shared" si="46"/>
        <v>432.18</v>
      </c>
      <c r="V520" s="101">
        <f t="shared" si="47"/>
        <v>4774.5599999999995</v>
      </c>
      <c r="W520" s="101">
        <f t="shared" si="48"/>
        <v>16623.739999999998</v>
      </c>
      <c r="X520" s="101">
        <f t="shared" si="45"/>
        <v>122873.31139999999</v>
      </c>
      <c r="Y520" s="101">
        <f t="shared" si="49"/>
        <v>45740.088799999998</v>
      </c>
      <c r="AA520" s="101">
        <v>205</v>
      </c>
      <c r="AB520" s="101">
        <v>4654</v>
      </c>
      <c r="AC520" s="101">
        <v>15362</v>
      </c>
      <c r="AD520" s="101">
        <v>158540.12</v>
      </c>
      <c r="AE520" s="101">
        <v>70120.192999999999</v>
      </c>
    </row>
    <row r="521" spans="1:31" ht="11.25" hidden="1" customHeight="1" x14ac:dyDescent="0.3">
      <c r="A521" s="126" t="s">
        <v>176</v>
      </c>
      <c r="B521" s="126">
        <v>22</v>
      </c>
      <c r="C521" s="126">
        <v>25</v>
      </c>
      <c r="D521" s="126" t="str">
        <f t="shared" si="44"/>
        <v>2225</v>
      </c>
      <c r="E521" s="101">
        <v>1014</v>
      </c>
      <c r="F521" s="101">
        <v>5244</v>
      </c>
      <c r="G521" s="101">
        <v>24898</v>
      </c>
      <c r="H521" s="101">
        <v>329790.25</v>
      </c>
      <c r="I521" s="101">
        <v>172166.41799999998</v>
      </c>
      <c r="J521" s="101">
        <v>727</v>
      </c>
      <c r="K521" s="101">
        <v>6089</v>
      </c>
      <c r="L521" s="101">
        <v>32571</v>
      </c>
      <c r="M521" s="101">
        <v>359542</v>
      </c>
      <c r="N521" s="101">
        <v>177938</v>
      </c>
      <c r="O521" s="101">
        <v>537</v>
      </c>
      <c r="P521" s="101">
        <v>4346</v>
      </c>
      <c r="Q521" s="101">
        <v>37629</v>
      </c>
      <c r="R521" s="101">
        <v>305558.09000000003</v>
      </c>
      <c r="S521" s="101">
        <v>170504.32399999999</v>
      </c>
      <c r="T521" s="169">
        <v>1.02</v>
      </c>
      <c r="U521" s="101">
        <f t="shared" si="46"/>
        <v>547.74</v>
      </c>
      <c r="V521" s="101">
        <f t="shared" si="47"/>
        <v>4432.92</v>
      </c>
      <c r="W521" s="101">
        <f t="shared" si="48"/>
        <v>38381.58</v>
      </c>
      <c r="X521" s="101">
        <f t="shared" si="45"/>
        <v>311669.25180000003</v>
      </c>
      <c r="Y521" s="101">
        <f t="shared" si="49"/>
        <v>173914.41047999999</v>
      </c>
      <c r="AA521" s="101">
        <v>447</v>
      </c>
      <c r="AB521" s="101">
        <v>3853</v>
      </c>
      <c r="AC521" s="101">
        <v>15649</v>
      </c>
      <c r="AD521" s="101">
        <v>232175.43</v>
      </c>
      <c r="AE521" s="101">
        <v>107054.514</v>
      </c>
    </row>
    <row r="522" spans="1:31" ht="11.25" hidden="1" customHeight="1" x14ac:dyDescent="0.3">
      <c r="A522" s="126" t="s">
        <v>176</v>
      </c>
      <c r="B522" s="126">
        <v>22</v>
      </c>
      <c r="C522" s="126">
        <v>14</v>
      </c>
      <c r="D522" s="126" t="str">
        <f t="shared" si="44"/>
        <v>2214</v>
      </c>
      <c r="J522" s="101">
        <v>13</v>
      </c>
      <c r="K522" s="101">
        <v>24</v>
      </c>
      <c r="L522" s="101">
        <v>29</v>
      </c>
      <c r="M522" s="101">
        <v>3528</v>
      </c>
      <c r="N522" s="101">
        <v>492</v>
      </c>
      <c r="O522" s="101">
        <v>23</v>
      </c>
      <c r="P522" s="101">
        <v>38</v>
      </c>
      <c r="Q522" s="101">
        <v>61</v>
      </c>
      <c r="R522" s="101">
        <v>4572.2</v>
      </c>
      <c r="S522" s="101">
        <v>808.93200000000002</v>
      </c>
      <c r="T522" s="169">
        <v>1.02</v>
      </c>
      <c r="U522" s="101">
        <f t="shared" si="46"/>
        <v>23.46</v>
      </c>
      <c r="V522" s="101">
        <f t="shared" si="47"/>
        <v>38.76</v>
      </c>
      <c r="W522" s="101">
        <f t="shared" si="48"/>
        <v>62.22</v>
      </c>
      <c r="X522" s="101">
        <f t="shared" si="45"/>
        <v>4663.6440000000002</v>
      </c>
      <c r="Y522" s="101">
        <f t="shared" si="49"/>
        <v>825.11063999999999</v>
      </c>
      <c r="AA522" s="101">
        <v>101</v>
      </c>
      <c r="AB522" s="101">
        <v>153</v>
      </c>
      <c r="AC522" s="101">
        <v>215</v>
      </c>
      <c r="AD522" s="101">
        <v>10242.19</v>
      </c>
      <c r="AE522" s="101">
        <v>1494.539</v>
      </c>
    </row>
    <row r="523" spans="1:31" ht="11.25" hidden="1" customHeight="1" x14ac:dyDescent="0.3">
      <c r="A523" s="126" t="s">
        <v>176</v>
      </c>
      <c r="B523" s="126">
        <v>22</v>
      </c>
      <c r="C523" s="126">
        <v>22</v>
      </c>
      <c r="D523" s="126" t="str">
        <f t="shared" si="44"/>
        <v>2222</v>
      </c>
      <c r="J523" s="101">
        <v>13</v>
      </c>
      <c r="K523" s="101">
        <v>22</v>
      </c>
      <c r="L523" s="101">
        <v>109</v>
      </c>
      <c r="M523" s="101">
        <v>692</v>
      </c>
      <c r="N523" s="101">
        <v>1095</v>
      </c>
      <c r="O523" s="101">
        <v>11</v>
      </c>
      <c r="P523" s="101">
        <v>11</v>
      </c>
      <c r="Q523" s="101">
        <v>92</v>
      </c>
      <c r="R523" s="101">
        <v>1057.2</v>
      </c>
      <c r="S523" s="101">
        <v>651.52499999999998</v>
      </c>
      <c r="T523" s="169">
        <v>1.02</v>
      </c>
      <c r="U523" s="101">
        <f t="shared" si="46"/>
        <v>11.22</v>
      </c>
      <c r="V523" s="101">
        <f t="shared" si="47"/>
        <v>11.22</v>
      </c>
      <c r="W523" s="101">
        <f t="shared" si="48"/>
        <v>93.84</v>
      </c>
      <c r="X523" s="101">
        <f t="shared" si="45"/>
        <v>1078.3440000000001</v>
      </c>
      <c r="Y523" s="101">
        <f t="shared" si="49"/>
        <v>664.55549999999994</v>
      </c>
      <c r="AA523" s="101">
        <v>5</v>
      </c>
      <c r="AB523" s="101">
        <v>5</v>
      </c>
      <c r="AC523" s="101">
        <v>39</v>
      </c>
      <c r="AD523" s="101">
        <v>1589.49</v>
      </c>
      <c r="AE523" s="101">
        <v>679.35299999999995</v>
      </c>
    </row>
    <row r="524" spans="1:31" ht="11.25" hidden="1" customHeight="1" x14ac:dyDescent="0.3">
      <c r="A524" s="126" t="s">
        <v>176</v>
      </c>
      <c r="B524" s="126">
        <v>22</v>
      </c>
      <c r="C524" s="126">
        <v>26</v>
      </c>
      <c r="D524" s="126" t="str">
        <f t="shared" si="44"/>
        <v>2226</v>
      </c>
      <c r="J524" s="101">
        <v>7</v>
      </c>
      <c r="K524" s="101">
        <v>17</v>
      </c>
      <c r="L524" s="101">
        <v>75</v>
      </c>
      <c r="M524" s="101">
        <v>3084</v>
      </c>
      <c r="N524" s="101">
        <v>1353</v>
      </c>
      <c r="O524" s="101">
        <v>1</v>
      </c>
      <c r="P524" s="101">
        <v>15</v>
      </c>
      <c r="Q524" s="101">
        <v>38</v>
      </c>
      <c r="R524" s="101">
        <v>490.53</v>
      </c>
      <c r="S524" s="101">
        <v>84.144000000000005</v>
      </c>
      <c r="T524" s="169">
        <v>1.02</v>
      </c>
      <c r="U524" s="101">
        <f t="shared" si="46"/>
        <v>1.02</v>
      </c>
      <c r="V524" s="101">
        <f t="shared" si="47"/>
        <v>15.3</v>
      </c>
      <c r="W524" s="101">
        <f t="shared" si="48"/>
        <v>38.76</v>
      </c>
      <c r="X524" s="101">
        <f t="shared" si="45"/>
        <v>500.34059999999999</v>
      </c>
      <c r="Y524" s="101">
        <f t="shared" si="49"/>
        <v>85.826880000000003</v>
      </c>
      <c r="AA524" s="101">
        <v>1</v>
      </c>
      <c r="AB524" s="101">
        <v>3</v>
      </c>
      <c r="AC524" s="101">
        <v>9</v>
      </c>
      <c r="AD524" s="101">
        <v>49.85</v>
      </c>
      <c r="AE524" s="101">
        <v>4.2830000000000004</v>
      </c>
    </row>
    <row r="525" spans="1:31" ht="11.25" hidden="1" customHeight="1" x14ac:dyDescent="0.3">
      <c r="A525" s="126" t="s">
        <v>176</v>
      </c>
      <c r="B525" s="126">
        <v>22</v>
      </c>
      <c r="C525" s="126">
        <v>32</v>
      </c>
      <c r="D525" s="126" t="str">
        <f t="shared" si="44"/>
        <v>2232</v>
      </c>
      <c r="J525" s="101">
        <v>29</v>
      </c>
      <c r="K525" s="101">
        <v>46</v>
      </c>
      <c r="L525" s="101">
        <v>658</v>
      </c>
      <c r="M525" s="101">
        <v>23513</v>
      </c>
      <c r="N525" s="101">
        <v>10020</v>
      </c>
      <c r="O525" s="101">
        <v>23</v>
      </c>
      <c r="P525" s="101">
        <v>161</v>
      </c>
      <c r="Q525" s="101">
        <v>3206</v>
      </c>
      <c r="R525" s="101">
        <v>34540.78</v>
      </c>
      <c r="S525" s="101">
        <v>7335.5439999999999</v>
      </c>
      <c r="T525" s="169">
        <v>1.02</v>
      </c>
      <c r="U525" s="101">
        <f t="shared" si="46"/>
        <v>23.46</v>
      </c>
      <c r="V525" s="101">
        <f t="shared" si="47"/>
        <v>164.22</v>
      </c>
      <c r="W525" s="101">
        <f t="shared" si="48"/>
        <v>3270.12</v>
      </c>
      <c r="X525" s="101">
        <f t="shared" si="45"/>
        <v>35231.595600000001</v>
      </c>
      <c r="Y525" s="101">
        <f t="shared" si="49"/>
        <v>7482.2548800000004</v>
      </c>
      <c r="AA525" s="101">
        <v>17</v>
      </c>
      <c r="AB525" s="101">
        <v>50</v>
      </c>
      <c r="AC525" s="101">
        <v>1134</v>
      </c>
      <c r="AD525" s="101">
        <v>7521.59</v>
      </c>
      <c r="AE525" s="101">
        <v>23622.631000000001</v>
      </c>
    </row>
    <row r="526" spans="1:31" ht="11.25" hidden="1" customHeight="1" x14ac:dyDescent="0.3">
      <c r="A526" s="126" t="s">
        <v>176</v>
      </c>
      <c r="B526" s="126">
        <v>22</v>
      </c>
      <c r="C526" s="126">
        <v>43</v>
      </c>
      <c r="D526" s="126" t="str">
        <f t="shared" si="44"/>
        <v>2243</v>
      </c>
      <c r="J526" s="101">
        <v>0</v>
      </c>
      <c r="K526" s="101">
        <v>0</v>
      </c>
      <c r="L526" s="101">
        <v>0</v>
      </c>
      <c r="M526" s="101">
        <v>0</v>
      </c>
      <c r="N526" s="101">
        <v>0</v>
      </c>
      <c r="O526" s="101">
        <v>0</v>
      </c>
      <c r="P526" s="101">
        <v>0</v>
      </c>
      <c r="Q526" s="101">
        <v>0</v>
      </c>
      <c r="R526" s="101">
        <v>0</v>
      </c>
      <c r="S526" s="101">
        <v>0</v>
      </c>
      <c r="T526" s="169">
        <v>1.02</v>
      </c>
      <c r="U526" s="101">
        <f t="shared" si="46"/>
        <v>0</v>
      </c>
      <c r="V526" s="101">
        <f t="shared" si="47"/>
        <v>0</v>
      </c>
      <c r="W526" s="101">
        <f t="shared" si="48"/>
        <v>0</v>
      </c>
      <c r="X526" s="101">
        <f t="shared" si="45"/>
        <v>0</v>
      </c>
      <c r="Y526" s="101">
        <f t="shared" si="49"/>
        <v>0</v>
      </c>
      <c r="AA526" s="101">
        <v>0</v>
      </c>
      <c r="AB526" s="101">
        <v>0</v>
      </c>
      <c r="AC526" s="101">
        <v>0</v>
      </c>
      <c r="AD526" s="101">
        <v>0</v>
      </c>
      <c r="AE526" s="101">
        <v>0</v>
      </c>
    </row>
    <row r="527" spans="1:31" ht="11.25" hidden="1" customHeight="1" x14ac:dyDescent="0.3">
      <c r="A527" s="126" t="s">
        <v>176</v>
      </c>
      <c r="B527" s="126">
        <v>22</v>
      </c>
      <c r="C527" s="126">
        <v>44</v>
      </c>
      <c r="D527" s="126" t="str">
        <f t="shared" si="44"/>
        <v>2244</v>
      </c>
      <c r="J527" s="101">
        <v>0</v>
      </c>
      <c r="K527" s="101">
        <v>0</v>
      </c>
      <c r="L527" s="101">
        <v>0</v>
      </c>
      <c r="M527" s="101">
        <v>0</v>
      </c>
      <c r="N527" s="101">
        <v>0</v>
      </c>
      <c r="O527" s="101">
        <v>0</v>
      </c>
      <c r="P527" s="101">
        <v>0</v>
      </c>
      <c r="Q527" s="101">
        <v>0</v>
      </c>
      <c r="R527" s="101">
        <v>0</v>
      </c>
      <c r="S527" s="101">
        <v>0</v>
      </c>
      <c r="T527" s="169">
        <v>1.02</v>
      </c>
      <c r="U527" s="101">
        <f t="shared" si="46"/>
        <v>0</v>
      </c>
      <c r="V527" s="101">
        <f t="shared" si="47"/>
        <v>0</v>
      </c>
      <c r="W527" s="101">
        <f t="shared" si="48"/>
        <v>0</v>
      </c>
      <c r="X527" s="101">
        <f t="shared" si="45"/>
        <v>0</v>
      </c>
      <c r="Y527" s="101">
        <f t="shared" si="49"/>
        <v>0</v>
      </c>
      <c r="AA527" s="101">
        <v>0</v>
      </c>
      <c r="AB527" s="101">
        <v>0</v>
      </c>
      <c r="AC527" s="101">
        <v>0</v>
      </c>
      <c r="AD527" s="101">
        <v>0</v>
      </c>
      <c r="AE527" s="101">
        <v>0</v>
      </c>
    </row>
    <row r="528" spans="1:31" ht="11.25" hidden="1" customHeight="1" x14ac:dyDescent="0.3">
      <c r="A528" s="126" t="s">
        <v>176</v>
      </c>
      <c r="B528" s="126">
        <v>22</v>
      </c>
      <c r="C528" s="126">
        <v>45</v>
      </c>
      <c r="D528" s="126" t="str">
        <f t="shared" si="44"/>
        <v>2245</v>
      </c>
      <c r="J528" s="101">
        <v>0</v>
      </c>
      <c r="K528" s="101">
        <v>0</v>
      </c>
      <c r="L528" s="101">
        <v>0</v>
      </c>
      <c r="M528" s="101">
        <v>0</v>
      </c>
      <c r="N528" s="101">
        <v>0</v>
      </c>
      <c r="O528" s="101">
        <v>0</v>
      </c>
      <c r="P528" s="101">
        <v>0</v>
      </c>
      <c r="Q528" s="101">
        <v>0</v>
      </c>
      <c r="R528" s="101">
        <v>0</v>
      </c>
      <c r="S528" s="101">
        <v>0</v>
      </c>
      <c r="T528" s="169">
        <v>1.02</v>
      </c>
      <c r="U528" s="101">
        <f t="shared" si="46"/>
        <v>0</v>
      </c>
      <c r="V528" s="101">
        <f t="shared" si="47"/>
        <v>0</v>
      </c>
      <c r="W528" s="101">
        <f t="shared" si="48"/>
        <v>0</v>
      </c>
      <c r="X528" s="101">
        <f t="shared" si="45"/>
        <v>0</v>
      </c>
      <c r="Y528" s="101">
        <f t="shared" si="49"/>
        <v>0</v>
      </c>
      <c r="AA528" s="101">
        <v>0</v>
      </c>
      <c r="AB528" s="101">
        <v>0</v>
      </c>
      <c r="AC528" s="101">
        <v>0</v>
      </c>
      <c r="AD528" s="101">
        <v>0</v>
      </c>
      <c r="AE528" s="101">
        <v>0</v>
      </c>
    </row>
    <row r="529" spans="1:31" ht="11.25" hidden="1" customHeight="1" x14ac:dyDescent="0.3">
      <c r="A529" s="126" t="s">
        <v>176</v>
      </c>
      <c r="B529" s="126">
        <v>22</v>
      </c>
      <c r="C529" s="126">
        <v>48</v>
      </c>
      <c r="D529" s="126" t="str">
        <f t="shared" si="44"/>
        <v>2248</v>
      </c>
      <c r="J529" s="101">
        <v>0</v>
      </c>
      <c r="K529" s="101">
        <v>0</v>
      </c>
      <c r="L529" s="101">
        <v>0</v>
      </c>
      <c r="M529" s="101">
        <v>0</v>
      </c>
      <c r="N529" s="101">
        <v>0</v>
      </c>
      <c r="O529" s="101">
        <v>0</v>
      </c>
      <c r="P529" s="101">
        <v>0</v>
      </c>
      <c r="Q529" s="101">
        <v>0</v>
      </c>
      <c r="R529" s="101">
        <v>0</v>
      </c>
      <c r="S529" s="101">
        <v>0</v>
      </c>
      <c r="T529" s="169">
        <v>1.02</v>
      </c>
      <c r="U529" s="101">
        <f t="shared" si="46"/>
        <v>0</v>
      </c>
      <c r="V529" s="101">
        <f t="shared" si="47"/>
        <v>0</v>
      </c>
      <c r="W529" s="101">
        <f t="shared" si="48"/>
        <v>0</v>
      </c>
      <c r="X529" s="101">
        <f t="shared" si="45"/>
        <v>0</v>
      </c>
      <c r="Y529" s="101">
        <f t="shared" si="49"/>
        <v>0</v>
      </c>
      <c r="AA529" s="101">
        <v>0</v>
      </c>
      <c r="AB529" s="101">
        <v>0</v>
      </c>
      <c r="AC529" s="101">
        <v>0</v>
      </c>
      <c r="AD529" s="101">
        <v>0</v>
      </c>
      <c r="AE529" s="101">
        <v>0</v>
      </c>
    </row>
    <row r="530" spans="1:31" ht="11.25" hidden="1" customHeight="1" x14ac:dyDescent="0.3">
      <c r="A530" s="126" t="s">
        <v>176</v>
      </c>
      <c r="B530" s="126">
        <v>22</v>
      </c>
      <c r="C530" s="126">
        <v>91</v>
      </c>
      <c r="D530" s="126" t="str">
        <f t="shared" si="44"/>
        <v>2291</v>
      </c>
      <c r="J530" s="101">
        <v>72</v>
      </c>
      <c r="K530" s="101">
        <v>119</v>
      </c>
      <c r="L530" s="101">
        <v>867</v>
      </c>
      <c r="M530" s="101">
        <v>10405</v>
      </c>
      <c r="N530" s="101">
        <v>3166</v>
      </c>
      <c r="O530" s="101">
        <v>27</v>
      </c>
      <c r="P530" s="101">
        <v>137</v>
      </c>
      <c r="Q530" s="101">
        <v>733</v>
      </c>
      <c r="R530" s="101">
        <v>2034.26</v>
      </c>
      <c r="S530" s="101">
        <v>1298.7139999999999</v>
      </c>
      <c r="T530" s="169">
        <v>1.02</v>
      </c>
      <c r="U530" s="101">
        <f t="shared" si="46"/>
        <v>27.54</v>
      </c>
      <c r="V530" s="101">
        <f t="shared" si="47"/>
        <v>139.74</v>
      </c>
      <c r="W530" s="101">
        <f t="shared" si="48"/>
        <v>747.66</v>
      </c>
      <c r="X530" s="101">
        <f t="shared" si="45"/>
        <v>2074.9452000000001</v>
      </c>
      <c r="Y530" s="101">
        <f t="shared" si="49"/>
        <v>1324.6882800000001</v>
      </c>
      <c r="AA530" s="101">
        <v>41</v>
      </c>
      <c r="AB530" s="101">
        <v>262</v>
      </c>
      <c r="AC530" s="101">
        <v>1263</v>
      </c>
      <c r="AD530" s="101">
        <v>11156.39</v>
      </c>
      <c r="AE530" s="101">
        <v>4406.1360000000004</v>
      </c>
    </row>
    <row r="531" spans="1:31" ht="11.25" hidden="1" customHeight="1" x14ac:dyDescent="0.3">
      <c r="A531" s="126" t="s">
        <v>176</v>
      </c>
      <c r="B531" s="126">
        <v>22</v>
      </c>
      <c r="C531" s="126">
        <v>27</v>
      </c>
      <c r="D531" s="126" t="str">
        <f t="shared" si="44"/>
        <v>2227</v>
      </c>
      <c r="E531" s="101">
        <v>124</v>
      </c>
      <c r="F531" s="101">
        <v>1165</v>
      </c>
      <c r="G531" s="101">
        <v>5126</v>
      </c>
      <c r="H531" s="101">
        <v>62306.130000000005</v>
      </c>
      <c r="I531" s="101">
        <v>17840.344000000001</v>
      </c>
      <c r="J531" s="101">
        <v>92</v>
      </c>
      <c r="K531" s="101">
        <v>908</v>
      </c>
      <c r="L531" s="101">
        <v>5415</v>
      </c>
      <c r="M531" s="101">
        <v>56709</v>
      </c>
      <c r="N531" s="101">
        <v>17121</v>
      </c>
      <c r="O531" s="101">
        <v>76</v>
      </c>
      <c r="P531" s="101">
        <v>1727</v>
      </c>
      <c r="Q531" s="101">
        <v>6960</v>
      </c>
      <c r="R531" s="101">
        <v>63171.05</v>
      </c>
      <c r="S531" s="101">
        <v>23497.856</v>
      </c>
      <c r="T531" s="169">
        <v>1.02</v>
      </c>
      <c r="U531" s="101">
        <f t="shared" si="46"/>
        <v>77.52</v>
      </c>
      <c r="V531" s="101">
        <f t="shared" si="47"/>
        <v>1761.54</v>
      </c>
      <c r="W531" s="101">
        <f t="shared" si="48"/>
        <v>7099.2</v>
      </c>
      <c r="X531" s="101">
        <f t="shared" si="45"/>
        <v>64434.471000000005</v>
      </c>
      <c r="Y531" s="101">
        <f t="shared" si="49"/>
        <v>23967.813119999999</v>
      </c>
      <c r="AA531" s="101">
        <v>58</v>
      </c>
      <c r="AB531" s="101">
        <v>1918</v>
      </c>
      <c r="AC531" s="101">
        <v>10703</v>
      </c>
      <c r="AD531" s="101">
        <v>93299.28</v>
      </c>
      <c r="AE531" s="101">
        <v>36610.945</v>
      </c>
    </row>
    <row r="532" spans="1:31" ht="11.25" hidden="1" customHeight="1" x14ac:dyDescent="0.3">
      <c r="A532" s="126" t="s">
        <v>176</v>
      </c>
      <c r="B532" s="126">
        <v>22</v>
      </c>
      <c r="C532" s="126">
        <v>41</v>
      </c>
      <c r="D532" s="126" t="str">
        <f t="shared" si="44"/>
        <v>2241</v>
      </c>
      <c r="O532" s="101">
        <v>4</v>
      </c>
      <c r="P532" s="101">
        <v>12</v>
      </c>
      <c r="Q532" s="101">
        <v>55</v>
      </c>
      <c r="R532" s="101">
        <v>510.3</v>
      </c>
      <c r="S532" s="101">
        <v>136.58000000000001</v>
      </c>
      <c r="T532" s="169">
        <v>1.02</v>
      </c>
      <c r="U532" s="101">
        <f t="shared" si="46"/>
        <v>4.08</v>
      </c>
      <c r="V532" s="101">
        <f t="shared" si="47"/>
        <v>12.24</v>
      </c>
      <c r="W532" s="101">
        <f t="shared" si="48"/>
        <v>56.1</v>
      </c>
      <c r="X532" s="101">
        <f t="shared" si="45"/>
        <v>520.50599999999997</v>
      </c>
      <c r="Y532" s="101">
        <f t="shared" si="49"/>
        <v>139.31160000000003</v>
      </c>
      <c r="AA532" s="101">
        <v>2</v>
      </c>
      <c r="AB532" s="101">
        <v>3</v>
      </c>
      <c r="AC532" s="101">
        <v>112</v>
      </c>
      <c r="AD532" s="101">
        <v>987.04</v>
      </c>
      <c r="AE532" s="101">
        <v>97.828000000000003</v>
      </c>
    </row>
    <row r="533" spans="1:31" ht="11.25" customHeight="1" x14ac:dyDescent="0.3">
      <c r="A533" s="126" t="s">
        <v>176</v>
      </c>
      <c r="B533" s="126">
        <v>22</v>
      </c>
      <c r="C533" s="126" t="s">
        <v>172</v>
      </c>
      <c r="D533" s="126" t="str">
        <f t="shared" si="44"/>
        <v>22Uml</v>
      </c>
      <c r="J533" s="101">
        <v>225</v>
      </c>
      <c r="K533" s="101">
        <v>310</v>
      </c>
      <c r="L533" s="101">
        <v>114908</v>
      </c>
      <c r="N533" s="101">
        <v>404593</v>
      </c>
      <c r="O533" s="101">
        <v>138</v>
      </c>
      <c r="P533" s="101">
        <v>138</v>
      </c>
      <c r="Q533" s="101">
        <v>22334</v>
      </c>
      <c r="S533" s="101">
        <v>101976</v>
      </c>
      <c r="T533" s="169">
        <v>1.02</v>
      </c>
      <c r="U533" s="101">
        <f t="shared" si="46"/>
        <v>140.76</v>
      </c>
      <c r="V533" s="101">
        <f t="shared" si="47"/>
        <v>140.76</v>
      </c>
      <c r="W533" s="101">
        <f t="shared" si="48"/>
        <v>22780.68</v>
      </c>
      <c r="X533" s="101">
        <f t="shared" si="45"/>
        <v>0</v>
      </c>
      <c r="Y533" s="101">
        <f t="shared" si="49"/>
        <v>104015.52</v>
      </c>
      <c r="AA533" s="101">
        <v>162</v>
      </c>
      <c r="AB533" s="101">
        <v>165</v>
      </c>
      <c r="AC533" s="101">
        <v>51086</v>
      </c>
      <c r="AE533" s="101">
        <v>182482</v>
      </c>
    </row>
    <row r="534" spans="1:31" ht="11.25" hidden="1" customHeight="1" x14ac:dyDescent="0.3">
      <c r="A534" s="126" t="s">
        <v>176</v>
      </c>
      <c r="B534" s="126">
        <v>22</v>
      </c>
      <c r="C534" s="126">
        <v>37</v>
      </c>
      <c r="D534" s="126" t="str">
        <f t="shared" si="44"/>
        <v>2237</v>
      </c>
      <c r="E534" s="101">
        <v>21.75</v>
      </c>
      <c r="F534" s="101">
        <v>57.5</v>
      </c>
      <c r="G534" s="101">
        <v>621.5</v>
      </c>
      <c r="H534" s="101">
        <v>4016.83</v>
      </c>
      <c r="I534" s="101">
        <v>1870.579</v>
      </c>
      <c r="J534" s="101">
        <v>38</v>
      </c>
      <c r="K534" s="101">
        <v>111</v>
      </c>
      <c r="L534" s="101">
        <v>4755</v>
      </c>
      <c r="M534" s="101">
        <v>24989</v>
      </c>
      <c r="N534" s="101">
        <v>11081</v>
      </c>
      <c r="O534" s="101">
        <v>25</v>
      </c>
      <c r="P534" s="101">
        <v>94</v>
      </c>
      <c r="Q534" s="101">
        <v>6003</v>
      </c>
      <c r="R534" s="101">
        <v>25713.39</v>
      </c>
      <c r="S534" s="101">
        <v>17247.387999999999</v>
      </c>
      <c r="T534" s="169">
        <v>1.02</v>
      </c>
      <c r="U534" s="101">
        <f t="shared" si="46"/>
        <v>25.5</v>
      </c>
      <c r="V534" s="101">
        <f t="shared" si="47"/>
        <v>95.88</v>
      </c>
      <c r="W534" s="101">
        <f t="shared" si="48"/>
        <v>6123.06</v>
      </c>
      <c r="X534" s="101">
        <f t="shared" si="45"/>
        <v>26227.657800000001</v>
      </c>
      <c r="Y534" s="101">
        <f t="shared" si="49"/>
        <v>17592.335759999998</v>
      </c>
      <c r="AA534" s="101">
        <v>25</v>
      </c>
      <c r="AB534" s="101">
        <v>137</v>
      </c>
      <c r="AC534" s="101">
        <v>4657</v>
      </c>
      <c r="AD534" s="101">
        <v>40429.699999999997</v>
      </c>
      <c r="AE534" s="101">
        <v>21607</v>
      </c>
    </row>
    <row r="535" spans="1:31" ht="11.25" hidden="1" customHeight="1" x14ac:dyDescent="0.3">
      <c r="A535" s="126" t="s">
        <v>182</v>
      </c>
      <c r="B535" s="126">
        <v>23</v>
      </c>
      <c r="C535" s="126">
        <v>12</v>
      </c>
      <c r="D535" s="126" t="str">
        <f t="shared" si="44"/>
        <v>2312</v>
      </c>
      <c r="E535" s="101">
        <v>34</v>
      </c>
      <c r="F535" s="101">
        <v>40</v>
      </c>
      <c r="G535" s="101">
        <v>54</v>
      </c>
      <c r="H535" s="101">
        <v>1779.06</v>
      </c>
      <c r="I535" s="101">
        <v>349.42200000000003</v>
      </c>
      <c r="J535" s="101">
        <v>14</v>
      </c>
      <c r="K535" s="101">
        <v>19</v>
      </c>
      <c r="L535" s="101">
        <v>27</v>
      </c>
      <c r="M535" s="101">
        <v>367.5</v>
      </c>
      <c r="N535" s="101">
        <v>50.506</v>
      </c>
      <c r="O535" s="101">
        <v>15</v>
      </c>
      <c r="P535" s="101">
        <v>18</v>
      </c>
      <c r="Q535" s="101">
        <v>23</v>
      </c>
      <c r="R535" s="101">
        <v>768.93</v>
      </c>
      <c r="S535" s="101">
        <v>155.089</v>
      </c>
      <c r="T535" s="169">
        <v>1.02</v>
      </c>
      <c r="U535" s="101">
        <f t="shared" si="46"/>
        <v>15.3</v>
      </c>
      <c r="V535" s="101">
        <f t="shared" si="47"/>
        <v>18.36</v>
      </c>
      <c r="W535" s="101">
        <f t="shared" si="48"/>
        <v>23.46</v>
      </c>
      <c r="X535" s="101">
        <f t="shared" si="45"/>
        <v>784.30859999999996</v>
      </c>
      <c r="Y535" s="101">
        <f t="shared" si="49"/>
        <v>158.19077999999999</v>
      </c>
    </row>
    <row r="536" spans="1:31" ht="11.25" hidden="1" customHeight="1" x14ac:dyDescent="0.3">
      <c r="A536" s="126" t="s">
        <v>182</v>
      </c>
      <c r="B536" s="126">
        <v>23</v>
      </c>
      <c r="C536" s="126">
        <v>17</v>
      </c>
      <c r="D536" s="126" t="str">
        <f t="shared" si="44"/>
        <v>2317</v>
      </c>
      <c r="E536" s="101">
        <v>2347</v>
      </c>
      <c r="F536" s="101">
        <v>2993</v>
      </c>
      <c r="G536" s="101">
        <v>3769</v>
      </c>
      <c r="H536" s="101">
        <v>142328.45000000001</v>
      </c>
      <c r="I536" s="101">
        <v>27019.088000000003</v>
      </c>
      <c r="J536" s="101">
        <v>846</v>
      </c>
      <c r="K536" s="101">
        <v>2286</v>
      </c>
      <c r="L536" s="101">
        <v>3036</v>
      </c>
      <c r="M536" s="101">
        <v>58958.25</v>
      </c>
      <c r="N536" s="101">
        <v>9063.8070000000007</v>
      </c>
      <c r="O536" s="101">
        <v>706</v>
      </c>
      <c r="P536" s="101">
        <v>1186</v>
      </c>
      <c r="Q536" s="101">
        <v>1799</v>
      </c>
      <c r="R536" s="101">
        <v>53846.51</v>
      </c>
      <c r="S536" s="101">
        <v>9542.4750000000004</v>
      </c>
      <c r="T536" s="169">
        <v>1.02</v>
      </c>
      <c r="U536" s="101">
        <v>1375</v>
      </c>
      <c r="V536" s="101">
        <v>2750</v>
      </c>
      <c r="W536" s="101">
        <v>4750</v>
      </c>
      <c r="X536" s="101">
        <f t="shared" si="45"/>
        <v>54923.440200000005</v>
      </c>
      <c r="Y536" s="101">
        <v>20000</v>
      </c>
    </row>
    <row r="537" spans="1:31" ht="11.25" hidden="1" customHeight="1" x14ac:dyDescent="0.3">
      <c r="A537" s="126" t="s">
        <v>182</v>
      </c>
      <c r="B537" s="126">
        <v>23</v>
      </c>
      <c r="C537" s="126">
        <v>18</v>
      </c>
      <c r="D537" s="126" t="str">
        <f t="shared" si="44"/>
        <v>2318</v>
      </c>
      <c r="E537" s="101">
        <v>233</v>
      </c>
      <c r="F537" s="101">
        <v>279</v>
      </c>
      <c r="G537" s="101">
        <v>369</v>
      </c>
      <c r="H537" s="101">
        <v>16125.51</v>
      </c>
      <c r="I537" s="101">
        <v>3149.9679999999998</v>
      </c>
      <c r="J537" s="101">
        <v>2021</v>
      </c>
      <c r="K537" s="101">
        <v>2379</v>
      </c>
      <c r="L537" s="101">
        <v>2922</v>
      </c>
      <c r="M537" s="101">
        <v>118580.29000000001</v>
      </c>
      <c r="N537" s="101">
        <v>31329.895000000004</v>
      </c>
      <c r="O537" s="101">
        <v>1573</v>
      </c>
      <c r="P537" s="101">
        <v>1753</v>
      </c>
      <c r="Q537" s="101">
        <v>4149</v>
      </c>
      <c r="R537" s="101">
        <v>69362.38</v>
      </c>
      <c r="S537" s="101">
        <v>40328.737000000001</v>
      </c>
      <c r="T537" s="169">
        <v>0.7</v>
      </c>
      <c r="U537" s="101">
        <f t="shared" si="46"/>
        <v>1101.0999999999999</v>
      </c>
      <c r="V537" s="101">
        <f t="shared" si="47"/>
        <v>1227.0999999999999</v>
      </c>
      <c r="W537" s="101">
        <f t="shared" si="48"/>
        <v>2904.2999999999997</v>
      </c>
      <c r="X537" s="101">
        <f t="shared" si="45"/>
        <v>48553.665999999997</v>
      </c>
      <c r="Y537" s="101">
        <f t="shared" si="49"/>
        <v>28230.115900000001</v>
      </c>
    </row>
    <row r="538" spans="1:31" ht="11.25" hidden="1" customHeight="1" x14ac:dyDescent="0.3">
      <c r="A538" s="126" t="s">
        <v>182</v>
      </c>
      <c r="B538" s="126">
        <v>23</v>
      </c>
      <c r="C538" s="126">
        <v>28</v>
      </c>
      <c r="D538" s="126" t="str">
        <f t="shared" si="44"/>
        <v>2328</v>
      </c>
      <c r="E538" s="101">
        <v>431</v>
      </c>
      <c r="F538" s="101">
        <v>2692</v>
      </c>
      <c r="G538" s="101">
        <v>42911</v>
      </c>
      <c r="H538" s="101">
        <v>1336642.25</v>
      </c>
      <c r="I538" s="101">
        <v>426559.81599999999</v>
      </c>
      <c r="J538" s="101">
        <v>243</v>
      </c>
      <c r="K538" s="101">
        <v>3562</v>
      </c>
      <c r="L538" s="101">
        <v>17935</v>
      </c>
      <c r="M538" s="101">
        <v>293238.45999999996</v>
      </c>
      <c r="N538" s="101">
        <v>62881.13</v>
      </c>
      <c r="O538" s="101">
        <v>279</v>
      </c>
      <c r="P538" s="101">
        <v>4489</v>
      </c>
      <c r="Q538" s="101">
        <v>29172</v>
      </c>
      <c r="R538" s="101">
        <v>503976.74</v>
      </c>
      <c r="S538" s="101">
        <v>125024.94899999999</v>
      </c>
      <c r="T538" s="169">
        <v>1.02</v>
      </c>
      <c r="U538" s="101">
        <f t="shared" si="46"/>
        <v>284.58</v>
      </c>
      <c r="V538" s="101">
        <f t="shared" si="47"/>
        <v>4578.78</v>
      </c>
      <c r="W538" s="101">
        <f t="shared" si="48"/>
        <v>29755.440000000002</v>
      </c>
      <c r="X538" s="101">
        <f t="shared" si="45"/>
        <v>514056.27480000001</v>
      </c>
      <c r="Y538" s="101">
        <f t="shared" si="49"/>
        <v>127525.44798</v>
      </c>
    </row>
    <row r="539" spans="1:31" ht="11.25" hidden="1" customHeight="1" x14ac:dyDescent="0.3">
      <c r="A539" s="126" t="s">
        <v>182</v>
      </c>
      <c r="B539" s="126">
        <v>23</v>
      </c>
      <c r="C539" s="126">
        <v>46</v>
      </c>
      <c r="D539" s="126" t="str">
        <f t="shared" si="44"/>
        <v>2346</v>
      </c>
      <c r="E539" s="101">
        <v>302</v>
      </c>
      <c r="F539" s="101">
        <v>571</v>
      </c>
      <c r="G539" s="101">
        <v>25213</v>
      </c>
      <c r="H539" s="101">
        <v>483773.94</v>
      </c>
      <c r="I539" s="101">
        <v>167931.516</v>
      </c>
      <c r="J539" s="101">
        <v>149</v>
      </c>
      <c r="K539" s="101">
        <v>325</v>
      </c>
      <c r="L539" s="101">
        <v>7154</v>
      </c>
      <c r="M539" s="101">
        <v>207874.58</v>
      </c>
      <c r="N539" s="101">
        <v>52150.046999999999</v>
      </c>
      <c r="O539" s="101">
        <v>186</v>
      </c>
      <c r="P539" s="101">
        <v>589</v>
      </c>
      <c r="Q539" s="101">
        <v>12612</v>
      </c>
      <c r="R539" s="101">
        <v>247795.22</v>
      </c>
      <c r="S539" s="101">
        <v>94371.758000000002</v>
      </c>
      <c r="T539" s="169">
        <v>1.02</v>
      </c>
      <c r="U539" s="101">
        <f t="shared" si="46"/>
        <v>189.72</v>
      </c>
      <c r="V539" s="101">
        <f t="shared" si="47"/>
        <v>600.78</v>
      </c>
      <c r="W539" s="101">
        <f t="shared" si="48"/>
        <v>12864.24</v>
      </c>
      <c r="X539" s="101">
        <f t="shared" si="45"/>
        <v>252751.1244</v>
      </c>
      <c r="Y539" s="101">
        <f t="shared" si="49"/>
        <v>96259.19316000001</v>
      </c>
    </row>
    <row r="540" spans="1:31" ht="11.25" hidden="1" customHeight="1" x14ac:dyDescent="0.3">
      <c r="A540" s="126" t="s">
        <v>182</v>
      </c>
      <c r="B540" s="126">
        <v>23</v>
      </c>
      <c r="C540" s="126">
        <v>47</v>
      </c>
      <c r="D540" s="126" t="str">
        <f t="shared" si="44"/>
        <v>2347</v>
      </c>
      <c r="E540" s="101">
        <v>1</v>
      </c>
      <c r="F540" s="101">
        <v>1</v>
      </c>
      <c r="G540" s="101">
        <v>104</v>
      </c>
      <c r="H540" s="101">
        <v>1346.8</v>
      </c>
      <c r="I540" s="101">
        <v>33.359000000000002</v>
      </c>
      <c r="J540" s="101">
        <v>0</v>
      </c>
      <c r="K540" s="101">
        <v>0</v>
      </c>
      <c r="L540" s="101">
        <v>0</v>
      </c>
      <c r="M540" s="101">
        <v>0</v>
      </c>
      <c r="N540" s="101">
        <v>0</v>
      </c>
      <c r="O540" s="101">
        <v>0</v>
      </c>
      <c r="P540" s="101">
        <v>0</v>
      </c>
      <c r="Q540" s="101">
        <v>0</v>
      </c>
      <c r="R540" s="101">
        <v>0</v>
      </c>
      <c r="S540" s="101">
        <v>0</v>
      </c>
      <c r="T540" s="169">
        <v>1.02</v>
      </c>
      <c r="U540" s="101">
        <f t="shared" si="46"/>
        <v>0</v>
      </c>
      <c r="V540" s="101">
        <f t="shared" si="47"/>
        <v>0</v>
      </c>
      <c r="W540" s="101">
        <f t="shared" si="48"/>
        <v>0</v>
      </c>
      <c r="X540" s="101">
        <f t="shared" si="45"/>
        <v>0</v>
      </c>
      <c r="Y540" s="101">
        <f t="shared" si="49"/>
        <v>0</v>
      </c>
    </row>
    <row r="541" spans="1:31" ht="11.25" hidden="1" customHeight="1" x14ac:dyDescent="0.3">
      <c r="A541" s="126" t="s">
        <v>182</v>
      </c>
      <c r="B541" s="126">
        <v>23</v>
      </c>
      <c r="C541" s="126">
        <v>66</v>
      </c>
      <c r="D541" s="126" t="str">
        <f t="shared" si="44"/>
        <v>2366</v>
      </c>
      <c r="E541" s="101">
        <v>363</v>
      </c>
      <c r="F541" s="101">
        <v>1020</v>
      </c>
      <c r="G541" s="101">
        <v>15893</v>
      </c>
      <c r="H541" s="101">
        <v>127428.23999999999</v>
      </c>
      <c r="I541" s="101">
        <v>61791.108</v>
      </c>
      <c r="J541" s="101">
        <v>249</v>
      </c>
      <c r="K541" s="101">
        <v>953</v>
      </c>
      <c r="L541" s="101">
        <v>25950</v>
      </c>
      <c r="M541" s="101">
        <v>172146.58000000002</v>
      </c>
      <c r="N541" s="101">
        <v>89873.816000000006</v>
      </c>
      <c r="O541" s="101">
        <v>178</v>
      </c>
      <c r="P541" s="101">
        <v>1048</v>
      </c>
      <c r="Q541" s="101">
        <v>15475</v>
      </c>
      <c r="R541" s="101">
        <v>95773.25</v>
      </c>
      <c r="S541" s="101">
        <v>50829.112000000001</v>
      </c>
      <c r="T541" s="169">
        <v>1.02</v>
      </c>
      <c r="U541" s="101">
        <f t="shared" si="46"/>
        <v>181.56</v>
      </c>
      <c r="V541" s="101">
        <f t="shared" si="47"/>
        <v>1068.96</v>
      </c>
      <c r="W541" s="101">
        <f t="shared" si="48"/>
        <v>15784.5</v>
      </c>
      <c r="X541" s="101">
        <f t="shared" si="45"/>
        <v>97688.714999999997</v>
      </c>
      <c r="Y541" s="101">
        <f t="shared" si="49"/>
        <v>51845.694240000004</v>
      </c>
    </row>
    <row r="542" spans="1:31" ht="11.25" hidden="1" customHeight="1" x14ac:dyDescent="0.3">
      <c r="A542" s="126" t="s">
        <v>182</v>
      </c>
      <c r="B542" s="126">
        <v>23</v>
      </c>
      <c r="C542" s="126">
        <v>30</v>
      </c>
      <c r="D542" s="126" t="str">
        <f t="shared" si="44"/>
        <v>2330</v>
      </c>
      <c r="E542" s="101">
        <v>220</v>
      </c>
      <c r="F542" s="101">
        <v>2642</v>
      </c>
      <c r="G542" s="101">
        <v>11868.5</v>
      </c>
      <c r="H542" s="101">
        <v>284159.41000000003</v>
      </c>
      <c r="I542" s="101">
        <v>104598.223</v>
      </c>
      <c r="J542" s="101">
        <v>0</v>
      </c>
      <c r="K542" s="101">
        <v>0</v>
      </c>
      <c r="L542" s="101">
        <v>0</v>
      </c>
      <c r="M542" s="101">
        <v>0</v>
      </c>
      <c r="N542" s="101">
        <v>0</v>
      </c>
      <c r="O542" s="101">
        <v>45</v>
      </c>
      <c r="P542" s="101">
        <v>54</v>
      </c>
      <c r="Q542" s="101">
        <v>999</v>
      </c>
      <c r="R542" s="101">
        <v>104483.74</v>
      </c>
      <c r="S542" s="101">
        <v>47783.425000000003</v>
      </c>
      <c r="T542" s="169">
        <v>1.02</v>
      </c>
      <c r="U542" s="101">
        <f t="shared" si="46"/>
        <v>45.9</v>
      </c>
      <c r="V542" s="101">
        <f t="shared" si="47"/>
        <v>55.08</v>
      </c>
      <c r="W542" s="101">
        <f t="shared" si="48"/>
        <v>1018.98</v>
      </c>
      <c r="X542" s="101">
        <f t="shared" si="45"/>
        <v>106573.41480000001</v>
      </c>
      <c r="Y542" s="101">
        <f t="shared" si="49"/>
        <v>48739.093500000003</v>
      </c>
    </row>
    <row r="543" spans="1:31" ht="11.25" hidden="1" customHeight="1" x14ac:dyDescent="0.3">
      <c r="A543" s="126" t="s">
        <v>182</v>
      </c>
      <c r="B543" s="126">
        <v>23</v>
      </c>
      <c r="C543" s="126">
        <v>21</v>
      </c>
      <c r="D543" s="126" t="str">
        <f t="shared" si="44"/>
        <v>2321</v>
      </c>
      <c r="E543" s="101">
        <v>832</v>
      </c>
      <c r="F543" s="101">
        <v>3657</v>
      </c>
      <c r="G543" s="101">
        <v>19484.5</v>
      </c>
      <c r="H543" s="101">
        <v>287677.57</v>
      </c>
      <c r="I543" s="101">
        <v>79344.995999999999</v>
      </c>
      <c r="J543" s="101">
        <v>872</v>
      </c>
      <c r="K543" s="101">
        <v>7173</v>
      </c>
      <c r="L543" s="101">
        <v>43133</v>
      </c>
      <c r="M543" s="101">
        <v>550634.34</v>
      </c>
      <c r="N543" s="101">
        <v>159583.32500000001</v>
      </c>
      <c r="O543" s="101">
        <v>993</v>
      </c>
      <c r="P543" s="101">
        <v>7946</v>
      </c>
      <c r="Q543" s="101">
        <v>48649</v>
      </c>
      <c r="R543" s="101">
        <v>500925.84</v>
      </c>
      <c r="S543" s="101">
        <v>1155969.162</v>
      </c>
      <c r="T543" s="169">
        <v>1.02</v>
      </c>
      <c r="U543" s="101">
        <f>O543*T543-12</f>
        <v>1000.86</v>
      </c>
      <c r="V543" s="101">
        <f>P543*T543-73</f>
        <v>8031.92</v>
      </c>
      <c r="W543" s="101">
        <f>Q543*T543-4837</f>
        <v>44784.98</v>
      </c>
      <c r="X543" s="101">
        <f>R543*T543-34207</f>
        <v>476737.35680000001</v>
      </c>
      <c r="Y543" s="101">
        <f>S543*T543-5664</f>
        <v>1173424.5452400001</v>
      </c>
    </row>
    <row r="544" spans="1:31" ht="11.25" hidden="1" customHeight="1" x14ac:dyDescent="0.3">
      <c r="A544" s="126" t="s">
        <v>182</v>
      </c>
      <c r="B544" s="126">
        <v>23</v>
      </c>
      <c r="C544" s="126">
        <v>71</v>
      </c>
      <c r="D544" s="126" t="str">
        <f t="shared" si="44"/>
        <v>2371</v>
      </c>
      <c r="E544" s="101">
        <v>475.5</v>
      </c>
      <c r="F544" s="101">
        <v>3706.5</v>
      </c>
      <c r="G544" s="101">
        <v>11458.5</v>
      </c>
      <c r="H544" s="101">
        <v>85555.94</v>
      </c>
      <c r="I544" s="101">
        <v>37709.702499999999</v>
      </c>
      <c r="J544" s="101">
        <v>287</v>
      </c>
      <c r="K544" s="101">
        <v>4024</v>
      </c>
      <c r="L544" s="101">
        <v>12180</v>
      </c>
      <c r="M544" s="101">
        <v>92661.500000000015</v>
      </c>
      <c r="N544" s="101">
        <v>55515.447</v>
      </c>
      <c r="O544" s="101">
        <v>514</v>
      </c>
      <c r="P544" s="101">
        <v>6253</v>
      </c>
      <c r="Q544" s="101">
        <v>27763</v>
      </c>
      <c r="R544" s="101">
        <v>173160.63</v>
      </c>
      <c r="S544" s="101">
        <v>110985.704</v>
      </c>
      <c r="T544" s="169">
        <v>0.98</v>
      </c>
      <c r="U544" s="101">
        <f t="shared" si="46"/>
        <v>503.71999999999997</v>
      </c>
      <c r="V544" s="101">
        <f t="shared" si="47"/>
        <v>6127.94</v>
      </c>
      <c r="W544" s="101">
        <f t="shared" si="48"/>
        <v>27207.739999999998</v>
      </c>
      <c r="X544" s="101">
        <f t="shared" si="45"/>
        <v>169697.41740000001</v>
      </c>
      <c r="Y544" s="101">
        <f t="shared" si="49"/>
        <v>108765.98991999999</v>
      </c>
    </row>
    <row r="545" spans="1:25" ht="11.25" hidden="1" customHeight="1" x14ac:dyDescent="0.3">
      <c r="A545" s="126" t="s">
        <v>182</v>
      </c>
      <c r="B545" s="126">
        <v>23</v>
      </c>
      <c r="C545" s="126">
        <v>25</v>
      </c>
      <c r="D545" s="126" t="str">
        <f t="shared" si="44"/>
        <v>2325</v>
      </c>
      <c r="E545" s="101">
        <v>1080</v>
      </c>
      <c r="F545" s="101">
        <v>4900</v>
      </c>
      <c r="G545" s="101">
        <v>29748</v>
      </c>
      <c r="H545" s="101">
        <v>249093.83000000002</v>
      </c>
      <c r="I545" s="101">
        <v>114077.57799999999</v>
      </c>
      <c r="J545" s="101">
        <v>645</v>
      </c>
      <c r="K545" s="101">
        <v>5676</v>
      </c>
      <c r="L545" s="101">
        <v>26708</v>
      </c>
      <c r="M545" s="101">
        <v>444491.71</v>
      </c>
      <c r="N545" s="101">
        <v>142752.72699999998</v>
      </c>
      <c r="O545" s="101">
        <v>793</v>
      </c>
      <c r="P545" s="101">
        <v>6204</v>
      </c>
      <c r="Q545" s="101">
        <v>45881</v>
      </c>
      <c r="R545" s="101">
        <v>293187.11</v>
      </c>
      <c r="S545" s="101">
        <v>172263.59899999999</v>
      </c>
      <c r="T545" s="169">
        <v>1.02</v>
      </c>
      <c r="U545" s="101">
        <f t="shared" si="46"/>
        <v>808.86</v>
      </c>
      <c r="V545" s="101">
        <f t="shared" si="47"/>
        <v>6328.08</v>
      </c>
      <c r="W545" s="101">
        <f t="shared" si="48"/>
        <v>46798.62</v>
      </c>
      <c r="X545" s="101">
        <f t="shared" si="45"/>
        <v>299050.85219999996</v>
      </c>
      <c r="Y545" s="101">
        <f t="shared" si="49"/>
        <v>175708.87097999998</v>
      </c>
    </row>
    <row r="546" spans="1:25" ht="11.25" hidden="1" customHeight="1" x14ac:dyDescent="0.3">
      <c r="A546" s="126" t="s">
        <v>182</v>
      </c>
      <c r="B546" s="126">
        <v>23</v>
      </c>
      <c r="C546" s="126">
        <v>14</v>
      </c>
      <c r="D546" s="126" t="str">
        <f t="shared" si="44"/>
        <v>2314</v>
      </c>
      <c r="J546" s="101">
        <v>9</v>
      </c>
      <c r="K546" s="101">
        <v>26</v>
      </c>
      <c r="L546" s="101">
        <v>34</v>
      </c>
      <c r="M546" s="101">
        <v>2646.0000000000005</v>
      </c>
      <c r="N546" s="101">
        <v>315.17500000000001</v>
      </c>
      <c r="O546" s="101">
        <v>15</v>
      </c>
      <c r="P546" s="101">
        <v>30</v>
      </c>
      <c r="Q546" s="101">
        <v>57</v>
      </c>
      <c r="R546" s="101">
        <v>4164.7</v>
      </c>
      <c r="S546" s="101">
        <v>648.19200000000001</v>
      </c>
      <c r="T546" s="169">
        <v>1.02</v>
      </c>
      <c r="U546" s="101">
        <f t="shared" si="46"/>
        <v>15.3</v>
      </c>
      <c r="V546" s="101">
        <f t="shared" si="47"/>
        <v>30.6</v>
      </c>
      <c r="W546" s="101">
        <f t="shared" si="48"/>
        <v>58.14</v>
      </c>
      <c r="X546" s="101">
        <f t="shared" si="45"/>
        <v>4247.9939999999997</v>
      </c>
      <c r="Y546" s="101">
        <f t="shared" si="49"/>
        <v>661.15584000000001</v>
      </c>
    </row>
    <row r="547" spans="1:25" ht="11.25" hidden="1" customHeight="1" x14ac:dyDescent="0.3">
      <c r="A547" s="126" t="s">
        <v>182</v>
      </c>
      <c r="B547" s="126">
        <v>23</v>
      </c>
      <c r="C547" s="126">
        <v>22</v>
      </c>
      <c r="D547" s="126" t="str">
        <f t="shared" si="44"/>
        <v>2322</v>
      </c>
      <c r="J547" s="101">
        <v>6</v>
      </c>
      <c r="K547" s="101">
        <v>8</v>
      </c>
      <c r="L547" s="101">
        <v>24</v>
      </c>
      <c r="M547" s="101">
        <v>631.62</v>
      </c>
      <c r="N547" s="101">
        <v>270.839</v>
      </c>
      <c r="O547" s="101">
        <v>11</v>
      </c>
      <c r="P547" s="101">
        <v>27</v>
      </c>
      <c r="Q547" s="101">
        <v>193</v>
      </c>
      <c r="R547" s="101">
        <v>2252.75</v>
      </c>
      <c r="S547" s="101">
        <v>1668.422</v>
      </c>
      <c r="T547" s="169">
        <v>1.02</v>
      </c>
      <c r="U547" s="101">
        <f t="shared" si="46"/>
        <v>11.22</v>
      </c>
      <c r="V547" s="101">
        <f t="shared" si="47"/>
        <v>27.54</v>
      </c>
      <c r="W547" s="101">
        <f t="shared" si="48"/>
        <v>196.86</v>
      </c>
      <c r="X547" s="101">
        <f t="shared" si="45"/>
        <v>2297.8049999999998</v>
      </c>
      <c r="Y547" s="101">
        <f t="shared" si="49"/>
        <v>1701.79044</v>
      </c>
    </row>
    <row r="548" spans="1:25" ht="11.25" hidden="1" customHeight="1" x14ac:dyDescent="0.3">
      <c r="A548" s="126" t="s">
        <v>182</v>
      </c>
      <c r="B548" s="126">
        <v>23</v>
      </c>
      <c r="C548" s="126">
        <v>26</v>
      </c>
      <c r="D548" s="126" t="str">
        <f t="shared" si="44"/>
        <v>2326</v>
      </c>
      <c r="J548" s="101">
        <v>5</v>
      </c>
      <c r="K548" s="101">
        <v>8</v>
      </c>
      <c r="L548" s="101">
        <v>84</v>
      </c>
      <c r="M548" s="101">
        <v>2671.81</v>
      </c>
      <c r="N548" s="101">
        <v>1271.4770000000001</v>
      </c>
      <c r="O548" s="101">
        <v>0</v>
      </c>
      <c r="P548" s="101">
        <v>0</v>
      </c>
      <c r="Q548" s="101">
        <v>0</v>
      </c>
      <c r="R548" s="101">
        <v>0</v>
      </c>
      <c r="S548" s="101">
        <v>0</v>
      </c>
      <c r="T548" s="169">
        <v>1.02</v>
      </c>
      <c r="U548" s="101">
        <f t="shared" si="46"/>
        <v>0</v>
      </c>
      <c r="V548" s="101">
        <f t="shared" si="47"/>
        <v>0</v>
      </c>
      <c r="W548" s="101">
        <f t="shared" si="48"/>
        <v>0</v>
      </c>
      <c r="X548" s="101">
        <f t="shared" si="45"/>
        <v>0</v>
      </c>
      <c r="Y548" s="101">
        <f t="shared" si="49"/>
        <v>0</v>
      </c>
    </row>
    <row r="549" spans="1:25" ht="11.25" hidden="1" customHeight="1" x14ac:dyDescent="0.3">
      <c r="A549" s="126" t="s">
        <v>182</v>
      </c>
      <c r="B549" s="126">
        <v>23</v>
      </c>
      <c r="C549" s="126">
        <v>32</v>
      </c>
      <c r="D549" s="126" t="str">
        <f t="shared" si="44"/>
        <v>2332</v>
      </c>
      <c r="J549" s="101">
        <v>29</v>
      </c>
      <c r="K549" s="101">
        <v>46</v>
      </c>
      <c r="L549" s="101">
        <v>2692</v>
      </c>
      <c r="M549" s="101">
        <v>4909.32</v>
      </c>
      <c r="N549" s="101">
        <v>89707.975999999995</v>
      </c>
      <c r="O549" s="101">
        <v>47</v>
      </c>
      <c r="P549" s="101">
        <v>66</v>
      </c>
      <c r="Q549" s="101">
        <v>1265</v>
      </c>
      <c r="R549" s="101">
        <v>5594.76</v>
      </c>
      <c r="S549" s="101">
        <v>5590.5690000000004</v>
      </c>
      <c r="T549" s="169">
        <v>1.02</v>
      </c>
      <c r="U549" s="101">
        <f t="shared" si="46"/>
        <v>47.94</v>
      </c>
      <c r="V549" s="101">
        <f t="shared" si="47"/>
        <v>67.320000000000007</v>
      </c>
      <c r="W549" s="101">
        <f t="shared" si="48"/>
        <v>1290.3</v>
      </c>
      <c r="X549" s="101">
        <f t="shared" si="45"/>
        <v>5706.6552000000001</v>
      </c>
      <c r="Y549" s="101">
        <f t="shared" si="49"/>
        <v>5702.3803800000005</v>
      </c>
    </row>
    <row r="550" spans="1:25" ht="11.25" hidden="1" customHeight="1" x14ac:dyDescent="0.3">
      <c r="A550" s="126" t="s">
        <v>182</v>
      </c>
      <c r="B550" s="126">
        <v>23</v>
      </c>
      <c r="C550" s="126">
        <v>43</v>
      </c>
      <c r="D550" s="126" t="str">
        <f t="shared" si="44"/>
        <v>2343</v>
      </c>
      <c r="J550" s="101">
        <v>0</v>
      </c>
      <c r="K550" s="101">
        <v>0</v>
      </c>
      <c r="L550" s="101">
        <v>0</v>
      </c>
      <c r="M550" s="101">
        <v>0</v>
      </c>
      <c r="N550" s="101">
        <v>0</v>
      </c>
      <c r="O550" s="101">
        <v>0</v>
      </c>
      <c r="P550" s="101">
        <v>0</v>
      </c>
      <c r="Q550" s="101">
        <v>0</v>
      </c>
      <c r="R550" s="101">
        <v>0</v>
      </c>
      <c r="S550" s="101">
        <v>0</v>
      </c>
      <c r="T550" s="169">
        <v>1.02</v>
      </c>
      <c r="U550" s="101">
        <f t="shared" si="46"/>
        <v>0</v>
      </c>
      <c r="V550" s="101">
        <f t="shared" si="47"/>
        <v>0</v>
      </c>
      <c r="W550" s="101">
        <f t="shared" si="48"/>
        <v>0</v>
      </c>
      <c r="X550" s="101">
        <f t="shared" si="45"/>
        <v>0</v>
      </c>
      <c r="Y550" s="101">
        <f t="shared" si="49"/>
        <v>0</v>
      </c>
    </row>
    <row r="551" spans="1:25" ht="11.25" hidden="1" customHeight="1" x14ac:dyDescent="0.3">
      <c r="A551" s="126" t="s">
        <v>182</v>
      </c>
      <c r="B551" s="126">
        <v>23</v>
      </c>
      <c r="C551" s="126">
        <v>44</v>
      </c>
      <c r="D551" s="126" t="str">
        <f t="shared" si="44"/>
        <v>2344</v>
      </c>
      <c r="J551" s="101">
        <v>0</v>
      </c>
      <c r="K551" s="101">
        <v>0</v>
      </c>
      <c r="L551" s="101">
        <v>0</v>
      </c>
      <c r="M551" s="101">
        <v>0</v>
      </c>
      <c r="N551" s="101">
        <v>0</v>
      </c>
      <c r="O551" s="101">
        <v>0</v>
      </c>
      <c r="P551" s="101">
        <v>0</v>
      </c>
      <c r="Q551" s="101">
        <v>0</v>
      </c>
      <c r="R551" s="101">
        <v>0</v>
      </c>
      <c r="S551" s="101">
        <v>0</v>
      </c>
      <c r="T551" s="169">
        <v>1.02</v>
      </c>
      <c r="U551" s="101">
        <f t="shared" si="46"/>
        <v>0</v>
      </c>
      <c r="V551" s="101">
        <f t="shared" si="47"/>
        <v>0</v>
      </c>
      <c r="W551" s="101">
        <f t="shared" si="48"/>
        <v>0</v>
      </c>
      <c r="X551" s="101">
        <f t="shared" si="45"/>
        <v>0</v>
      </c>
      <c r="Y551" s="101">
        <f t="shared" si="49"/>
        <v>0</v>
      </c>
    </row>
    <row r="552" spans="1:25" ht="11.25" hidden="1" customHeight="1" x14ac:dyDescent="0.3">
      <c r="A552" s="126" t="s">
        <v>182</v>
      </c>
      <c r="B552" s="126">
        <v>23</v>
      </c>
      <c r="C552" s="126">
        <v>45</v>
      </c>
      <c r="D552" s="126" t="str">
        <f t="shared" si="44"/>
        <v>2345</v>
      </c>
      <c r="J552" s="101">
        <v>0</v>
      </c>
      <c r="K552" s="101">
        <v>0</v>
      </c>
      <c r="L552" s="101">
        <v>0</v>
      </c>
      <c r="M552" s="101">
        <v>0</v>
      </c>
      <c r="N552" s="101">
        <v>0</v>
      </c>
      <c r="O552" s="101">
        <v>0</v>
      </c>
      <c r="P552" s="101">
        <v>0</v>
      </c>
      <c r="Q552" s="101">
        <v>0</v>
      </c>
      <c r="R552" s="101">
        <v>0</v>
      </c>
      <c r="S552" s="101">
        <v>0</v>
      </c>
      <c r="T552" s="169">
        <v>1.02</v>
      </c>
      <c r="U552" s="101">
        <f t="shared" si="46"/>
        <v>0</v>
      </c>
      <c r="V552" s="101">
        <f t="shared" si="47"/>
        <v>0</v>
      </c>
      <c r="W552" s="101">
        <f t="shared" si="48"/>
        <v>0</v>
      </c>
      <c r="X552" s="101">
        <f t="shared" si="45"/>
        <v>0</v>
      </c>
      <c r="Y552" s="101">
        <f t="shared" si="49"/>
        <v>0</v>
      </c>
    </row>
    <row r="553" spans="1:25" ht="11.25" hidden="1" customHeight="1" x14ac:dyDescent="0.3">
      <c r="A553" s="126" t="s">
        <v>182</v>
      </c>
      <c r="B553" s="126">
        <v>23</v>
      </c>
      <c r="C553" s="126">
        <v>48</v>
      </c>
      <c r="D553" s="126" t="str">
        <f t="shared" si="44"/>
        <v>2348</v>
      </c>
      <c r="J553" s="101">
        <v>0</v>
      </c>
      <c r="K553" s="101">
        <v>0</v>
      </c>
      <c r="L553" s="101">
        <v>0</v>
      </c>
      <c r="M553" s="101">
        <v>0</v>
      </c>
      <c r="N553" s="101">
        <v>0</v>
      </c>
      <c r="O553" s="101">
        <v>0</v>
      </c>
      <c r="P553" s="101">
        <v>0</v>
      </c>
      <c r="Q553" s="101">
        <v>0</v>
      </c>
      <c r="R553" s="101">
        <v>0</v>
      </c>
      <c r="S553" s="101">
        <v>0</v>
      </c>
      <c r="T553" s="169">
        <v>1.02</v>
      </c>
      <c r="U553" s="101">
        <f t="shared" si="46"/>
        <v>0</v>
      </c>
      <c r="V553" s="101">
        <f t="shared" si="47"/>
        <v>0</v>
      </c>
      <c r="W553" s="101">
        <f t="shared" si="48"/>
        <v>0</v>
      </c>
      <c r="X553" s="101">
        <f t="shared" si="45"/>
        <v>0</v>
      </c>
      <c r="Y553" s="101">
        <f t="shared" si="49"/>
        <v>0</v>
      </c>
    </row>
    <row r="554" spans="1:25" ht="11.25" hidden="1" customHeight="1" x14ac:dyDescent="0.3">
      <c r="A554" s="126" t="s">
        <v>182</v>
      </c>
      <c r="B554" s="126">
        <v>23</v>
      </c>
      <c r="C554" s="126">
        <v>91</v>
      </c>
      <c r="D554" s="126" t="str">
        <f t="shared" si="44"/>
        <v>2391</v>
      </c>
      <c r="J554" s="101">
        <v>36</v>
      </c>
      <c r="K554" s="101">
        <v>70</v>
      </c>
      <c r="L554" s="101">
        <v>345</v>
      </c>
      <c r="M554" s="101">
        <v>1920.2800000000002</v>
      </c>
      <c r="N554" s="101">
        <v>916.01200000000006</v>
      </c>
      <c r="O554" s="101">
        <v>47</v>
      </c>
      <c r="P554" s="101">
        <v>136</v>
      </c>
      <c r="Q554" s="101">
        <v>499</v>
      </c>
      <c r="R554" s="101">
        <v>3238.56</v>
      </c>
      <c r="S554" s="101">
        <v>1859.367</v>
      </c>
      <c r="T554" s="169">
        <v>1.02</v>
      </c>
      <c r="U554" s="101">
        <f t="shared" si="46"/>
        <v>47.94</v>
      </c>
      <c r="V554" s="101">
        <f t="shared" si="47"/>
        <v>138.72</v>
      </c>
      <c r="W554" s="101">
        <f t="shared" si="48"/>
        <v>508.98</v>
      </c>
      <c r="X554" s="101">
        <f t="shared" si="45"/>
        <v>3303.3312000000001</v>
      </c>
      <c r="Y554" s="101">
        <f t="shared" si="49"/>
        <v>1896.5543399999999</v>
      </c>
    </row>
    <row r="555" spans="1:25" ht="11.25" hidden="1" customHeight="1" x14ac:dyDescent="0.3">
      <c r="A555" s="126" t="s">
        <v>182</v>
      </c>
      <c r="B555" s="126">
        <v>23</v>
      </c>
      <c r="C555" s="126">
        <v>27</v>
      </c>
      <c r="D555" s="126" t="str">
        <f t="shared" si="44"/>
        <v>2327</v>
      </c>
      <c r="E555" s="101">
        <v>85</v>
      </c>
      <c r="F555" s="101">
        <v>920</v>
      </c>
      <c r="G555" s="101">
        <v>3349</v>
      </c>
      <c r="H555" s="101">
        <v>47780.770000000004</v>
      </c>
      <c r="I555" s="101">
        <v>17621.852999999999</v>
      </c>
      <c r="J555" s="101">
        <v>95</v>
      </c>
      <c r="K555" s="101">
        <v>2069</v>
      </c>
      <c r="L555" s="101">
        <v>7568</v>
      </c>
      <c r="M555" s="101">
        <v>95370.790000000008</v>
      </c>
      <c r="N555" s="101">
        <v>33447.997000000003</v>
      </c>
      <c r="O555" s="101">
        <v>109</v>
      </c>
      <c r="P555" s="101">
        <v>2427</v>
      </c>
      <c r="Q555" s="101">
        <v>17815</v>
      </c>
      <c r="R555" s="101">
        <v>102555.17</v>
      </c>
      <c r="S555" s="101">
        <v>40750.802000000003</v>
      </c>
      <c r="T555" s="169">
        <v>1.02</v>
      </c>
      <c r="U555" s="101">
        <f t="shared" si="46"/>
        <v>111.18</v>
      </c>
      <c r="V555" s="101">
        <f t="shared" si="47"/>
        <v>2475.54</v>
      </c>
      <c r="W555" s="101">
        <f t="shared" si="48"/>
        <v>18171.3</v>
      </c>
      <c r="X555" s="101">
        <f t="shared" si="45"/>
        <v>104606.27340000001</v>
      </c>
      <c r="Y555" s="101">
        <f t="shared" si="49"/>
        <v>41565.818040000006</v>
      </c>
    </row>
    <row r="556" spans="1:25" ht="11.25" hidden="1" customHeight="1" x14ac:dyDescent="0.3">
      <c r="A556" s="126" t="s">
        <v>182</v>
      </c>
      <c r="B556" s="126">
        <v>23</v>
      </c>
      <c r="C556" s="126">
        <v>41</v>
      </c>
      <c r="D556" s="126" t="str">
        <f t="shared" si="44"/>
        <v>2341</v>
      </c>
      <c r="O556" s="101">
        <v>2</v>
      </c>
      <c r="P556" s="101">
        <v>8</v>
      </c>
      <c r="Q556" s="101">
        <v>72</v>
      </c>
      <c r="R556" s="101">
        <v>281.58</v>
      </c>
      <c r="S556" s="101">
        <v>96.099000000000004</v>
      </c>
      <c r="T556" s="169">
        <v>1.02</v>
      </c>
      <c r="U556" s="101">
        <f t="shared" si="46"/>
        <v>2.04</v>
      </c>
      <c r="V556" s="101">
        <f t="shared" si="47"/>
        <v>8.16</v>
      </c>
      <c r="W556" s="101">
        <f t="shared" si="48"/>
        <v>73.44</v>
      </c>
      <c r="X556" s="101">
        <f t="shared" si="45"/>
        <v>287.21159999999998</v>
      </c>
      <c r="Y556" s="101">
        <f t="shared" si="49"/>
        <v>98.020980000000009</v>
      </c>
    </row>
    <row r="557" spans="1:25" ht="11.25" customHeight="1" x14ac:dyDescent="0.3">
      <c r="A557" s="126" t="s">
        <v>182</v>
      </c>
      <c r="B557" s="126">
        <v>23</v>
      </c>
      <c r="C557" s="126" t="s">
        <v>172</v>
      </c>
      <c r="D557" s="126" t="str">
        <f t="shared" si="44"/>
        <v>23Uml</v>
      </c>
      <c r="J557" s="101">
        <v>255</v>
      </c>
      <c r="K557" s="101">
        <v>314</v>
      </c>
      <c r="L557" s="101">
        <v>56836</v>
      </c>
      <c r="N557" s="101">
        <v>377041.94276300003</v>
      </c>
      <c r="O557" s="101">
        <v>317</v>
      </c>
      <c r="P557" s="101">
        <v>318</v>
      </c>
      <c r="Q557" s="101">
        <v>61232</v>
      </c>
      <c r="S557" s="101">
        <v>312305</v>
      </c>
      <c r="T557" s="169">
        <v>1.02</v>
      </c>
      <c r="U557" s="101">
        <f t="shared" si="46"/>
        <v>323.34000000000003</v>
      </c>
      <c r="V557" s="101">
        <f t="shared" si="47"/>
        <v>324.36</v>
      </c>
      <c r="W557" s="101">
        <f t="shared" si="48"/>
        <v>62456.639999999999</v>
      </c>
      <c r="X557" s="101">
        <f t="shared" si="45"/>
        <v>0</v>
      </c>
      <c r="Y557" s="101">
        <f t="shared" si="49"/>
        <v>318551.09999999998</v>
      </c>
    </row>
    <row r="558" spans="1:25" ht="11.25" hidden="1" customHeight="1" x14ac:dyDescent="0.3">
      <c r="A558" s="126" t="s">
        <v>182</v>
      </c>
      <c r="B558" s="126">
        <v>23</v>
      </c>
      <c r="C558" s="126">
        <v>37</v>
      </c>
      <c r="D558" s="126" t="str">
        <f t="shared" si="44"/>
        <v>2337</v>
      </c>
      <c r="E558" s="101">
        <v>12.25</v>
      </c>
      <c r="F558" s="101">
        <v>40</v>
      </c>
      <c r="G558" s="101">
        <v>1062.5</v>
      </c>
      <c r="H558" s="101">
        <v>5721.3074999999999</v>
      </c>
      <c r="I558" s="101">
        <v>3122.4097499999998</v>
      </c>
      <c r="J558" s="101">
        <v>27</v>
      </c>
      <c r="K558" s="101">
        <v>86</v>
      </c>
      <c r="L558" s="101">
        <v>1934</v>
      </c>
      <c r="M558" s="101">
        <v>8717.67</v>
      </c>
      <c r="N558" s="101">
        <v>2424.2539999999999</v>
      </c>
      <c r="O558" s="101">
        <v>33</v>
      </c>
      <c r="P558" s="101">
        <v>134</v>
      </c>
      <c r="Q558" s="101">
        <v>2021</v>
      </c>
      <c r="R558" s="101">
        <v>9924.36</v>
      </c>
      <c r="S558" s="101">
        <v>3726.4050000000002</v>
      </c>
      <c r="T558" s="169">
        <v>1.02</v>
      </c>
      <c r="U558" s="101">
        <f t="shared" si="46"/>
        <v>33.660000000000004</v>
      </c>
      <c r="V558" s="101">
        <f t="shared" si="47"/>
        <v>136.68</v>
      </c>
      <c r="W558" s="101">
        <f t="shared" si="48"/>
        <v>2061.42</v>
      </c>
      <c r="X558" s="101">
        <f t="shared" si="45"/>
        <v>10122.8472</v>
      </c>
      <c r="Y558" s="101">
        <f t="shared" si="49"/>
        <v>3800.9331000000002</v>
      </c>
    </row>
    <row r="559" spans="1:25" ht="11.25" hidden="1" customHeight="1" x14ac:dyDescent="0.3">
      <c r="A559" s="126" t="s">
        <v>182</v>
      </c>
      <c r="B559" s="126">
        <v>24</v>
      </c>
      <c r="C559" s="126">
        <v>12</v>
      </c>
      <c r="D559" s="126" t="str">
        <f t="shared" si="44"/>
        <v>2412</v>
      </c>
      <c r="E559" s="101">
        <v>1376</v>
      </c>
      <c r="F559" s="101">
        <v>4665</v>
      </c>
      <c r="G559" s="101">
        <v>6279</v>
      </c>
      <c r="H559" s="101">
        <v>115313.15</v>
      </c>
      <c r="I559" s="101">
        <v>52810.192999999999</v>
      </c>
      <c r="J559" s="101">
        <v>15</v>
      </c>
      <c r="K559" s="101">
        <v>21</v>
      </c>
      <c r="L559" s="101">
        <v>32</v>
      </c>
      <c r="M559" s="101">
        <v>372.95000000000005</v>
      </c>
      <c r="N559" s="101">
        <v>209.00100000000003</v>
      </c>
      <c r="O559" s="101">
        <v>11</v>
      </c>
      <c r="P559" s="101">
        <v>20</v>
      </c>
      <c r="Q559" s="101">
        <v>22</v>
      </c>
      <c r="R559" s="101">
        <v>1077.23</v>
      </c>
      <c r="S559" s="101">
        <v>242.239</v>
      </c>
      <c r="T559" s="169">
        <v>1.02</v>
      </c>
      <c r="U559" s="101">
        <f t="shared" si="46"/>
        <v>11.22</v>
      </c>
      <c r="V559" s="101">
        <f t="shared" si="47"/>
        <v>20.399999999999999</v>
      </c>
      <c r="W559" s="101">
        <f t="shared" si="48"/>
        <v>22.44</v>
      </c>
      <c r="X559" s="101">
        <f t="shared" si="45"/>
        <v>1098.7746</v>
      </c>
      <c r="Y559" s="101">
        <f t="shared" si="49"/>
        <v>247.08378000000002</v>
      </c>
    </row>
    <row r="560" spans="1:25" ht="11.25" hidden="1" customHeight="1" x14ac:dyDescent="0.3">
      <c r="A560" s="126" t="s">
        <v>182</v>
      </c>
      <c r="B560" s="126">
        <v>24</v>
      </c>
      <c r="C560" s="126">
        <v>17</v>
      </c>
      <c r="D560" s="126" t="str">
        <f t="shared" si="44"/>
        <v>2417</v>
      </c>
      <c r="E560" s="101">
        <v>3296</v>
      </c>
      <c r="F560" s="101">
        <v>4401</v>
      </c>
      <c r="G560" s="101">
        <v>6095</v>
      </c>
      <c r="H560" s="101">
        <v>190273.45999999996</v>
      </c>
      <c r="I560" s="101">
        <v>42355.165000000001</v>
      </c>
      <c r="J560" s="101">
        <v>743</v>
      </c>
      <c r="K560" s="101">
        <v>2080</v>
      </c>
      <c r="L560" s="101">
        <v>2785</v>
      </c>
      <c r="M560" s="101">
        <v>58675.18</v>
      </c>
      <c r="N560" s="101">
        <v>9627.18</v>
      </c>
      <c r="O560" s="101">
        <v>801</v>
      </c>
      <c r="P560" s="101">
        <v>1390</v>
      </c>
      <c r="Q560" s="101">
        <v>2188</v>
      </c>
      <c r="R560" s="101">
        <v>64921.919999999998</v>
      </c>
      <c r="S560" s="101">
        <v>10491.867</v>
      </c>
      <c r="T560" s="169">
        <v>1.02</v>
      </c>
      <c r="U560" s="101">
        <v>1375</v>
      </c>
      <c r="V560" s="101">
        <v>2750</v>
      </c>
      <c r="W560" s="101">
        <v>4750</v>
      </c>
      <c r="X560" s="101">
        <f t="shared" si="45"/>
        <v>66220.358399999997</v>
      </c>
      <c r="Y560" s="101">
        <v>20000</v>
      </c>
    </row>
    <row r="561" spans="1:25" ht="11.25" hidden="1" customHeight="1" x14ac:dyDescent="0.3">
      <c r="A561" s="126" t="s">
        <v>182</v>
      </c>
      <c r="B561" s="126">
        <v>24</v>
      </c>
      <c r="C561" s="126">
        <v>18</v>
      </c>
      <c r="D561" s="126" t="str">
        <f t="shared" si="44"/>
        <v>2418</v>
      </c>
      <c r="E561" s="101">
        <v>274</v>
      </c>
      <c r="F561" s="101">
        <v>364</v>
      </c>
      <c r="G561" s="101">
        <v>516</v>
      </c>
      <c r="H561" s="101">
        <v>18466.400000000001</v>
      </c>
      <c r="I561" s="101">
        <v>3476.6289999999995</v>
      </c>
      <c r="J561" s="101">
        <v>2600</v>
      </c>
      <c r="K561" s="101">
        <v>3099</v>
      </c>
      <c r="L561" s="101">
        <v>3782</v>
      </c>
      <c r="M561" s="101">
        <v>151911.82</v>
      </c>
      <c r="N561" s="101">
        <v>51183.074000000001</v>
      </c>
      <c r="O561" s="101">
        <v>1479</v>
      </c>
      <c r="P561" s="101">
        <v>1623</v>
      </c>
      <c r="Q561" s="101">
        <v>1889</v>
      </c>
      <c r="R561" s="101">
        <v>66929.460000000006</v>
      </c>
      <c r="S561" s="101">
        <v>15709.545</v>
      </c>
      <c r="T561" s="169">
        <v>0.7</v>
      </c>
      <c r="U561" s="101">
        <f t="shared" si="46"/>
        <v>1035.3</v>
      </c>
      <c r="V561" s="101">
        <f t="shared" si="47"/>
        <v>1136.0999999999999</v>
      </c>
      <c r="W561" s="101">
        <f t="shared" si="48"/>
        <v>1322.3</v>
      </c>
      <c r="X561" s="101">
        <f t="shared" si="45"/>
        <v>46850.622000000003</v>
      </c>
      <c r="Y561" s="101">
        <f t="shared" si="49"/>
        <v>10996.681499999999</v>
      </c>
    </row>
    <row r="562" spans="1:25" ht="11.25" hidden="1" customHeight="1" x14ac:dyDescent="0.3">
      <c r="A562" s="126" t="s">
        <v>182</v>
      </c>
      <c r="B562" s="126">
        <v>24</v>
      </c>
      <c r="C562" s="126">
        <v>28</v>
      </c>
      <c r="D562" s="126" t="str">
        <f t="shared" si="44"/>
        <v>2428</v>
      </c>
      <c r="E562" s="101">
        <v>271</v>
      </c>
      <c r="F562" s="101">
        <v>2147</v>
      </c>
      <c r="G562" s="101">
        <v>20018</v>
      </c>
      <c r="H562" s="101">
        <v>322002.95999999996</v>
      </c>
      <c r="I562" s="101">
        <v>68177.579999999987</v>
      </c>
      <c r="J562" s="101">
        <v>228</v>
      </c>
      <c r="K562" s="101">
        <v>3852</v>
      </c>
      <c r="L562" s="101">
        <v>23591</v>
      </c>
      <c r="M562" s="101">
        <v>398225.54</v>
      </c>
      <c r="N562" s="101">
        <v>90351.4</v>
      </c>
      <c r="O562" s="101">
        <v>296</v>
      </c>
      <c r="P562" s="101">
        <v>5006</v>
      </c>
      <c r="Q562" s="101">
        <v>67348</v>
      </c>
      <c r="R562" s="101">
        <v>1035215.86</v>
      </c>
      <c r="S562" s="101">
        <v>264218.54499999998</v>
      </c>
      <c r="T562" s="169">
        <v>1.02</v>
      </c>
      <c r="U562" s="101">
        <f t="shared" si="46"/>
        <v>301.92</v>
      </c>
      <c r="V562" s="101">
        <f t="shared" si="47"/>
        <v>5106.12</v>
      </c>
      <c r="W562" s="101">
        <f t="shared" si="48"/>
        <v>68694.960000000006</v>
      </c>
      <c r="X562" s="101">
        <f t="shared" si="45"/>
        <v>1055920.1772</v>
      </c>
      <c r="Y562" s="101">
        <f t="shared" si="49"/>
        <v>269502.91589999996</v>
      </c>
    </row>
    <row r="563" spans="1:25" ht="11.25" hidden="1" customHeight="1" x14ac:dyDescent="0.3">
      <c r="A563" s="126" t="s">
        <v>182</v>
      </c>
      <c r="B563" s="126">
        <v>24</v>
      </c>
      <c r="C563" s="126">
        <v>46</v>
      </c>
      <c r="D563" s="126" t="str">
        <f t="shared" si="44"/>
        <v>2446</v>
      </c>
      <c r="E563" s="101">
        <v>296</v>
      </c>
      <c r="F563" s="101">
        <v>655</v>
      </c>
      <c r="G563" s="101">
        <v>11708</v>
      </c>
      <c r="H563" s="101">
        <v>314778.93999999994</v>
      </c>
      <c r="I563" s="101">
        <v>126860.156</v>
      </c>
      <c r="J563" s="101">
        <v>135</v>
      </c>
      <c r="K563" s="101">
        <v>359</v>
      </c>
      <c r="L563" s="101">
        <v>7442</v>
      </c>
      <c r="M563" s="101">
        <v>158990.78</v>
      </c>
      <c r="N563" s="101">
        <v>106274.26300000001</v>
      </c>
      <c r="O563" s="101">
        <v>166</v>
      </c>
      <c r="P563" s="101">
        <v>397</v>
      </c>
      <c r="Q563" s="101">
        <v>13829</v>
      </c>
      <c r="R563" s="101">
        <v>156710.99</v>
      </c>
      <c r="S563" s="101">
        <v>49217.720999999998</v>
      </c>
      <c r="T563" s="169">
        <v>1.02</v>
      </c>
      <c r="U563" s="101">
        <f t="shared" si="46"/>
        <v>169.32</v>
      </c>
      <c r="V563" s="101">
        <f t="shared" si="47"/>
        <v>404.94</v>
      </c>
      <c r="W563" s="101">
        <f t="shared" si="48"/>
        <v>14105.58</v>
      </c>
      <c r="X563" s="101">
        <f t="shared" si="45"/>
        <v>159845.20979999998</v>
      </c>
      <c r="Y563" s="101">
        <f t="shared" si="49"/>
        <v>50202.075420000001</v>
      </c>
    </row>
    <row r="564" spans="1:25" ht="11.25" hidden="1" customHeight="1" x14ac:dyDescent="0.3">
      <c r="A564" s="126" t="s">
        <v>182</v>
      </c>
      <c r="B564" s="126">
        <v>24</v>
      </c>
      <c r="C564" s="126">
        <v>47</v>
      </c>
      <c r="D564" s="126" t="str">
        <f t="shared" si="44"/>
        <v>2447</v>
      </c>
      <c r="E564" s="101">
        <v>1</v>
      </c>
      <c r="F564" s="101">
        <v>12</v>
      </c>
      <c r="G564" s="101">
        <v>650</v>
      </c>
      <c r="H564" s="101">
        <v>7575.58</v>
      </c>
      <c r="I564" s="101">
        <v>3475.223</v>
      </c>
      <c r="J564" s="101">
        <v>0</v>
      </c>
      <c r="K564" s="101">
        <v>0</v>
      </c>
      <c r="L564" s="101">
        <v>0</v>
      </c>
      <c r="M564" s="101">
        <v>0</v>
      </c>
      <c r="N564" s="101">
        <v>0</v>
      </c>
      <c r="O564" s="101">
        <v>1</v>
      </c>
      <c r="P564" s="101">
        <v>1</v>
      </c>
      <c r="Q564" s="101">
        <v>40</v>
      </c>
      <c r="R564" s="101">
        <v>40</v>
      </c>
      <c r="S564" s="101">
        <v>1.4059999999999999</v>
      </c>
      <c r="T564" s="169">
        <v>1.02</v>
      </c>
      <c r="U564" s="101">
        <f t="shared" si="46"/>
        <v>1.02</v>
      </c>
      <c r="V564" s="101">
        <f t="shared" si="47"/>
        <v>1.02</v>
      </c>
      <c r="W564" s="101">
        <f t="shared" si="48"/>
        <v>40.799999999999997</v>
      </c>
      <c r="X564" s="101">
        <f t="shared" si="45"/>
        <v>40.799999999999997</v>
      </c>
      <c r="Y564" s="101">
        <f t="shared" si="49"/>
        <v>1.4341199999999998</v>
      </c>
    </row>
    <row r="565" spans="1:25" ht="11.25" hidden="1" customHeight="1" x14ac:dyDescent="0.3">
      <c r="A565" s="126" t="s">
        <v>182</v>
      </c>
      <c r="B565" s="126">
        <v>24</v>
      </c>
      <c r="C565" s="126">
        <v>66</v>
      </c>
      <c r="D565" s="126" t="str">
        <f t="shared" si="44"/>
        <v>2466</v>
      </c>
      <c r="E565" s="101">
        <v>230</v>
      </c>
      <c r="F565" s="101">
        <v>818</v>
      </c>
      <c r="G565" s="101">
        <v>10383</v>
      </c>
      <c r="H565" s="101">
        <v>74682.569999999992</v>
      </c>
      <c r="I565" s="101">
        <v>49936.216</v>
      </c>
      <c r="J565" s="101">
        <v>232</v>
      </c>
      <c r="K565" s="101">
        <v>1036</v>
      </c>
      <c r="L565" s="101">
        <v>17381</v>
      </c>
      <c r="M565" s="101">
        <v>87865.260000000009</v>
      </c>
      <c r="N565" s="101">
        <v>48165.435999999994</v>
      </c>
      <c r="O565" s="101">
        <v>177</v>
      </c>
      <c r="P565" s="101">
        <v>1014</v>
      </c>
      <c r="Q565" s="101">
        <v>19841</v>
      </c>
      <c r="R565" s="101">
        <v>114113.83</v>
      </c>
      <c r="S565" s="101">
        <v>56615.307000000001</v>
      </c>
      <c r="T565" s="169">
        <v>1.02</v>
      </c>
      <c r="U565" s="101">
        <f t="shared" si="46"/>
        <v>180.54</v>
      </c>
      <c r="V565" s="101">
        <f t="shared" si="47"/>
        <v>1034.28</v>
      </c>
      <c r="W565" s="101">
        <f t="shared" si="48"/>
        <v>20237.82</v>
      </c>
      <c r="X565" s="101">
        <f t="shared" si="45"/>
        <v>116396.1066</v>
      </c>
      <c r="Y565" s="101">
        <f t="shared" si="49"/>
        <v>57747.613140000001</v>
      </c>
    </row>
    <row r="566" spans="1:25" ht="10.5" hidden="1" customHeight="1" x14ac:dyDescent="0.3">
      <c r="A566" s="126" t="s">
        <v>182</v>
      </c>
      <c r="B566" s="126">
        <v>24</v>
      </c>
      <c r="C566" s="126">
        <v>30</v>
      </c>
      <c r="D566" s="126" t="str">
        <f t="shared" si="44"/>
        <v>2430</v>
      </c>
      <c r="E566" s="101">
        <v>362</v>
      </c>
      <c r="F566" s="101">
        <v>2071.5</v>
      </c>
      <c r="G566" s="101">
        <v>8196.5</v>
      </c>
      <c r="H566" s="101">
        <v>199275.41500000001</v>
      </c>
      <c r="I566" s="101">
        <v>62466.361000000004</v>
      </c>
      <c r="J566" s="101">
        <v>0</v>
      </c>
      <c r="K566" s="101">
        <v>0</v>
      </c>
      <c r="L566" s="101">
        <v>0</v>
      </c>
      <c r="M566" s="101">
        <v>0</v>
      </c>
      <c r="N566" s="101">
        <v>0</v>
      </c>
      <c r="O566" s="101">
        <v>26</v>
      </c>
      <c r="P566" s="101">
        <v>29</v>
      </c>
      <c r="Q566" s="101">
        <v>176</v>
      </c>
      <c r="R566" s="101">
        <v>11402.9</v>
      </c>
      <c r="S566" s="101">
        <v>5786.85</v>
      </c>
      <c r="T566" s="169">
        <v>1.02</v>
      </c>
      <c r="U566" s="101">
        <f t="shared" si="46"/>
        <v>26.52</v>
      </c>
      <c r="V566" s="101">
        <f t="shared" si="47"/>
        <v>29.580000000000002</v>
      </c>
      <c r="W566" s="101">
        <f t="shared" si="48"/>
        <v>179.52</v>
      </c>
      <c r="X566" s="101">
        <f t="shared" si="45"/>
        <v>11630.958000000001</v>
      </c>
      <c r="Y566" s="101">
        <f t="shared" si="49"/>
        <v>5902.5870000000004</v>
      </c>
    </row>
    <row r="567" spans="1:25" ht="11.25" hidden="1" customHeight="1" x14ac:dyDescent="0.3">
      <c r="A567" s="126" t="s">
        <v>182</v>
      </c>
      <c r="B567" s="126">
        <v>24</v>
      </c>
      <c r="C567" s="126">
        <v>21</v>
      </c>
      <c r="D567" s="126" t="str">
        <f t="shared" si="44"/>
        <v>2421</v>
      </c>
      <c r="E567" s="101">
        <v>967.5</v>
      </c>
      <c r="F567" s="101">
        <v>4118.5</v>
      </c>
      <c r="G567" s="101">
        <v>23010.5</v>
      </c>
      <c r="H567" s="101">
        <v>385586.185</v>
      </c>
      <c r="I567" s="101">
        <v>120051.48599999999</v>
      </c>
      <c r="J567" s="101">
        <v>790</v>
      </c>
      <c r="K567" s="101">
        <v>6099</v>
      </c>
      <c r="L567" s="101">
        <v>32018</v>
      </c>
      <c r="M567" s="101">
        <v>411349.15</v>
      </c>
      <c r="N567" s="101">
        <v>136412.93599999999</v>
      </c>
      <c r="O567" s="101">
        <v>883</v>
      </c>
      <c r="P567" s="101">
        <v>6856</v>
      </c>
      <c r="Q567" s="101">
        <v>43826</v>
      </c>
      <c r="R567" s="101">
        <v>438309.62</v>
      </c>
      <c r="S567" s="101">
        <v>142755.405</v>
      </c>
      <c r="T567" s="169">
        <v>1.02</v>
      </c>
      <c r="U567" s="101">
        <f>O567*T567-7</f>
        <v>893.66</v>
      </c>
      <c r="V567" s="101">
        <f>P567*T567-48</f>
        <v>6945.12</v>
      </c>
      <c r="W567" s="101">
        <f>Q567*T567-3826</f>
        <v>40876.520000000004</v>
      </c>
      <c r="X567" s="101">
        <f>R567*T567-36630</f>
        <v>410445.8124</v>
      </c>
      <c r="Y567" s="101">
        <f>S567*T567-16732</f>
        <v>128878.51310000001</v>
      </c>
    </row>
    <row r="568" spans="1:25" ht="11.25" hidden="1" customHeight="1" x14ac:dyDescent="0.3">
      <c r="A568" s="126" t="s">
        <v>182</v>
      </c>
      <c r="B568" s="126">
        <v>24</v>
      </c>
      <c r="C568" s="126">
        <v>71</v>
      </c>
      <c r="D568" s="126" t="str">
        <f t="shared" si="44"/>
        <v>2471</v>
      </c>
      <c r="E568" s="101">
        <v>584.5</v>
      </c>
      <c r="F568" s="101">
        <v>4314.5</v>
      </c>
      <c r="G568" s="101">
        <v>11321</v>
      </c>
      <c r="H568" s="101">
        <v>114063.16</v>
      </c>
      <c r="I568" s="101">
        <v>69091.254000000001</v>
      </c>
      <c r="J568" s="101">
        <v>402</v>
      </c>
      <c r="K568" s="101">
        <v>6121</v>
      </c>
      <c r="L568" s="101">
        <v>29006</v>
      </c>
      <c r="M568" s="101">
        <v>233469.06</v>
      </c>
      <c r="N568" s="101">
        <v>128985.363</v>
      </c>
      <c r="O568" s="101">
        <v>472</v>
      </c>
      <c r="P568" s="101">
        <v>5965</v>
      </c>
      <c r="Q568" s="101">
        <v>98544</v>
      </c>
      <c r="R568" s="101">
        <v>182770.47</v>
      </c>
      <c r="S568" s="101">
        <v>122985.345</v>
      </c>
      <c r="T568" s="169">
        <v>0.98</v>
      </c>
      <c r="U568" s="101">
        <f t="shared" si="46"/>
        <v>462.56</v>
      </c>
      <c r="V568" s="101">
        <f t="shared" si="47"/>
        <v>5845.7</v>
      </c>
      <c r="W568" s="101">
        <f t="shared" si="48"/>
        <v>96573.119999999995</v>
      </c>
      <c r="X568" s="101">
        <f t="shared" si="45"/>
        <v>179115.0606</v>
      </c>
      <c r="Y568" s="101">
        <f t="shared" si="49"/>
        <v>120525.6381</v>
      </c>
    </row>
    <row r="569" spans="1:25" ht="11.25" hidden="1" customHeight="1" x14ac:dyDescent="0.3">
      <c r="A569" s="126" t="s">
        <v>182</v>
      </c>
      <c r="B569" s="126">
        <v>24</v>
      </c>
      <c r="C569" s="126">
        <v>25</v>
      </c>
      <c r="D569" s="126" t="str">
        <f t="shared" si="44"/>
        <v>2425</v>
      </c>
      <c r="E569" s="101">
        <v>882</v>
      </c>
      <c r="F569" s="101">
        <v>4906</v>
      </c>
      <c r="G569" s="101">
        <v>44236</v>
      </c>
      <c r="H569" s="101">
        <v>399876.45</v>
      </c>
      <c r="I569" s="101">
        <v>215869.30799999999</v>
      </c>
      <c r="J569" s="101">
        <v>546</v>
      </c>
      <c r="K569" s="101">
        <v>4993</v>
      </c>
      <c r="L569" s="101">
        <v>18335</v>
      </c>
      <c r="M569" s="101">
        <v>204467.62000000002</v>
      </c>
      <c r="N569" s="101">
        <v>98198.54</v>
      </c>
      <c r="O569" s="101">
        <v>616</v>
      </c>
      <c r="P569" s="101">
        <v>4764</v>
      </c>
      <c r="Q569" s="101">
        <v>24128</v>
      </c>
      <c r="R569" s="101">
        <v>248433.64</v>
      </c>
      <c r="S569" s="101">
        <v>95577.744999999995</v>
      </c>
      <c r="T569" s="169">
        <v>1.02</v>
      </c>
      <c r="U569" s="101">
        <f t="shared" si="46"/>
        <v>628.32000000000005</v>
      </c>
      <c r="V569" s="101">
        <f t="shared" si="47"/>
        <v>4859.28</v>
      </c>
      <c r="W569" s="101">
        <f t="shared" si="48"/>
        <v>24610.560000000001</v>
      </c>
      <c r="X569" s="101">
        <f t="shared" si="45"/>
        <v>253402.31280000001</v>
      </c>
      <c r="Y569" s="101">
        <f t="shared" si="49"/>
        <v>97489.299899999998</v>
      </c>
    </row>
    <row r="570" spans="1:25" ht="11.25" hidden="1" customHeight="1" x14ac:dyDescent="0.3">
      <c r="A570" s="126" t="s">
        <v>182</v>
      </c>
      <c r="B570" s="126">
        <v>24</v>
      </c>
      <c r="C570" s="126">
        <v>14</v>
      </c>
      <c r="D570" s="126" t="str">
        <f t="shared" si="44"/>
        <v>2414</v>
      </c>
      <c r="J570" s="101">
        <v>7</v>
      </c>
      <c r="K570" s="101">
        <v>11</v>
      </c>
      <c r="L570" s="101">
        <v>14</v>
      </c>
      <c r="M570" s="101">
        <v>1390.2100000000003</v>
      </c>
      <c r="N570" s="101">
        <v>264.07099999999997</v>
      </c>
      <c r="O570" s="101">
        <v>31</v>
      </c>
      <c r="P570" s="101">
        <v>48</v>
      </c>
      <c r="Q570" s="101">
        <v>69</v>
      </c>
      <c r="R570" s="101">
        <v>5074.3500000000004</v>
      </c>
      <c r="S570" s="101">
        <v>709.03300000000002</v>
      </c>
      <c r="T570" s="169">
        <v>1.02</v>
      </c>
      <c r="U570" s="101">
        <f t="shared" si="46"/>
        <v>31.62</v>
      </c>
      <c r="V570" s="101">
        <f t="shared" si="47"/>
        <v>48.96</v>
      </c>
      <c r="W570" s="101">
        <f t="shared" si="48"/>
        <v>70.38</v>
      </c>
      <c r="X570" s="101">
        <f t="shared" si="45"/>
        <v>5175.8370000000004</v>
      </c>
      <c r="Y570" s="101">
        <f t="shared" si="49"/>
        <v>723.21366</v>
      </c>
    </row>
    <row r="571" spans="1:25" ht="11.25" hidden="1" customHeight="1" x14ac:dyDescent="0.3">
      <c r="A571" s="126" t="s">
        <v>182</v>
      </c>
      <c r="B571" s="126">
        <v>24</v>
      </c>
      <c r="C571" s="126">
        <v>22</v>
      </c>
      <c r="D571" s="126" t="str">
        <f t="shared" si="44"/>
        <v>2422</v>
      </c>
      <c r="J571" s="101">
        <v>9</v>
      </c>
      <c r="K571" s="101">
        <v>11</v>
      </c>
      <c r="L571" s="101">
        <v>44</v>
      </c>
      <c r="M571" s="101">
        <v>378.37</v>
      </c>
      <c r="N571" s="101">
        <v>733.26699999999994</v>
      </c>
      <c r="O571" s="101">
        <v>42</v>
      </c>
      <c r="P571" s="101">
        <v>104</v>
      </c>
      <c r="Q571" s="101">
        <v>669</v>
      </c>
      <c r="R571" s="101">
        <v>15041.33</v>
      </c>
      <c r="S571" s="101">
        <v>11208.397000000001</v>
      </c>
      <c r="T571" s="169">
        <v>1.02</v>
      </c>
      <c r="U571" s="101">
        <f t="shared" si="46"/>
        <v>42.84</v>
      </c>
      <c r="V571" s="101">
        <f t="shared" si="47"/>
        <v>106.08</v>
      </c>
      <c r="W571" s="101">
        <f t="shared" si="48"/>
        <v>682.38</v>
      </c>
      <c r="X571" s="101">
        <f t="shared" si="45"/>
        <v>15342.1566</v>
      </c>
      <c r="Y571" s="101">
        <f t="shared" si="49"/>
        <v>11432.56494</v>
      </c>
    </row>
    <row r="572" spans="1:25" ht="11.25" hidden="1" customHeight="1" x14ac:dyDescent="0.3">
      <c r="A572" s="126" t="s">
        <v>182</v>
      </c>
      <c r="B572" s="126">
        <v>24</v>
      </c>
      <c r="C572" s="126">
        <v>26</v>
      </c>
      <c r="D572" s="126" t="str">
        <f t="shared" si="44"/>
        <v>2426</v>
      </c>
      <c r="J572" s="101">
        <v>3</v>
      </c>
      <c r="K572" s="101">
        <v>6</v>
      </c>
      <c r="L572" s="101">
        <v>7</v>
      </c>
      <c r="M572" s="101">
        <v>142.76</v>
      </c>
      <c r="N572" s="101">
        <v>46.694999999999993</v>
      </c>
      <c r="O572" s="101">
        <v>5</v>
      </c>
      <c r="P572" s="101">
        <v>20</v>
      </c>
      <c r="Q572" s="101">
        <v>101</v>
      </c>
      <c r="R572" s="101">
        <v>3920.45</v>
      </c>
      <c r="S572" s="101">
        <v>1608.345</v>
      </c>
      <c r="T572" s="169">
        <v>1.02</v>
      </c>
      <c r="U572" s="101">
        <f t="shared" si="46"/>
        <v>5.0999999999999996</v>
      </c>
      <c r="V572" s="101">
        <f t="shared" si="47"/>
        <v>20.399999999999999</v>
      </c>
      <c r="W572" s="101">
        <f t="shared" si="48"/>
        <v>103.02</v>
      </c>
      <c r="X572" s="101">
        <f t="shared" si="45"/>
        <v>3998.8589999999999</v>
      </c>
      <c r="Y572" s="101">
        <f t="shared" si="49"/>
        <v>1640.5119</v>
      </c>
    </row>
    <row r="573" spans="1:25" ht="11.25" hidden="1" customHeight="1" x14ac:dyDescent="0.3">
      <c r="A573" s="126" t="s">
        <v>182</v>
      </c>
      <c r="B573" s="126">
        <v>24</v>
      </c>
      <c r="C573" s="126">
        <v>32</v>
      </c>
      <c r="D573" s="126" t="str">
        <f t="shared" si="44"/>
        <v>2432</v>
      </c>
      <c r="J573" s="101">
        <v>35</v>
      </c>
      <c r="K573" s="101">
        <v>66</v>
      </c>
      <c r="L573" s="101">
        <v>5321</v>
      </c>
      <c r="M573" s="101">
        <v>84146.209999999992</v>
      </c>
      <c r="N573" s="101">
        <v>27931.86</v>
      </c>
      <c r="O573" s="101">
        <v>46</v>
      </c>
      <c r="P573" s="101">
        <v>224</v>
      </c>
      <c r="Q573" s="101">
        <v>4890</v>
      </c>
      <c r="R573" s="101">
        <v>56648.85</v>
      </c>
      <c r="S573" s="101">
        <v>19244.767</v>
      </c>
      <c r="T573" s="169">
        <v>1.02</v>
      </c>
      <c r="U573" s="101">
        <f t="shared" si="46"/>
        <v>46.92</v>
      </c>
      <c r="V573" s="101">
        <f t="shared" si="47"/>
        <v>228.48000000000002</v>
      </c>
      <c r="W573" s="101">
        <f t="shared" si="48"/>
        <v>4987.8</v>
      </c>
      <c r="X573" s="101">
        <f t="shared" si="45"/>
        <v>57781.826999999997</v>
      </c>
      <c r="Y573" s="101">
        <f t="shared" si="49"/>
        <v>19629.662339999999</v>
      </c>
    </row>
    <row r="574" spans="1:25" ht="11.25" hidden="1" customHeight="1" x14ac:dyDescent="0.3">
      <c r="A574" s="126" t="s">
        <v>182</v>
      </c>
      <c r="B574" s="126">
        <v>24</v>
      </c>
      <c r="C574" s="126">
        <v>43</v>
      </c>
      <c r="D574" s="126" t="str">
        <f t="shared" si="44"/>
        <v>2443</v>
      </c>
      <c r="J574" s="101">
        <v>0</v>
      </c>
      <c r="K574" s="101">
        <v>0</v>
      </c>
      <c r="L574" s="101">
        <v>0</v>
      </c>
      <c r="M574" s="101">
        <v>0</v>
      </c>
      <c r="N574" s="101">
        <v>0</v>
      </c>
      <c r="O574" s="101">
        <v>0</v>
      </c>
      <c r="P574" s="101">
        <v>0</v>
      </c>
      <c r="Q574" s="101">
        <v>0</v>
      </c>
      <c r="R574" s="101">
        <v>0</v>
      </c>
      <c r="S574" s="101">
        <v>0</v>
      </c>
      <c r="T574" s="169">
        <v>1.02</v>
      </c>
      <c r="U574" s="101">
        <f t="shared" si="46"/>
        <v>0</v>
      </c>
      <c r="V574" s="101">
        <f t="shared" si="47"/>
        <v>0</v>
      </c>
      <c r="W574" s="101">
        <f t="shared" si="48"/>
        <v>0</v>
      </c>
      <c r="X574" s="101">
        <f t="shared" si="45"/>
        <v>0</v>
      </c>
      <c r="Y574" s="101">
        <f t="shared" si="49"/>
        <v>0</v>
      </c>
    </row>
    <row r="575" spans="1:25" ht="11.25" hidden="1" customHeight="1" x14ac:dyDescent="0.3">
      <c r="A575" s="126" t="s">
        <v>182</v>
      </c>
      <c r="B575" s="126">
        <v>24</v>
      </c>
      <c r="C575" s="126">
        <v>44</v>
      </c>
      <c r="D575" s="126" t="str">
        <f t="shared" si="44"/>
        <v>2444</v>
      </c>
      <c r="J575" s="101">
        <v>0</v>
      </c>
      <c r="K575" s="101">
        <v>0</v>
      </c>
      <c r="L575" s="101">
        <v>0</v>
      </c>
      <c r="M575" s="101">
        <v>0</v>
      </c>
      <c r="N575" s="101">
        <v>0</v>
      </c>
      <c r="O575" s="101">
        <v>0</v>
      </c>
      <c r="P575" s="101">
        <v>0</v>
      </c>
      <c r="Q575" s="101">
        <v>0</v>
      </c>
      <c r="R575" s="101">
        <v>0</v>
      </c>
      <c r="S575" s="101">
        <v>0</v>
      </c>
      <c r="T575" s="169">
        <v>1.02</v>
      </c>
      <c r="U575" s="101">
        <f t="shared" si="46"/>
        <v>0</v>
      </c>
      <c r="V575" s="101">
        <f t="shared" si="47"/>
        <v>0</v>
      </c>
      <c r="W575" s="101">
        <f t="shared" si="48"/>
        <v>0</v>
      </c>
      <c r="X575" s="101">
        <f t="shared" si="45"/>
        <v>0</v>
      </c>
      <c r="Y575" s="101">
        <f t="shared" si="49"/>
        <v>0</v>
      </c>
    </row>
    <row r="576" spans="1:25" ht="11.25" hidden="1" customHeight="1" x14ac:dyDescent="0.3">
      <c r="A576" s="126" t="s">
        <v>182</v>
      </c>
      <c r="B576" s="126">
        <v>24</v>
      </c>
      <c r="C576" s="126">
        <v>45</v>
      </c>
      <c r="D576" s="126" t="str">
        <f t="shared" si="44"/>
        <v>2445</v>
      </c>
      <c r="J576" s="101">
        <v>0</v>
      </c>
      <c r="K576" s="101">
        <v>0</v>
      </c>
      <c r="L576" s="101">
        <v>0</v>
      </c>
      <c r="M576" s="101">
        <v>0</v>
      </c>
      <c r="N576" s="101">
        <v>0</v>
      </c>
      <c r="O576" s="101">
        <v>0</v>
      </c>
      <c r="P576" s="101">
        <v>0</v>
      </c>
      <c r="Q576" s="101">
        <v>0</v>
      </c>
      <c r="R576" s="101">
        <v>0</v>
      </c>
      <c r="S576" s="101">
        <v>0</v>
      </c>
      <c r="T576" s="169">
        <v>1.02</v>
      </c>
      <c r="U576" s="101">
        <f t="shared" si="46"/>
        <v>0</v>
      </c>
      <c r="V576" s="101">
        <f t="shared" si="47"/>
        <v>0</v>
      </c>
      <c r="W576" s="101">
        <f t="shared" si="48"/>
        <v>0</v>
      </c>
      <c r="X576" s="101">
        <f t="shared" si="45"/>
        <v>0</v>
      </c>
      <c r="Y576" s="101">
        <f t="shared" si="49"/>
        <v>0</v>
      </c>
    </row>
    <row r="577" spans="1:25" ht="11.25" hidden="1" customHeight="1" x14ac:dyDescent="0.3">
      <c r="A577" s="126" t="s">
        <v>182</v>
      </c>
      <c r="B577" s="126">
        <v>24</v>
      </c>
      <c r="C577" s="126">
        <v>48</v>
      </c>
      <c r="D577" s="126" t="str">
        <f t="shared" si="44"/>
        <v>2448</v>
      </c>
      <c r="J577" s="101">
        <v>0</v>
      </c>
      <c r="K577" s="101">
        <v>0</v>
      </c>
      <c r="L577" s="101">
        <v>0</v>
      </c>
      <c r="M577" s="101">
        <v>0</v>
      </c>
      <c r="N577" s="101">
        <v>0</v>
      </c>
      <c r="O577" s="101">
        <v>0</v>
      </c>
      <c r="P577" s="101">
        <v>0</v>
      </c>
      <c r="Q577" s="101">
        <v>0</v>
      </c>
      <c r="R577" s="101">
        <v>0</v>
      </c>
      <c r="S577" s="101">
        <v>0</v>
      </c>
      <c r="T577" s="169">
        <v>1.02</v>
      </c>
      <c r="U577" s="101">
        <f t="shared" si="46"/>
        <v>0</v>
      </c>
      <c r="V577" s="101">
        <f t="shared" si="47"/>
        <v>0</v>
      </c>
      <c r="W577" s="101">
        <f t="shared" si="48"/>
        <v>0</v>
      </c>
      <c r="X577" s="101">
        <f t="shared" si="45"/>
        <v>0</v>
      </c>
      <c r="Y577" s="101">
        <f t="shared" si="49"/>
        <v>0</v>
      </c>
    </row>
    <row r="578" spans="1:25" ht="11.25" hidden="1" customHeight="1" x14ac:dyDescent="0.3">
      <c r="A578" s="126" t="s">
        <v>182</v>
      </c>
      <c r="B578" s="126">
        <v>24</v>
      </c>
      <c r="C578" s="126">
        <v>91</v>
      </c>
      <c r="D578" s="126" t="str">
        <f t="shared" si="44"/>
        <v>2491</v>
      </c>
      <c r="J578" s="101">
        <v>65</v>
      </c>
      <c r="K578" s="101">
        <v>183</v>
      </c>
      <c r="L578" s="101">
        <v>1138</v>
      </c>
      <c r="M578" s="101">
        <v>5745.62</v>
      </c>
      <c r="N578" s="101">
        <v>3643.1489999999999</v>
      </c>
      <c r="O578" s="101">
        <v>33</v>
      </c>
      <c r="P578" s="101">
        <v>107</v>
      </c>
      <c r="Q578" s="101">
        <v>534</v>
      </c>
      <c r="R578" s="101">
        <v>2929.76</v>
      </c>
      <c r="S578" s="101">
        <v>1397.9949999999999</v>
      </c>
      <c r="T578" s="169">
        <v>1.02</v>
      </c>
      <c r="U578" s="101">
        <f t="shared" si="46"/>
        <v>33.660000000000004</v>
      </c>
      <c r="V578" s="101">
        <f t="shared" si="47"/>
        <v>109.14</v>
      </c>
      <c r="W578" s="101">
        <f t="shared" si="48"/>
        <v>544.68000000000006</v>
      </c>
      <c r="X578" s="101">
        <f t="shared" si="45"/>
        <v>2988.3552000000004</v>
      </c>
      <c r="Y578" s="101">
        <f t="shared" si="49"/>
        <v>1425.9549</v>
      </c>
    </row>
    <row r="579" spans="1:25" ht="11.25" hidden="1" customHeight="1" x14ac:dyDescent="0.3">
      <c r="A579" s="126" t="s">
        <v>182</v>
      </c>
      <c r="B579" s="126">
        <v>24</v>
      </c>
      <c r="C579" s="126">
        <v>27</v>
      </c>
      <c r="D579" s="126" t="str">
        <f t="shared" si="44"/>
        <v>2427</v>
      </c>
      <c r="E579" s="101">
        <v>73</v>
      </c>
      <c r="F579" s="101">
        <v>848</v>
      </c>
      <c r="G579" s="101">
        <v>3640</v>
      </c>
      <c r="H579" s="101">
        <v>60372.479999999996</v>
      </c>
      <c r="I579" s="101">
        <v>23820.040000000005</v>
      </c>
      <c r="J579" s="101">
        <v>69</v>
      </c>
      <c r="K579" s="101">
        <v>1768</v>
      </c>
      <c r="L579" s="101">
        <v>12334</v>
      </c>
      <c r="M579" s="101">
        <v>138860.69</v>
      </c>
      <c r="N579" s="101">
        <v>52826.108</v>
      </c>
      <c r="O579" s="101">
        <v>104</v>
      </c>
      <c r="P579" s="101">
        <v>2329</v>
      </c>
      <c r="Q579" s="101">
        <v>31411</v>
      </c>
      <c r="R579" s="101">
        <v>112772.48</v>
      </c>
      <c r="S579" s="101">
        <v>55919.478000000003</v>
      </c>
      <c r="T579" s="169">
        <v>1.02</v>
      </c>
      <c r="U579" s="101">
        <f t="shared" si="46"/>
        <v>106.08</v>
      </c>
      <c r="V579" s="101">
        <f t="shared" si="47"/>
        <v>2375.58</v>
      </c>
      <c r="W579" s="101">
        <f t="shared" si="48"/>
        <v>32039.22</v>
      </c>
      <c r="X579" s="101">
        <f t="shared" si="45"/>
        <v>115027.9296</v>
      </c>
      <c r="Y579" s="101">
        <f t="shared" si="49"/>
        <v>57037.867560000006</v>
      </c>
    </row>
    <row r="580" spans="1:25" ht="11.25" customHeight="1" x14ac:dyDescent="0.3">
      <c r="A580" s="126" t="s">
        <v>182</v>
      </c>
      <c r="B580" s="126">
        <v>24</v>
      </c>
      <c r="C580" s="126" t="s">
        <v>172</v>
      </c>
      <c r="D580" s="126" t="str">
        <f t="shared" si="44"/>
        <v>24Uml</v>
      </c>
      <c r="J580" s="101">
        <v>222</v>
      </c>
      <c r="K580" s="101">
        <v>256</v>
      </c>
      <c r="L580" s="101">
        <v>66413</v>
      </c>
      <c r="N580" s="101">
        <v>527528</v>
      </c>
      <c r="O580" s="101">
        <v>426</v>
      </c>
      <c r="P580" s="101">
        <v>428</v>
      </c>
      <c r="Q580" s="101">
        <v>83272</v>
      </c>
      <c r="S580" s="101">
        <v>352670</v>
      </c>
      <c r="T580" s="169">
        <v>1.02</v>
      </c>
      <c r="U580" s="101">
        <f t="shared" si="46"/>
        <v>434.52</v>
      </c>
      <c r="V580" s="101">
        <f t="shared" si="47"/>
        <v>436.56</v>
      </c>
      <c r="W580" s="101">
        <f t="shared" si="48"/>
        <v>84937.44</v>
      </c>
      <c r="X580" s="101">
        <f t="shared" si="45"/>
        <v>0</v>
      </c>
      <c r="Y580" s="101">
        <f t="shared" si="49"/>
        <v>359723.4</v>
      </c>
    </row>
    <row r="581" spans="1:25" ht="11.25" hidden="1" customHeight="1" x14ac:dyDescent="0.3">
      <c r="A581" s="126" t="s">
        <v>182</v>
      </c>
      <c r="B581" s="126">
        <v>24</v>
      </c>
      <c r="C581" s="126">
        <v>37</v>
      </c>
      <c r="D581" s="126" t="str">
        <f t="shared" si="44"/>
        <v>2437</v>
      </c>
      <c r="E581" s="101">
        <v>8.75</v>
      </c>
      <c r="F581" s="101">
        <v>124.75</v>
      </c>
      <c r="G581" s="101">
        <v>678.25</v>
      </c>
      <c r="H581" s="101">
        <v>2190.5450000000001</v>
      </c>
      <c r="I581" s="101">
        <v>3851.6675000000005</v>
      </c>
      <c r="J581" s="101">
        <v>24</v>
      </c>
      <c r="K581" s="101">
        <v>96</v>
      </c>
      <c r="L581" s="101">
        <v>3153</v>
      </c>
      <c r="M581" s="101">
        <v>16590.63</v>
      </c>
      <c r="N581" s="101">
        <v>9975.8220000000001</v>
      </c>
      <c r="O581" s="101">
        <v>38</v>
      </c>
      <c r="P581" s="101">
        <v>169</v>
      </c>
      <c r="Q581" s="101">
        <v>3056</v>
      </c>
      <c r="R581" s="101">
        <v>26666.71</v>
      </c>
      <c r="S581" s="101">
        <v>13665.793</v>
      </c>
      <c r="T581" s="169">
        <v>1.02</v>
      </c>
      <c r="U581" s="101">
        <f t="shared" si="46"/>
        <v>38.76</v>
      </c>
      <c r="V581" s="101">
        <f t="shared" si="47"/>
        <v>172.38</v>
      </c>
      <c r="W581" s="101">
        <f t="shared" si="48"/>
        <v>3117.12</v>
      </c>
      <c r="X581" s="101">
        <f t="shared" si="45"/>
        <v>27200.0442</v>
      </c>
      <c r="Y581" s="101">
        <f t="shared" si="49"/>
        <v>13939.10886</v>
      </c>
    </row>
    <row r="582" spans="1:25" ht="11.25" hidden="1" customHeight="1" x14ac:dyDescent="0.3">
      <c r="A582" s="126" t="s">
        <v>182</v>
      </c>
      <c r="B582" s="126">
        <v>25</v>
      </c>
      <c r="C582" s="126">
        <v>12</v>
      </c>
      <c r="D582" s="126" t="str">
        <f t="shared" si="44"/>
        <v>2512</v>
      </c>
      <c r="E582" s="101">
        <v>4151</v>
      </c>
      <c r="F582" s="101">
        <v>9440</v>
      </c>
      <c r="G582" s="101">
        <v>13382</v>
      </c>
      <c r="H582" s="101">
        <v>186787.25</v>
      </c>
      <c r="I582" s="101">
        <v>90785.016000000003</v>
      </c>
      <c r="J582" s="101">
        <v>28</v>
      </c>
      <c r="K582" s="101">
        <v>43</v>
      </c>
      <c r="L582" s="101">
        <v>82</v>
      </c>
      <c r="M582" s="101">
        <v>1203.51</v>
      </c>
      <c r="N582" s="101">
        <v>203.09100000000001</v>
      </c>
      <c r="O582" s="101">
        <v>15</v>
      </c>
      <c r="P582" s="101">
        <v>17</v>
      </c>
      <c r="Q582" s="101">
        <v>20</v>
      </c>
      <c r="R582" s="101">
        <v>1084.68</v>
      </c>
      <c r="S582" s="101">
        <v>112.604</v>
      </c>
      <c r="T582" s="169">
        <v>1.02</v>
      </c>
      <c r="U582" s="101">
        <f t="shared" si="46"/>
        <v>15.3</v>
      </c>
      <c r="V582" s="101">
        <f t="shared" si="47"/>
        <v>17.34</v>
      </c>
      <c r="W582" s="101">
        <f t="shared" si="48"/>
        <v>20.399999999999999</v>
      </c>
      <c r="X582" s="101">
        <f t="shared" ref="X582:X645" si="50">R582*T582</f>
        <v>1106.3736000000001</v>
      </c>
      <c r="Y582" s="101">
        <f t="shared" si="49"/>
        <v>114.85608000000001</v>
      </c>
    </row>
    <row r="583" spans="1:25" ht="11.25" hidden="1" customHeight="1" x14ac:dyDescent="0.3">
      <c r="A583" s="126" t="s">
        <v>182</v>
      </c>
      <c r="B583" s="126">
        <v>25</v>
      </c>
      <c r="C583" s="126">
        <v>17</v>
      </c>
      <c r="D583" s="126" t="str">
        <f t="shared" si="44"/>
        <v>2517</v>
      </c>
      <c r="E583" s="101">
        <v>2724</v>
      </c>
      <c r="F583" s="101">
        <v>3638</v>
      </c>
      <c r="G583" s="101">
        <v>4829</v>
      </c>
      <c r="H583" s="101">
        <v>178709.36</v>
      </c>
      <c r="I583" s="101">
        <v>39271.026000000005</v>
      </c>
      <c r="J583" s="101">
        <v>705</v>
      </c>
      <c r="K583" s="101">
        <v>1801</v>
      </c>
      <c r="L583" s="101">
        <v>2574</v>
      </c>
      <c r="M583" s="101">
        <v>50825.23</v>
      </c>
      <c r="N583" s="101">
        <v>8395.1260000000002</v>
      </c>
      <c r="O583" s="101">
        <v>2745</v>
      </c>
      <c r="P583" s="101">
        <v>9349</v>
      </c>
      <c r="Q583" s="101">
        <v>14172</v>
      </c>
      <c r="R583" s="101">
        <v>223629.11</v>
      </c>
      <c r="S583" s="101">
        <v>72229.118000000002</v>
      </c>
      <c r="T583" s="169">
        <v>1.02</v>
      </c>
      <c r="U583" s="101">
        <f>1375+(0.7*4290)</f>
        <v>4378</v>
      </c>
      <c r="V583" s="101">
        <f>2750+(0.7*10753)-1000</f>
        <v>9277.0999999999985</v>
      </c>
      <c r="W583" s="101">
        <f>4750+(0.7*9178)</f>
        <v>11174.599999999999</v>
      </c>
      <c r="X583" s="101">
        <f t="shared" si="50"/>
        <v>228101.69219999999</v>
      </c>
      <c r="Y583" s="101">
        <v>60000</v>
      </c>
    </row>
    <row r="584" spans="1:25" ht="11.25" hidden="1" customHeight="1" x14ac:dyDescent="0.3">
      <c r="A584" s="126" t="s">
        <v>182</v>
      </c>
      <c r="B584" s="126">
        <v>25</v>
      </c>
      <c r="C584" s="126">
        <v>18</v>
      </c>
      <c r="D584" s="126" t="str">
        <f t="shared" si="44"/>
        <v>2518</v>
      </c>
      <c r="E584" s="101">
        <v>248</v>
      </c>
      <c r="F584" s="101">
        <v>360</v>
      </c>
      <c r="G584" s="101">
        <v>560</v>
      </c>
      <c r="H584" s="101">
        <v>18715.900000000001</v>
      </c>
      <c r="I584" s="101">
        <v>2824.1859999999997</v>
      </c>
      <c r="J584" s="101">
        <v>1494</v>
      </c>
      <c r="K584" s="101">
        <v>1680</v>
      </c>
      <c r="L584" s="101">
        <v>1925</v>
      </c>
      <c r="M584" s="101">
        <v>78670.42</v>
      </c>
      <c r="N584" s="101">
        <v>16845.556</v>
      </c>
      <c r="O584" s="101">
        <v>1681</v>
      </c>
      <c r="P584" s="101">
        <v>1881</v>
      </c>
      <c r="Q584" s="101">
        <v>6828</v>
      </c>
      <c r="R584" s="101">
        <v>113391.89000000001</v>
      </c>
      <c r="S584" s="101">
        <v>132503.02100000001</v>
      </c>
      <c r="T584" s="169">
        <v>0.7</v>
      </c>
      <c r="U584" s="101">
        <f t="shared" ref="U584:U647" si="51">O584*T584</f>
        <v>1176.6999999999998</v>
      </c>
      <c r="V584" s="101">
        <f t="shared" ref="V584:V647" si="52">P584*T584</f>
        <v>1316.6999999999998</v>
      </c>
      <c r="W584" s="101">
        <f t="shared" ref="W584:W647" si="53">Q584*T584</f>
        <v>4779.5999999999995</v>
      </c>
      <c r="X584" s="101">
        <f t="shared" si="50"/>
        <v>79374.323000000004</v>
      </c>
      <c r="Y584" s="101">
        <f t="shared" ref="Y584:Y647" si="54">S584*T584</f>
        <v>92752.114700000006</v>
      </c>
    </row>
    <row r="585" spans="1:25" ht="11.25" hidden="1" customHeight="1" x14ac:dyDescent="0.3">
      <c r="A585" s="126" t="s">
        <v>182</v>
      </c>
      <c r="B585" s="126">
        <v>25</v>
      </c>
      <c r="C585" s="126">
        <v>28</v>
      </c>
      <c r="D585" s="126" t="str">
        <f t="shared" si="44"/>
        <v>2528</v>
      </c>
      <c r="E585" s="101">
        <v>343</v>
      </c>
      <c r="F585" s="101">
        <v>2065</v>
      </c>
      <c r="G585" s="101">
        <v>20694</v>
      </c>
      <c r="H585" s="101">
        <v>492369.71</v>
      </c>
      <c r="I585" s="101">
        <v>133511.71000000002</v>
      </c>
      <c r="J585" s="101">
        <v>252</v>
      </c>
      <c r="K585" s="101">
        <v>3985</v>
      </c>
      <c r="L585" s="101">
        <v>21693</v>
      </c>
      <c r="M585" s="101">
        <v>436911.43</v>
      </c>
      <c r="N585" s="101">
        <v>110669.97</v>
      </c>
      <c r="O585" s="101">
        <v>356</v>
      </c>
      <c r="P585" s="101">
        <v>4743</v>
      </c>
      <c r="Q585" s="101">
        <v>40650</v>
      </c>
      <c r="R585" s="101">
        <v>902219.20000000007</v>
      </c>
      <c r="S585" s="101">
        <v>204611.10699999996</v>
      </c>
      <c r="T585" s="169">
        <v>1.02</v>
      </c>
      <c r="U585" s="101">
        <f t="shared" si="51"/>
        <v>363.12</v>
      </c>
      <c r="V585" s="101">
        <f t="shared" si="52"/>
        <v>4837.8599999999997</v>
      </c>
      <c r="W585" s="101">
        <f t="shared" si="53"/>
        <v>41463</v>
      </c>
      <c r="X585" s="101">
        <f t="shared" si="50"/>
        <v>920263.58400000003</v>
      </c>
      <c r="Y585" s="101">
        <f t="shared" si="54"/>
        <v>208703.32913999996</v>
      </c>
    </row>
    <row r="586" spans="1:25" ht="11.25" hidden="1" customHeight="1" x14ac:dyDescent="0.3">
      <c r="A586" s="126" t="s">
        <v>182</v>
      </c>
      <c r="B586" s="126">
        <v>25</v>
      </c>
      <c r="C586" s="126">
        <v>46</v>
      </c>
      <c r="D586" s="126" t="str">
        <f t="shared" si="44"/>
        <v>2546</v>
      </c>
      <c r="E586" s="101">
        <v>208</v>
      </c>
      <c r="F586" s="101">
        <v>477</v>
      </c>
      <c r="G586" s="101">
        <v>18949</v>
      </c>
      <c r="H586" s="101">
        <v>210881.29</v>
      </c>
      <c r="I586" s="101">
        <v>57284.580999999998</v>
      </c>
      <c r="J586" s="101">
        <v>150</v>
      </c>
      <c r="K586" s="101">
        <v>348</v>
      </c>
      <c r="L586" s="101">
        <v>10241</v>
      </c>
      <c r="M586" s="101">
        <v>228723.38</v>
      </c>
      <c r="N586" s="101">
        <v>45097.258000000002</v>
      </c>
      <c r="O586" s="101">
        <v>137</v>
      </c>
      <c r="P586" s="101">
        <v>332</v>
      </c>
      <c r="Q586" s="101">
        <v>15088</v>
      </c>
      <c r="R586" s="101">
        <v>277410.84000000003</v>
      </c>
      <c r="S586" s="101">
        <v>114970.93000000001</v>
      </c>
      <c r="T586" s="169">
        <v>1.02</v>
      </c>
      <c r="U586" s="101">
        <f t="shared" si="51"/>
        <v>139.74</v>
      </c>
      <c r="V586" s="101">
        <f t="shared" si="52"/>
        <v>338.64</v>
      </c>
      <c r="W586" s="101">
        <f t="shared" si="53"/>
        <v>15389.76</v>
      </c>
      <c r="X586" s="101">
        <f t="shared" si="50"/>
        <v>282959.05680000002</v>
      </c>
      <c r="Y586" s="101">
        <f t="shared" si="54"/>
        <v>117270.34860000001</v>
      </c>
    </row>
    <row r="587" spans="1:25" ht="11.25" hidden="1" customHeight="1" x14ac:dyDescent="0.3">
      <c r="A587" s="126" t="s">
        <v>182</v>
      </c>
      <c r="B587" s="126">
        <v>25</v>
      </c>
      <c r="C587" s="126">
        <v>47</v>
      </c>
      <c r="D587" s="126" t="str">
        <f t="shared" si="44"/>
        <v>2547</v>
      </c>
      <c r="E587" s="101">
        <v>1</v>
      </c>
      <c r="F587" s="101">
        <v>1</v>
      </c>
      <c r="G587" s="101">
        <v>2</v>
      </c>
      <c r="H587" s="101">
        <v>0</v>
      </c>
      <c r="I587" s="101">
        <v>0.27600000000000002</v>
      </c>
      <c r="J587" s="101">
        <v>1</v>
      </c>
      <c r="K587" s="101">
        <v>4</v>
      </c>
      <c r="L587" s="101">
        <v>38</v>
      </c>
      <c r="M587" s="101">
        <v>920.3</v>
      </c>
      <c r="N587" s="101">
        <v>476.07900000000001</v>
      </c>
      <c r="O587" s="101">
        <v>0</v>
      </c>
      <c r="P587" s="101">
        <v>0</v>
      </c>
      <c r="Q587" s="101">
        <v>0</v>
      </c>
      <c r="R587" s="101">
        <v>0</v>
      </c>
      <c r="S587" s="101">
        <v>0</v>
      </c>
      <c r="T587" s="169">
        <v>1.02</v>
      </c>
      <c r="U587" s="101">
        <f t="shared" si="51"/>
        <v>0</v>
      </c>
      <c r="V587" s="101">
        <f t="shared" si="52"/>
        <v>0</v>
      </c>
      <c r="W587" s="101">
        <f t="shared" si="53"/>
        <v>0</v>
      </c>
      <c r="X587" s="101">
        <f t="shared" si="50"/>
        <v>0</v>
      </c>
      <c r="Y587" s="101">
        <f t="shared" si="54"/>
        <v>0</v>
      </c>
    </row>
    <row r="588" spans="1:25" ht="11.25" hidden="1" customHeight="1" x14ac:dyDescent="0.3">
      <c r="A588" s="126" t="s">
        <v>182</v>
      </c>
      <c r="B588" s="126">
        <v>25</v>
      </c>
      <c r="C588" s="126">
        <v>66</v>
      </c>
      <c r="D588" s="126" t="str">
        <f t="shared" si="44"/>
        <v>2566</v>
      </c>
      <c r="E588" s="101">
        <v>429</v>
      </c>
      <c r="F588" s="101">
        <v>1522</v>
      </c>
      <c r="G588" s="101">
        <v>40577</v>
      </c>
      <c r="H588" s="101">
        <v>241835.55</v>
      </c>
      <c r="I588" s="101">
        <v>116585.16699999999</v>
      </c>
      <c r="J588" s="101">
        <v>231</v>
      </c>
      <c r="K588" s="101">
        <v>1388</v>
      </c>
      <c r="L588" s="101">
        <v>21177</v>
      </c>
      <c r="M588" s="101">
        <v>177392.92</v>
      </c>
      <c r="N588" s="101">
        <v>87440.828999999998</v>
      </c>
      <c r="O588" s="101">
        <v>243</v>
      </c>
      <c r="P588" s="101">
        <v>1041</v>
      </c>
      <c r="Q588" s="101">
        <v>15617</v>
      </c>
      <c r="R588" s="101">
        <v>99324.39</v>
      </c>
      <c r="S588" s="101">
        <v>51049.49</v>
      </c>
      <c r="T588" s="169">
        <v>1.02</v>
      </c>
      <c r="U588" s="101">
        <f t="shared" si="51"/>
        <v>247.86</v>
      </c>
      <c r="V588" s="101">
        <f t="shared" si="52"/>
        <v>1061.82</v>
      </c>
      <c r="W588" s="101">
        <f t="shared" si="53"/>
        <v>15929.34</v>
      </c>
      <c r="X588" s="101">
        <f t="shared" si="50"/>
        <v>101310.8778</v>
      </c>
      <c r="Y588" s="101">
        <f t="shared" si="54"/>
        <v>52070.479800000001</v>
      </c>
    </row>
    <row r="589" spans="1:25" ht="11.25" hidden="1" customHeight="1" x14ac:dyDescent="0.3">
      <c r="A589" s="126" t="s">
        <v>182</v>
      </c>
      <c r="B589" s="126">
        <v>25</v>
      </c>
      <c r="C589" s="126">
        <v>30</v>
      </c>
      <c r="D589" s="126" t="str">
        <f t="shared" si="44"/>
        <v>2530</v>
      </c>
      <c r="E589" s="101">
        <v>262.5</v>
      </c>
      <c r="F589" s="101">
        <v>3655</v>
      </c>
      <c r="G589" s="101">
        <v>11933</v>
      </c>
      <c r="H589" s="101">
        <v>291238.65500000003</v>
      </c>
      <c r="I589" s="101">
        <v>86292.500500000009</v>
      </c>
      <c r="J589" s="101">
        <v>0</v>
      </c>
      <c r="K589" s="101">
        <v>0</v>
      </c>
      <c r="L589" s="101">
        <v>0</v>
      </c>
      <c r="M589" s="101">
        <v>0</v>
      </c>
      <c r="N589" s="101">
        <v>0</v>
      </c>
      <c r="O589" s="101">
        <v>70</v>
      </c>
      <c r="P589" s="101">
        <v>75</v>
      </c>
      <c r="Q589" s="101">
        <v>906</v>
      </c>
      <c r="R589" s="101">
        <v>20379.46</v>
      </c>
      <c r="S589" s="101">
        <v>11834.94</v>
      </c>
      <c r="T589" s="169">
        <v>1.02</v>
      </c>
      <c r="U589" s="101">
        <f t="shared" si="51"/>
        <v>71.400000000000006</v>
      </c>
      <c r="V589" s="101">
        <f t="shared" si="52"/>
        <v>76.5</v>
      </c>
      <c r="W589" s="101">
        <f t="shared" si="53"/>
        <v>924.12</v>
      </c>
      <c r="X589" s="101">
        <f t="shared" si="50"/>
        <v>20787.049199999998</v>
      </c>
      <c r="Y589" s="101">
        <f t="shared" si="54"/>
        <v>12071.638800000001</v>
      </c>
    </row>
    <row r="590" spans="1:25" ht="11.25" hidden="1" customHeight="1" x14ac:dyDescent="0.3">
      <c r="A590" s="126" t="s">
        <v>182</v>
      </c>
      <c r="B590" s="126">
        <v>25</v>
      </c>
      <c r="C590" s="126">
        <v>21</v>
      </c>
      <c r="D590" s="126" t="str">
        <f t="shared" si="44"/>
        <v>2521</v>
      </c>
      <c r="E590" s="101">
        <v>934.5</v>
      </c>
      <c r="F590" s="101">
        <v>4957.5</v>
      </c>
      <c r="G590" s="101">
        <v>24400.5</v>
      </c>
      <c r="H590" s="101">
        <v>406641.9</v>
      </c>
      <c r="I590" s="101">
        <v>112271.00750000001</v>
      </c>
      <c r="J590" s="101">
        <v>1267</v>
      </c>
      <c r="K590" s="101">
        <v>10134</v>
      </c>
      <c r="L590" s="101">
        <v>71690</v>
      </c>
      <c r="M590" s="101">
        <v>935374.48</v>
      </c>
      <c r="N590" s="101">
        <v>322869.66800000001</v>
      </c>
      <c r="O590" s="101">
        <v>995</v>
      </c>
      <c r="P590" s="101">
        <v>9253</v>
      </c>
      <c r="Q590" s="101">
        <v>44157</v>
      </c>
      <c r="R590" s="101">
        <v>538726.91</v>
      </c>
      <c r="S590" s="101">
        <v>146857.902</v>
      </c>
      <c r="T590" s="169">
        <v>1.02</v>
      </c>
      <c r="U590" s="101">
        <f>O590*T590-2</f>
        <v>1012.9</v>
      </c>
      <c r="V590" s="101">
        <f>P590*T590-12</f>
        <v>9426.06</v>
      </c>
      <c r="W590" s="101">
        <f>Q590*T590-690</f>
        <v>44350.14</v>
      </c>
      <c r="X590" s="101">
        <f>R590*T590-4082</f>
        <v>545419.4482000001</v>
      </c>
      <c r="Y590" s="101">
        <f>S590*T590-1664</f>
        <v>148131.06004000001</v>
      </c>
    </row>
    <row r="591" spans="1:25" ht="11.25" hidden="1" customHeight="1" x14ac:dyDescent="0.3">
      <c r="A591" s="126" t="s">
        <v>182</v>
      </c>
      <c r="B591" s="126">
        <v>25</v>
      </c>
      <c r="C591" s="126">
        <v>71</v>
      </c>
      <c r="D591" s="126" t="str">
        <f t="shared" si="44"/>
        <v>2571</v>
      </c>
      <c r="E591" s="101">
        <v>611</v>
      </c>
      <c r="F591" s="101">
        <v>6608</v>
      </c>
      <c r="G591" s="101">
        <v>25132</v>
      </c>
      <c r="H591" s="101">
        <v>218660.39</v>
      </c>
      <c r="I591" s="101">
        <v>107289.25450000001</v>
      </c>
      <c r="J591" s="101">
        <v>389</v>
      </c>
      <c r="K591" s="101">
        <v>4172</v>
      </c>
      <c r="L591" s="101">
        <v>15925</v>
      </c>
      <c r="M591" s="101">
        <v>79480.78</v>
      </c>
      <c r="N591" s="101">
        <v>55528.89</v>
      </c>
      <c r="O591" s="101">
        <v>846</v>
      </c>
      <c r="P591" s="101">
        <v>5884</v>
      </c>
      <c r="Q591" s="101">
        <v>59011</v>
      </c>
      <c r="R591" s="101">
        <v>149025.63999999998</v>
      </c>
      <c r="S591" s="101">
        <v>94750.101999999999</v>
      </c>
      <c r="T591" s="169">
        <v>0.98</v>
      </c>
      <c r="U591" s="101">
        <f t="shared" si="51"/>
        <v>829.08</v>
      </c>
      <c r="V591" s="101">
        <f t="shared" si="52"/>
        <v>5766.32</v>
      </c>
      <c r="W591" s="101">
        <f t="shared" si="53"/>
        <v>57830.78</v>
      </c>
      <c r="X591" s="101">
        <f t="shared" si="50"/>
        <v>146045.12719999999</v>
      </c>
      <c r="Y591" s="101">
        <f t="shared" si="54"/>
        <v>92855.099959999992</v>
      </c>
    </row>
    <row r="592" spans="1:25" ht="11.25" hidden="1" customHeight="1" x14ac:dyDescent="0.3">
      <c r="A592" s="126" t="s">
        <v>182</v>
      </c>
      <c r="B592" s="126">
        <v>25</v>
      </c>
      <c r="C592" s="126">
        <v>25</v>
      </c>
      <c r="D592" s="126" t="str">
        <f t="shared" si="44"/>
        <v>2525</v>
      </c>
      <c r="E592" s="101">
        <v>1087</v>
      </c>
      <c r="F592" s="101">
        <v>8537</v>
      </c>
      <c r="G592" s="101">
        <v>39154</v>
      </c>
      <c r="H592" s="101">
        <v>561916.00999999989</v>
      </c>
      <c r="I592" s="101">
        <v>282672.19099999999</v>
      </c>
      <c r="J592" s="101">
        <v>758</v>
      </c>
      <c r="K592" s="101">
        <v>6907</v>
      </c>
      <c r="L592" s="101">
        <v>25894</v>
      </c>
      <c r="M592" s="101">
        <v>300047.96999999997</v>
      </c>
      <c r="N592" s="101">
        <v>130924.91099999999</v>
      </c>
      <c r="O592" s="101">
        <v>586</v>
      </c>
      <c r="P592" s="101">
        <v>4915</v>
      </c>
      <c r="Q592" s="101">
        <v>38141</v>
      </c>
      <c r="R592" s="101">
        <v>348390.02</v>
      </c>
      <c r="S592" s="101">
        <v>174385.114</v>
      </c>
      <c r="T592" s="169">
        <v>1.02</v>
      </c>
      <c r="U592" s="101">
        <f t="shared" si="51"/>
        <v>597.72</v>
      </c>
      <c r="V592" s="101">
        <f t="shared" si="52"/>
        <v>5013.3</v>
      </c>
      <c r="W592" s="101">
        <f t="shared" si="53"/>
        <v>38903.82</v>
      </c>
      <c r="X592" s="101">
        <f t="shared" si="50"/>
        <v>355357.82040000003</v>
      </c>
      <c r="Y592" s="101">
        <f t="shared" si="54"/>
        <v>177872.81628</v>
      </c>
    </row>
    <row r="593" spans="1:25" ht="11.25" hidden="1" customHeight="1" x14ac:dyDescent="0.3">
      <c r="A593" s="126" t="s">
        <v>182</v>
      </c>
      <c r="B593" s="126">
        <v>25</v>
      </c>
      <c r="C593" s="126">
        <v>14</v>
      </c>
      <c r="D593" s="126" t="str">
        <f t="shared" si="44"/>
        <v>2514</v>
      </c>
      <c r="J593" s="101">
        <v>15</v>
      </c>
      <c r="K593" s="101">
        <v>27</v>
      </c>
      <c r="L593" s="101">
        <v>45</v>
      </c>
      <c r="M593" s="101">
        <v>4557.3999999999996</v>
      </c>
      <c r="N593" s="101">
        <v>554.43100000000004</v>
      </c>
      <c r="O593" s="101">
        <v>28</v>
      </c>
      <c r="P593" s="101">
        <v>59</v>
      </c>
      <c r="Q593" s="101">
        <v>100</v>
      </c>
      <c r="R593" s="101">
        <v>5481.59</v>
      </c>
      <c r="S593" s="101">
        <v>602.49700000000007</v>
      </c>
      <c r="T593" s="169">
        <v>1.02</v>
      </c>
      <c r="U593" s="101">
        <f t="shared" si="51"/>
        <v>28.560000000000002</v>
      </c>
      <c r="V593" s="101">
        <f t="shared" si="52"/>
        <v>60.18</v>
      </c>
      <c r="W593" s="101">
        <f t="shared" si="53"/>
        <v>102</v>
      </c>
      <c r="X593" s="101">
        <f t="shared" si="50"/>
        <v>5591.2218000000003</v>
      </c>
      <c r="Y593" s="101">
        <f t="shared" si="54"/>
        <v>614.54694000000006</v>
      </c>
    </row>
    <row r="594" spans="1:25" ht="11.25" hidden="1" customHeight="1" x14ac:dyDescent="0.3">
      <c r="A594" s="126" t="s">
        <v>182</v>
      </c>
      <c r="B594" s="126">
        <v>25</v>
      </c>
      <c r="C594" s="126">
        <v>22</v>
      </c>
      <c r="D594" s="126" t="str">
        <f t="shared" si="44"/>
        <v>2522</v>
      </c>
      <c r="J594" s="101">
        <v>4</v>
      </c>
      <c r="K594" s="101">
        <v>4</v>
      </c>
      <c r="L594" s="101">
        <v>8</v>
      </c>
      <c r="M594" s="101">
        <v>0</v>
      </c>
      <c r="N594" s="101">
        <v>45.485999999999997</v>
      </c>
      <c r="O594" s="101">
        <v>11</v>
      </c>
      <c r="P594" s="101">
        <v>55</v>
      </c>
      <c r="Q594" s="101">
        <v>515</v>
      </c>
      <c r="R594" s="101">
        <v>602.32000000000005</v>
      </c>
      <c r="S594" s="101">
        <v>1268.4960000000001</v>
      </c>
      <c r="T594" s="169">
        <v>1.02</v>
      </c>
      <c r="U594" s="101">
        <f t="shared" si="51"/>
        <v>11.22</v>
      </c>
      <c r="V594" s="101">
        <f t="shared" si="52"/>
        <v>56.1</v>
      </c>
      <c r="W594" s="101">
        <f t="shared" si="53"/>
        <v>525.29999999999995</v>
      </c>
      <c r="X594" s="101">
        <f t="shared" si="50"/>
        <v>614.36640000000011</v>
      </c>
      <c r="Y594" s="101">
        <f t="shared" si="54"/>
        <v>1293.8659200000002</v>
      </c>
    </row>
    <row r="595" spans="1:25" ht="11.25" hidden="1" customHeight="1" x14ac:dyDescent="0.3">
      <c r="A595" s="126" t="s">
        <v>182</v>
      </c>
      <c r="B595" s="126">
        <v>25</v>
      </c>
      <c r="C595" s="126">
        <v>26</v>
      </c>
      <c r="D595" s="126" t="str">
        <f t="shared" si="44"/>
        <v>2526</v>
      </c>
      <c r="J595" s="101">
        <v>3</v>
      </c>
      <c r="K595" s="101">
        <v>36</v>
      </c>
      <c r="L595" s="101">
        <v>263</v>
      </c>
      <c r="M595" s="101">
        <v>2301.7600000000002</v>
      </c>
      <c r="N595" s="101">
        <v>967.76499999999999</v>
      </c>
      <c r="O595" s="101">
        <v>1</v>
      </c>
      <c r="P595" s="101">
        <v>1</v>
      </c>
      <c r="Q595" s="101">
        <v>160</v>
      </c>
      <c r="R595" s="101">
        <v>382.4</v>
      </c>
      <c r="S595" s="101">
        <v>383.04</v>
      </c>
      <c r="T595" s="169">
        <v>1.02</v>
      </c>
      <c r="U595" s="101">
        <f t="shared" si="51"/>
        <v>1.02</v>
      </c>
      <c r="V595" s="101">
        <f t="shared" si="52"/>
        <v>1.02</v>
      </c>
      <c r="W595" s="101">
        <f t="shared" si="53"/>
        <v>163.19999999999999</v>
      </c>
      <c r="X595" s="101">
        <f t="shared" si="50"/>
        <v>390.048</v>
      </c>
      <c r="Y595" s="101">
        <f t="shared" si="54"/>
        <v>390.70080000000002</v>
      </c>
    </row>
    <row r="596" spans="1:25" ht="11.25" hidden="1" customHeight="1" x14ac:dyDescent="0.3">
      <c r="A596" s="126" t="s">
        <v>182</v>
      </c>
      <c r="B596" s="126">
        <v>25</v>
      </c>
      <c r="C596" s="126">
        <v>32</v>
      </c>
      <c r="D596" s="126" t="str">
        <f t="shared" si="44"/>
        <v>2532</v>
      </c>
      <c r="J596" s="101">
        <v>23</v>
      </c>
      <c r="K596" s="101">
        <v>28</v>
      </c>
      <c r="L596" s="101">
        <v>568</v>
      </c>
      <c r="M596" s="101">
        <v>3362.73</v>
      </c>
      <c r="N596" s="101">
        <v>1934.9749999999999</v>
      </c>
      <c r="O596" s="101">
        <v>45</v>
      </c>
      <c r="P596" s="101">
        <v>149</v>
      </c>
      <c r="Q596" s="101">
        <v>3514</v>
      </c>
      <c r="R596" s="101">
        <v>19188.569999999996</v>
      </c>
      <c r="S596" s="101">
        <v>16981.423999999999</v>
      </c>
      <c r="T596" s="169">
        <v>1.02</v>
      </c>
      <c r="U596" s="101">
        <f t="shared" si="51"/>
        <v>45.9</v>
      </c>
      <c r="V596" s="101">
        <f t="shared" si="52"/>
        <v>151.97999999999999</v>
      </c>
      <c r="W596" s="101">
        <f t="shared" si="53"/>
        <v>3584.28</v>
      </c>
      <c r="X596" s="101">
        <f t="shared" si="50"/>
        <v>19572.341399999998</v>
      </c>
      <c r="Y596" s="101">
        <f t="shared" si="54"/>
        <v>17321.052479999998</v>
      </c>
    </row>
    <row r="597" spans="1:25" ht="11.25" hidden="1" customHeight="1" x14ac:dyDescent="0.3">
      <c r="A597" s="126" t="s">
        <v>182</v>
      </c>
      <c r="B597" s="126">
        <v>25</v>
      </c>
      <c r="C597" s="126">
        <v>43</v>
      </c>
      <c r="D597" s="126" t="str">
        <f t="shared" si="44"/>
        <v>2543</v>
      </c>
      <c r="J597" s="101">
        <v>0</v>
      </c>
      <c r="K597" s="101">
        <v>0</v>
      </c>
      <c r="L597" s="101">
        <v>0</v>
      </c>
      <c r="M597" s="101">
        <v>0</v>
      </c>
      <c r="N597" s="101">
        <v>0</v>
      </c>
      <c r="O597" s="101">
        <v>0</v>
      </c>
      <c r="P597" s="101">
        <v>0</v>
      </c>
      <c r="Q597" s="101">
        <v>0</v>
      </c>
      <c r="R597" s="101">
        <v>0</v>
      </c>
      <c r="S597" s="101">
        <v>0</v>
      </c>
      <c r="T597" s="169">
        <v>1.02</v>
      </c>
      <c r="U597" s="101">
        <f t="shared" si="51"/>
        <v>0</v>
      </c>
      <c r="V597" s="101">
        <f t="shared" si="52"/>
        <v>0</v>
      </c>
      <c r="W597" s="101">
        <f t="shared" si="53"/>
        <v>0</v>
      </c>
      <c r="X597" s="101">
        <f t="shared" si="50"/>
        <v>0</v>
      </c>
      <c r="Y597" s="101">
        <f t="shared" si="54"/>
        <v>0</v>
      </c>
    </row>
    <row r="598" spans="1:25" ht="11.25" hidden="1" customHeight="1" x14ac:dyDescent="0.3">
      <c r="A598" s="126" t="s">
        <v>182</v>
      </c>
      <c r="B598" s="126">
        <v>25</v>
      </c>
      <c r="C598" s="126">
        <v>44</v>
      </c>
      <c r="D598" s="126" t="str">
        <f t="shared" si="44"/>
        <v>2544</v>
      </c>
      <c r="J598" s="101">
        <v>0</v>
      </c>
      <c r="K598" s="101">
        <v>0</v>
      </c>
      <c r="L598" s="101">
        <v>0</v>
      </c>
      <c r="M598" s="101">
        <v>0</v>
      </c>
      <c r="N598" s="101">
        <v>0</v>
      </c>
      <c r="O598" s="101">
        <v>0</v>
      </c>
      <c r="P598" s="101">
        <v>0</v>
      </c>
      <c r="Q598" s="101">
        <v>0</v>
      </c>
      <c r="R598" s="101">
        <v>0</v>
      </c>
      <c r="S598" s="101">
        <v>0</v>
      </c>
      <c r="T598" s="169">
        <v>1.02</v>
      </c>
      <c r="U598" s="101">
        <f t="shared" si="51"/>
        <v>0</v>
      </c>
      <c r="V598" s="101">
        <f t="shared" si="52"/>
        <v>0</v>
      </c>
      <c r="W598" s="101">
        <f t="shared" si="53"/>
        <v>0</v>
      </c>
      <c r="X598" s="101">
        <f t="shared" si="50"/>
        <v>0</v>
      </c>
      <c r="Y598" s="101">
        <f t="shared" si="54"/>
        <v>0</v>
      </c>
    </row>
    <row r="599" spans="1:25" ht="11.25" hidden="1" customHeight="1" x14ac:dyDescent="0.3">
      <c r="A599" s="126" t="s">
        <v>182</v>
      </c>
      <c r="B599" s="126">
        <v>25</v>
      </c>
      <c r="C599" s="126">
        <v>45</v>
      </c>
      <c r="D599" s="126" t="str">
        <f t="shared" si="44"/>
        <v>2545</v>
      </c>
      <c r="J599" s="101">
        <v>0</v>
      </c>
      <c r="K599" s="101">
        <v>0</v>
      </c>
      <c r="L599" s="101">
        <v>0</v>
      </c>
      <c r="M599" s="101">
        <v>0</v>
      </c>
      <c r="N599" s="101">
        <v>0</v>
      </c>
      <c r="O599" s="101">
        <v>0</v>
      </c>
      <c r="P599" s="101">
        <v>0</v>
      </c>
      <c r="Q599" s="101">
        <v>0</v>
      </c>
      <c r="R599" s="101">
        <v>0</v>
      </c>
      <c r="S599" s="101">
        <v>0</v>
      </c>
      <c r="T599" s="169">
        <v>1.02</v>
      </c>
      <c r="U599" s="101">
        <f t="shared" si="51"/>
        <v>0</v>
      </c>
      <c r="V599" s="101">
        <f t="shared" si="52"/>
        <v>0</v>
      </c>
      <c r="W599" s="101">
        <f t="shared" si="53"/>
        <v>0</v>
      </c>
      <c r="X599" s="101">
        <f t="shared" si="50"/>
        <v>0</v>
      </c>
      <c r="Y599" s="101">
        <f t="shared" si="54"/>
        <v>0</v>
      </c>
    </row>
    <row r="600" spans="1:25" ht="11.25" hidden="1" customHeight="1" x14ac:dyDescent="0.3">
      <c r="A600" s="126" t="s">
        <v>182</v>
      </c>
      <c r="B600" s="126">
        <v>25</v>
      </c>
      <c r="C600" s="126">
        <v>48</v>
      </c>
      <c r="D600" s="126" t="str">
        <f t="shared" si="44"/>
        <v>2548</v>
      </c>
      <c r="J600" s="101">
        <v>0</v>
      </c>
      <c r="K600" s="101">
        <v>0</v>
      </c>
      <c r="L600" s="101">
        <v>0</v>
      </c>
      <c r="M600" s="101">
        <v>0</v>
      </c>
      <c r="N600" s="101">
        <v>0</v>
      </c>
      <c r="O600" s="101">
        <v>0</v>
      </c>
      <c r="P600" s="101">
        <v>0</v>
      </c>
      <c r="Q600" s="101">
        <v>0</v>
      </c>
      <c r="R600" s="101">
        <v>0</v>
      </c>
      <c r="S600" s="101">
        <v>0</v>
      </c>
      <c r="T600" s="169">
        <v>1.02</v>
      </c>
      <c r="U600" s="101">
        <f t="shared" si="51"/>
        <v>0</v>
      </c>
      <c r="V600" s="101">
        <f t="shared" si="52"/>
        <v>0</v>
      </c>
      <c r="W600" s="101">
        <f t="shared" si="53"/>
        <v>0</v>
      </c>
      <c r="X600" s="101">
        <f t="shared" si="50"/>
        <v>0</v>
      </c>
      <c r="Y600" s="101">
        <f t="shared" si="54"/>
        <v>0</v>
      </c>
    </row>
    <row r="601" spans="1:25" ht="11.25" hidden="1" customHeight="1" x14ac:dyDescent="0.3">
      <c r="A601" s="126" t="s">
        <v>182</v>
      </c>
      <c r="B601" s="126">
        <v>25</v>
      </c>
      <c r="C601" s="126">
        <v>91</v>
      </c>
      <c r="D601" s="126" t="str">
        <f t="shared" si="44"/>
        <v>2591</v>
      </c>
      <c r="J601" s="101">
        <v>48</v>
      </c>
      <c r="K601" s="101">
        <v>155</v>
      </c>
      <c r="L601" s="101">
        <v>1274</v>
      </c>
      <c r="M601" s="101">
        <v>5470.62</v>
      </c>
      <c r="N601" s="101">
        <v>2320.5</v>
      </c>
      <c r="O601" s="101">
        <v>67</v>
      </c>
      <c r="P601" s="101">
        <v>185</v>
      </c>
      <c r="Q601" s="101">
        <v>1302</v>
      </c>
      <c r="R601" s="101">
        <v>3988.8900000000003</v>
      </c>
      <c r="S601" s="101">
        <v>2321.627</v>
      </c>
      <c r="T601" s="169">
        <v>1.02</v>
      </c>
      <c r="U601" s="101">
        <f t="shared" si="51"/>
        <v>68.34</v>
      </c>
      <c r="V601" s="101">
        <f t="shared" si="52"/>
        <v>188.70000000000002</v>
      </c>
      <c r="W601" s="101">
        <f t="shared" si="53"/>
        <v>1328.04</v>
      </c>
      <c r="X601" s="101">
        <f t="shared" si="50"/>
        <v>4068.6678000000006</v>
      </c>
      <c r="Y601" s="101">
        <f t="shared" si="54"/>
        <v>2368.0595400000002</v>
      </c>
    </row>
    <row r="602" spans="1:25" ht="11.25" hidden="1" customHeight="1" x14ac:dyDescent="0.3">
      <c r="A602" s="126" t="s">
        <v>182</v>
      </c>
      <c r="B602" s="126">
        <v>25</v>
      </c>
      <c r="C602" s="126">
        <v>27</v>
      </c>
      <c r="D602" s="126" t="str">
        <f t="shared" ref="D602:D724" si="55">CONCATENATE(B602,C602)</f>
        <v>2527</v>
      </c>
      <c r="E602" s="101">
        <v>89</v>
      </c>
      <c r="F602" s="101">
        <v>2464</v>
      </c>
      <c r="G602" s="101">
        <v>10653</v>
      </c>
      <c r="H602" s="101">
        <v>142209.71</v>
      </c>
      <c r="I602" s="101">
        <v>57459.553999999996</v>
      </c>
      <c r="J602" s="101">
        <v>100</v>
      </c>
      <c r="K602" s="101">
        <v>1854</v>
      </c>
      <c r="L602" s="101">
        <v>7361</v>
      </c>
      <c r="M602" s="101">
        <v>70153.570000000007</v>
      </c>
      <c r="N602" s="101">
        <v>22972.964</v>
      </c>
      <c r="O602" s="101">
        <v>96</v>
      </c>
      <c r="P602" s="101">
        <v>1748</v>
      </c>
      <c r="Q602" s="101">
        <v>18251</v>
      </c>
      <c r="R602" s="101">
        <v>67638.259999999995</v>
      </c>
      <c r="S602" s="101">
        <v>28351.054</v>
      </c>
      <c r="T602" s="169">
        <v>1.02</v>
      </c>
      <c r="U602" s="101">
        <f t="shared" si="51"/>
        <v>97.92</v>
      </c>
      <c r="V602" s="101">
        <f t="shared" si="52"/>
        <v>1782.96</v>
      </c>
      <c r="W602" s="101">
        <f t="shared" si="53"/>
        <v>18616.02</v>
      </c>
      <c r="X602" s="101">
        <f t="shared" si="50"/>
        <v>68991.025199999989</v>
      </c>
      <c r="Y602" s="101">
        <f t="shared" si="54"/>
        <v>28918.075080000002</v>
      </c>
    </row>
    <row r="603" spans="1:25" ht="11.25" hidden="1" customHeight="1" x14ac:dyDescent="0.3">
      <c r="A603" s="126" t="s">
        <v>182</v>
      </c>
      <c r="B603" s="126">
        <v>25</v>
      </c>
      <c r="C603" s="126">
        <v>41</v>
      </c>
      <c r="D603" s="126" t="str">
        <f t="shared" si="55"/>
        <v>2541</v>
      </c>
      <c r="O603" s="101">
        <v>2</v>
      </c>
      <c r="P603" s="101">
        <v>2</v>
      </c>
      <c r="Q603" s="101">
        <v>14</v>
      </c>
      <c r="R603" s="101">
        <v>252.5</v>
      </c>
      <c r="S603" s="101">
        <v>78.664999999999992</v>
      </c>
      <c r="T603" s="169">
        <v>1.02</v>
      </c>
      <c r="U603" s="101">
        <f t="shared" si="51"/>
        <v>2.04</v>
      </c>
      <c r="V603" s="101">
        <f t="shared" si="52"/>
        <v>2.04</v>
      </c>
      <c r="W603" s="101">
        <f t="shared" si="53"/>
        <v>14.280000000000001</v>
      </c>
      <c r="X603" s="101">
        <f t="shared" si="50"/>
        <v>257.55</v>
      </c>
      <c r="Y603" s="101">
        <f t="shared" si="54"/>
        <v>80.238299999999995</v>
      </c>
    </row>
    <row r="604" spans="1:25" ht="11.25" hidden="1" customHeight="1" x14ac:dyDescent="0.3">
      <c r="A604" s="126" t="s">
        <v>182</v>
      </c>
      <c r="B604" s="126">
        <v>25</v>
      </c>
      <c r="C604" s="126">
        <v>34</v>
      </c>
      <c r="D604" s="126" t="str">
        <f t="shared" si="55"/>
        <v>2534</v>
      </c>
      <c r="O604" s="101">
        <v>1</v>
      </c>
      <c r="P604" s="101">
        <v>1</v>
      </c>
      <c r="Q604" s="101">
        <v>1</v>
      </c>
      <c r="R604" s="101">
        <v>0</v>
      </c>
      <c r="S604" s="101">
        <v>11.52</v>
      </c>
      <c r="T604" s="169">
        <v>1.02</v>
      </c>
      <c r="U604" s="101">
        <f t="shared" si="51"/>
        <v>1.02</v>
      </c>
      <c r="V604" s="101">
        <f t="shared" si="52"/>
        <v>1.02</v>
      </c>
      <c r="W604" s="101">
        <f t="shared" si="53"/>
        <v>1.02</v>
      </c>
      <c r="X604" s="101">
        <f t="shared" si="50"/>
        <v>0</v>
      </c>
      <c r="Y604" s="101">
        <f t="shared" si="54"/>
        <v>11.750399999999999</v>
      </c>
    </row>
    <row r="605" spans="1:25" ht="11.25" customHeight="1" x14ac:dyDescent="0.3">
      <c r="A605" s="126" t="s">
        <v>182</v>
      </c>
      <c r="B605" s="126">
        <v>25</v>
      </c>
      <c r="C605" s="126" t="s">
        <v>172</v>
      </c>
      <c r="D605" s="126" t="str">
        <f t="shared" si="55"/>
        <v>25Uml</v>
      </c>
      <c r="J605" s="101">
        <v>191</v>
      </c>
      <c r="K605" s="101">
        <v>207</v>
      </c>
      <c r="L605" s="101">
        <v>107943</v>
      </c>
      <c r="N605" s="101">
        <v>677178</v>
      </c>
      <c r="O605" s="101">
        <v>189</v>
      </c>
      <c r="P605" s="101">
        <v>194</v>
      </c>
      <c r="Q605" s="101">
        <v>74190</v>
      </c>
      <c r="S605" s="101">
        <v>210680</v>
      </c>
      <c r="T605" s="169">
        <v>1.02</v>
      </c>
      <c r="U605" s="101">
        <f t="shared" si="51"/>
        <v>192.78</v>
      </c>
      <c r="V605" s="101">
        <f t="shared" si="52"/>
        <v>197.88</v>
      </c>
      <c r="W605" s="101">
        <f t="shared" si="53"/>
        <v>75673.8</v>
      </c>
      <c r="X605" s="101">
        <f t="shared" si="50"/>
        <v>0</v>
      </c>
      <c r="Y605" s="101">
        <f t="shared" si="54"/>
        <v>214893.6</v>
      </c>
    </row>
    <row r="606" spans="1:25" ht="11.25" hidden="1" customHeight="1" x14ac:dyDescent="0.3">
      <c r="A606" s="126" t="s">
        <v>182</v>
      </c>
      <c r="B606" s="126">
        <v>25</v>
      </c>
      <c r="C606" s="126">
        <v>37</v>
      </c>
      <c r="D606" s="126" t="str">
        <f t="shared" si="55"/>
        <v>2537</v>
      </c>
      <c r="E606" s="101">
        <v>10.25</v>
      </c>
      <c r="F606" s="101">
        <v>19.25</v>
      </c>
      <c r="G606" s="101">
        <v>0</v>
      </c>
      <c r="H606" s="101">
        <v>42942.150000000009</v>
      </c>
      <c r="I606" s="101">
        <v>26807.580999999998</v>
      </c>
      <c r="J606" s="101">
        <v>48</v>
      </c>
      <c r="K606" s="101">
        <v>114</v>
      </c>
      <c r="L606" s="101">
        <v>3235</v>
      </c>
      <c r="M606" s="101">
        <v>46234.34</v>
      </c>
      <c r="N606" s="101">
        <v>52866.815000000002</v>
      </c>
      <c r="O606" s="101">
        <v>35</v>
      </c>
      <c r="P606" s="101">
        <v>98</v>
      </c>
      <c r="Q606" s="101">
        <v>1454</v>
      </c>
      <c r="R606" s="101">
        <v>11696.82</v>
      </c>
      <c r="S606" s="101">
        <v>6420.2030000000004</v>
      </c>
      <c r="T606" s="169">
        <v>1.02</v>
      </c>
      <c r="U606" s="101">
        <f t="shared" si="51"/>
        <v>35.700000000000003</v>
      </c>
      <c r="V606" s="101">
        <f t="shared" si="52"/>
        <v>99.960000000000008</v>
      </c>
      <c r="W606" s="101">
        <f t="shared" si="53"/>
        <v>1483.08</v>
      </c>
      <c r="X606" s="101">
        <f t="shared" si="50"/>
        <v>11930.7564</v>
      </c>
      <c r="Y606" s="101">
        <f t="shared" si="54"/>
        <v>6548.6070600000003</v>
      </c>
    </row>
    <row r="607" spans="1:25" ht="11.25" hidden="1" customHeight="1" x14ac:dyDescent="0.3">
      <c r="A607" s="126" t="s">
        <v>182</v>
      </c>
      <c r="B607" s="126">
        <v>26</v>
      </c>
      <c r="C607" s="126">
        <v>12</v>
      </c>
      <c r="D607" s="126" t="str">
        <f t="shared" si="55"/>
        <v>2612</v>
      </c>
      <c r="E607" s="101">
        <v>212</v>
      </c>
      <c r="F607" s="101">
        <v>264</v>
      </c>
      <c r="G607" s="101">
        <v>352</v>
      </c>
      <c r="H607" s="101">
        <v>6965.0300000000007</v>
      </c>
      <c r="I607" s="101">
        <v>2937.3649999999998</v>
      </c>
      <c r="J607" s="101">
        <v>20</v>
      </c>
      <c r="K607" s="101">
        <v>25</v>
      </c>
      <c r="L607" s="101">
        <v>26</v>
      </c>
      <c r="M607" s="101">
        <v>521.65</v>
      </c>
      <c r="N607" s="101">
        <v>153.51400000000001</v>
      </c>
      <c r="O607" s="101">
        <v>10</v>
      </c>
      <c r="P607" s="101">
        <v>10</v>
      </c>
      <c r="Q607" s="101">
        <v>13</v>
      </c>
      <c r="R607" s="101">
        <v>502.91</v>
      </c>
      <c r="S607" s="101">
        <v>113.69199999999999</v>
      </c>
      <c r="T607" s="169">
        <v>1.02</v>
      </c>
      <c r="U607" s="101">
        <f t="shared" si="51"/>
        <v>10.199999999999999</v>
      </c>
      <c r="V607" s="101">
        <f t="shared" si="52"/>
        <v>10.199999999999999</v>
      </c>
      <c r="W607" s="101">
        <f t="shared" si="53"/>
        <v>13.26</v>
      </c>
      <c r="X607" s="101">
        <f t="shared" si="50"/>
        <v>512.96820000000002</v>
      </c>
      <c r="Y607" s="101">
        <f t="shared" si="54"/>
        <v>115.96584</v>
      </c>
    </row>
    <row r="608" spans="1:25" ht="11.25" hidden="1" customHeight="1" x14ac:dyDescent="0.3">
      <c r="A608" s="126" t="s">
        <v>182</v>
      </c>
      <c r="B608" s="126">
        <v>26</v>
      </c>
      <c r="C608" s="126">
        <v>14</v>
      </c>
      <c r="D608" s="126" t="str">
        <f t="shared" si="55"/>
        <v>2614</v>
      </c>
      <c r="E608" s="101">
        <v>1</v>
      </c>
      <c r="F608" s="101">
        <v>4</v>
      </c>
      <c r="G608" s="101">
        <v>4</v>
      </c>
      <c r="H608" s="101">
        <v>307.89999999999998</v>
      </c>
      <c r="I608" s="101">
        <v>16.132999999999999</v>
      </c>
      <c r="J608" s="101">
        <v>20</v>
      </c>
      <c r="K608" s="101">
        <v>43</v>
      </c>
      <c r="L608" s="101">
        <v>53</v>
      </c>
      <c r="M608" s="101">
        <v>6008.1599999999989</v>
      </c>
      <c r="N608" s="101">
        <v>655.94600000000003</v>
      </c>
      <c r="O608" s="101">
        <v>20</v>
      </c>
      <c r="P608" s="101">
        <v>42</v>
      </c>
      <c r="Q608" s="101">
        <v>51</v>
      </c>
      <c r="R608" s="101">
        <v>4407.01</v>
      </c>
      <c r="S608" s="101">
        <v>552.98299999999995</v>
      </c>
      <c r="T608" s="169">
        <v>1.02</v>
      </c>
      <c r="U608" s="101">
        <f t="shared" si="51"/>
        <v>20.399999999999999</v>
      </c>
      <c r="V608" s="101">
        <f t="shared" si="52"/>
        <v>42.84</v>
      </c>
      <c r="W608" s="101">
        <f t="shared" si="53"/>
        <v>52.02</v>
      </c>
      <c r="X608" s="101">
        <f t="shared" si="50"/>
        <v>4495.1502</v>
      </c>
      <c r="Y608" s="101">
        <f t="shared" si="54"/>
        <v>564.04265999999996</v>
      </c>
    </row>
    <row r="609" spans="1:25" ht="11.25" hidden="1" customHeight="1" x14ac:dyDescent="0.3">
      <c r="A609" s="126" t="s">
        <v>182</v>
      </c>
      <c r="B609" s="126">
        <v>26</v>
      </c>
      <c r="C609" s="126">
        <v>17</v>
      </c>
      <c r="D609" s="126" t="str">
        <f t="shared" si="55"/>
        <v>2617</v>
      </c>
      <c r="E609" s="101">
        <v>2962</v>
      </c>
      <c r="F609" s="101">
        <v>3970</v>
      </c>
      <c r="G609" s="101">
        <v>5136</v>
      </c>
      <c r="H609" s="101">
        <v>195639.87</v>
      </c>
      <c r="I609" s="101">
        <v>39820.686999999998</v>
      </c>
      <c r="J609" s="101">
        <v>821</v>
      </c>
      <c r="K609" s="101">
        <v>3016</v>
      </c>
      <c r="L609" s="101">
        <v>3795</v>
      </c>
      <c r="M609" s="101">
        <v>57429.580000000009</v>
      </c>
      <c r="N609" s="101">
        <v>8570.621000000001</v>
      </c>
      <c r="O609" s="101">
        <v>1907</v>
      </c>
      <c r="P609" s="101">
        <v>5757</v>
      </c>
      <c r="Q609" s="101">
        <v>9157</v>
      </c>
      <c r="R609" s="101">
        <v>172278.15</v>
      </c>
      <c r="S609" s="101">
        <v>54299.44</v>
      </c>
      <c r="T609" s="169">
        <v>1.02</v>
      </c>
      <c r="U609" s="127">
        <f>1375+(0.3*4290)</f>
        <v>2662</v>
      </c>
      <c r="V609" s="101">
        <f>2750+(0.3*10753)+1000</f>
        <v>6975.9</v>
      </c>
      <c r="W609" s="101">
        <f>4750+(0.3*9178)</f>
        <v>7503.4</v>
      </c>
      <c r="X609" s="101">
        <f t="shared" si="50"/>
        <v>175723.71299999999</v>
      </c>
      <c r="Y609" s="101">
        <v>50000</v>
      </c>
    </row>
    <row r="610" spans="1:25" ht="11.25" hidden="1" customHeight="1" x14ac:dyDescent="0.3">
      <c r="A610" s="126" t="s">
        <v>182</v>
      </c>
      <c r="B610" s="126">
        <v>26</v>
      </c>
      <c r="C610" s="126">
        <v>18</v>
      </c>
      <c r="D610" s="126" t="str">
        <f t="shared" si="55"/>
        <v>2618</v>
      </c>
      <c r="E610" s="101">
        <v>211</v>
      </c>
      <c r="F610" s="101">
        <v>318</v>
      </c>
      <c r="G610" s="101">
        <v>527</v>
      </c>
      <c r="H610" s="101">
        <v>16139.210000000001</v>
      </c>
      <c r="I610" s="101">
        <v>2938.1369999999997</v>
      </c>
      <c r="J610" s="101">
        <v>1271</v>
      </c>
      <c r="K610" s="101">
        <v>1396</v>
      </c>
      <c r="L610" s="101">
        <v>1566</v>
      </c>
      <c r="M610" s="101">
        <v>69449.279999999999</v>
      </c>
      <c r="N610" s="101">
        <v>12605.425999999999</v>
      </c>
      <c r="O610" s="101">
        <v>1601</v>
      </c>
      <c r="P610" s="101">
        <v>1796</v>
      </c>
      <c r="Q610" s="101">
        <v>2096</v>
      </c>
      <c r="R610" s="101">
        <v>89448.960000000006</v>
      </c>
      <c r="S610" s="101">
        <v>23395.687000000002</v>
      </c>
      <c r="T610" s="169">
        <v>0.7</v>
      </c>
      <c r="U610" s="101">
        <f t="shared" si="51"/>
        <v>1120.6999999999998</v>
      </c>
      <c r="V610" s="101">
        <f t="shared" si="52"/>
        <v>1257.1999999999998</v>
      </c>
      <c r="W610" s="101">
        <f t="shared" si="53"/>
        <v>1467.1999999999998</v>
      </c>
      <c r="X610" s="101">
        <f t="shared" si="50"/>
        <v>62614.271999999997</v>
      </c>
      <c r="Y610" s="101">
        <f t="shared" si="54"/>
        <v>16376.9809</v>
      </c>
    </row>
    <row r="611" spans="1:25" ht="11.25" hidden="1" customHeight="1" x14ac:dyDescent="0.3">
      <c r="A611" s="126" t="s">
        <v>182</v>
      </c>
      <c r="B611" s="126">
        <v>26</v>
      </c>
      <c r="C611" s="126">
        <v>28</v>
      </c>
      <c r="D611" s="126" t="str">
        <f t="shared" si="55"/>
        <v>2628</v>
      </c>
      <c r="E611" s="101">
        <v>334</v>
      </c>
      <c r="F611" s="101">
        <v>2850</v>
      </c>
      <c r="G611" s="101">
        <v>172247</v>
      </c>
      <c r="H611" s="101">
        <v>474841.42</v>
      </c>
      <c r="I611" s="101">
        <v>262799.73499999999</v>
      </c>
      <c r="J611" s="101">
        <v>283</v>
      </c>
      <c r="K611" s="101">
        <v>5204</v>
      </c>
      <c r="L611" s="101">
        <v>32102</v>
      </c>
      <c r="M611" s="101">
        <v>517592.81000000006</v>
      </c>
      <c r="N611" s="101">
        <v>200786.33200000002</v>
      </c>
      <c r="O611" s="101">
        <v>246</v>
      </c>
      <c r="P611" s="101">
        <v>4302</v>
      </c>
      <c r="Q611" s="101">
        <v>21821</v>
      </c>
      <c r="R611" s="101">
        <v>457014.59</v>
      </c>
      <c r="S611" s="101">
        <v>129482.789</v>
      </c>
      <c r="T611" s="169">
        <v>1.02</v>
      </c>
      <c r="U611" s="101">
        <f t="shared" si="51"/>
        <v>250.92000000000002</v>
      </c>
      <c r="V611" s="101">
        <f t="shared" si="52"/>
        <v>4388.04</v>
      </c>
      <c r="W611" s="101">
        <f t="shared" si="53"/>
        <v>22257.420000000002</v>
      </c>
      <c r="X611" s="101">
        <f t="shared" si="50"/>
        <v>466154.88180000003</v>
      </c>
      <c r="Y611" s="101">
        <f t="shared" si="54"/>
        <v>132072.44478000002</v>
      </c>
    </row>
    <row r="612" spans="1:25" ht="11.25" hidden="1" customHeight="1" x14ac:dyDescent="0.3">
      <c r="A612" s="126" t="s">
        <v>182</v>
      </c>
      <c r="B612" s="126">
        <v>26</v>
      </c>
      <c r="C612" s="126">
        <v>46</v>
      </c>
      <c r="D612" s="126" t="str">
        <f t="shared" si="55"/>
        <v>2646</v>
      </c>
      <c r="E612" s="101">
        <v>281</v>
      </c>
      <c r="F612" s="101">
        <v>579</v>
      </c>
      <c r="G612" s="101">
        <v>24181</v>
      </c>
      <c r="H612" s="101">
        <v>156261.29999999999</v>
      </c>
      <c r="I612" s="101">
        <v>28920.584000000003</v>
      </c>
      <c r="J612" s="101">
        <v>181</v>
      </c>
      <c r="K612" s="101">
        <v>435</v>
      </c>
      <c r="L612" s="101">
        <v>56245</v>
      </c>
      <c r="M612" s="101">
        <v>568837.73</v>
      </c>
      <c r="N612" s="101">
        <v>116047.774</v>
      </c>
      <c r="O612" s="101">
        <v>161</v>
      </c>
      <c r="P612" s="101">
        <v>296</v>
      </c>
      <c r="Q612" s="101">
        <v>23930</v>
      </c>
      <c r="R612" s="101">
        <v>279177.82</v>
      </c>
      <c r="S612" s="101">
        <v>57930.665000000001</v>
      </c>
      <c r="T612" s="169">
        <v>1.02</v>
      </c>
      <c r="U612" s="101">
        <f t="shared" si="51"/>
        <v>164.22</v>
      </c>
      <c r="V612" s="101">
        <f t="shared" si="52"/>
        <v>301.92</v>
      </c>
      <c r="W612" s="101">
        <f t="shared" si="53"/>
        <v>24408.600000000002</v>
      </c>
      <c r="X612" s="101">
        <f t="shared" si="50"/>
        <v>284761.37640000001</v>
      </c>
      <c r="Y612" s="101">
        <f t="shared" si="54"/>
        <v>59089.278300000005</v>
      </c>
    </row>
    <row r="613" spans="1:25" ht="11.25" hidden="1" customHeight="1" x14ac:dyDescent="0.3">
      <c r="A613" s="126" t="s">
        <v>182</v>
      </c>
      <c r="B613" s="126">
        <v>26</v>
      </c>
      <c r="C613" s="126">
        <v>66</v>
      </c>
      <c r="D613" s="126" t="str">
        <f t="shared" si="55"/>
        <v>2666</v>
      </c>
      <c r="E613" s="101">
        <v>505</v>
      </c>
      <c r="F613" s="101">
        <v>2269</v>
      </c>
      <c r="G613" s="101">
        <v>44084</v>
      </c>
      <c r="H613" s="101">
        <v>215832.54</v>
      </c>
      <c r="I613" s="101">
        <v>93857.116999999998</v>
      </c>
      <c r="J613" s="101">
        <v>211</v>
      </c>
      <c r="K613" s="101">
        <v>795</v>
      </c>
      <c r="L613" s="101">
        <v>20461</v>
      </c>
      <c r="M613" s="101">
        <v>97991.659999999989</v>
      </c>
      <c r="N613" s="101">
        <v>45500.232000000004</v>
      </c>
      <c r="O613" s="101">
        <v>181</v>
      </c>
      <c r="P613" s="101">
        <v>761</v>
      </c>
      <c r="Q613" s="101">
        <v>10019</v>
      </c>
      <c r="R613" s="101">
        <v>56836.9</v>
      </c>
      <c r="S613" s="101">
        <v>37376.120999999999</v>
      </c>
      <c r="T613" s="169">
        <v>1.02</v>
      </c>
      <c r="U613" s="101">
        <f t="shared" si="51"/>
        <v>184.62</v>
      </c>
      <c r="V613" s="101">
        <f t="shared" si="52"/>
        <v>776.22</v>
      </c>
      <c r="W613" s="101">
        <f t="shared" si="53"/>
        <v>10219.380000000001</v>
      </c>
      <c r="X613" s="101">
        <f t="shared" si="50"/>
        <v>57973.637999999999</v>
      </c>
      <c r="Y613" s="101">
        <f t="shared" si="54"/>
        <v>38123.64342</v>
      </c>
    </row>
    <row r="614" spans="1:25" ht="11.25" hidden="1" customHeight="1" x14ac:dyDescent="0.3">
      <c r="A614" s="126" t="s">
        <v>182</v>
      </c>
      <c r="B614" s="126">
        <v>26</v>
      </c>
      <c r="C614" s="126">
        <v>30</v>
      </c>
      <c r="D614" s="126" t="str">
        <f t="shared" si="55"/>
        <v>2630</v>
      </c>
      <c r="E614" s="101">
        <v>317</v>
      </c>
      <c r="F614" s="101">
        <v>3649.5</v>
      </c>
      <c r="G614" s="101">
        <v>14028</v>
      </c>
      <c r="H614" s="101">
        <v>312819.98499999999</v>
      </c>
      <c r="I614" s="101">
        <v>90479.656999999992</v>
      </c>
      <c r="J614" s="101">
        <v>0</v>
      </c>
      <c r="K614" s="101">
        <v>0</v>
      </c>
      <c r="L614" s="101">
        <v>0</v>
      </c>
      <c r="M614" s="101">
        <v>0</v>
      </c>
      <c r="N614" s="101">
        <v>0</v>
      </c>
      <c r="O614" s="101">
        <v>20</v>
      </c>
      <c r="P614" s="101">
        <v>54</v>
      </c>
      <c r="Q614" s="101">
        <v>522</v>
      </c>
      <c r="R614" s="101">
        <v>15608.19</v>
      </c>
      <c r="S614" s="101">
        <v>6104.4539999999997</v>
      </c>
      <c r="T614" s="169">
        <v>1.02</v>
      </c>
      <c r="U614" s="101">
        <f t="shared" si="51"/>
        <v>20.399999999999999</v>
      </c>
      <c r="V614" s="101">
        <f t="shared" si="52"/>
        <v>55.08</v>
      </c>
      <c r="W614" s="101">
        <f t="shared" si="53"/>
        <v>532.44000000000005</v>
      </c>
      <c r="X614" s="101">
        <f t="shared" si="50"/>
        <v>15920.353800000001</v>
      </c>
      <c r="Y614" s="101">
        <f t="shared" si="54"/>
        <v>6226.5430799999995</v>
      </c>
    </row>
    <row r="615" spans="1:25" ht="11.25" hidden="1" customHeight="1" x14ac:dyDescent="0.3">
      <c r="A615" s="126" t="s">
        <v>182</v>
      </c>
      <c r="B615" s="126">
        <v>26</v>
      </c>
      <c r="C615" s="126">
        <v>21</v>
      </c>
      <c r="D615" s="126" t="str">
        <f t="shared" si="55"/>
        <v>2621</v>
      </c>
      <c r="E615" s="101">
        <v>903</v>
      </c>
      <c r="F615" s="101">
        <v>4587.5</v>
      </c>
      <c r="G615" s="101">
        <v>22963</v>
      </c>
      <c r="H615" s="101">
        <v>374526.13500000007</v>
      </c>
      <c r="I615" s="101">
        <v>107119.95000000001</v>
      </c>
      <c r="J615" s="101">
        <v>1729</v>
      </c>
      <c r="K615" s="101">
        <v>9643</v>
      </c>
      <c r="L615" s="101">
        <v>45122</v>
      </c>
      <c r="M615" s="101">
        <v>731323.87000000011</v>
      </c>
      <c r="N615" s="101">
        <v>235216.014</v>
      </c>
      <c r="O615" s="101">
        <v>754</v>
      </c>
      <c r="P615" s="101">
        <v>7258</v>
      </c>
      <c r="Q615" s="101">
        <v>36643</v>
      </c>
      <c r="R615" s="101">
        <v>528217.19999999995</v>
      </c>
      <c r="S615" s="101">
        <v>141656.446</v>
      </c>
      <c r="T615" s="169">
        <v>1.02</v>
      </c>
      <c r="U615" s="101">
        <f t="shared" si="51"/>
        <v>769.08</v>
      </c>
      <c r="V615" s="101">
        <f t="shared" si="52"/>
        <v>7403.16</v>
      </c>
      <c r="W615" s="101">
        <f t="shared" si="53"/>
        <v>37375.86</v>
      </c>
      <c r="X615" s="101">
        <f t="shared" si="50"/>
        <v>538781.54399999999</v>
      </c>
      <c r="Y615" s="101">
        <f t="shared" si="54"/>
        <v>144489.57491999998</v>
      </c>
    </row>
    <row r="616" spans="1:25" ht="11.25" hidden="1" customHeight="1" x14ac:dyDescent="0.3">
      <c r="A616" s="126" t="s">
        <v>182</v>
      </c>
      <c r="B616" s="126">
        <v>26</v>
      </c>
      <c r="C616" s="126">
        <v>71</v>
      </c>
      <c r="D616" s="126" t="str">
        <f t="shared" si="55"/>
        <v>2671</v>
      </c>
      <c r="E616" s="101">
        <v>473.5</v>
      </c>
      <c r="F616" s="101">
        <v>4285.5</v>
      </c>
      <c r="G616" s="101">
        <v>12397</v>
      </c>
      <c r="H616" s="101">
        <v>99777.635000000009</v>
      </c>
      <c r="I616" s="101">
        <v>50780.376999999993</v>
      </c>
      <c r="J616" s="101">
        <v>419</v>
      </c>
      <c r="K616" s="101">
        <v>3961</v>
      </c>
      <c r="L616" s="101">
        <v>9107</v>
      </c>
      <c r="M616" s="101">
        <v>86823.85</v>
      </c>
      <c r="N616" s="101">
        <v>48788.608999999997</v>
      </c>
      <c r="O616" s="101">
        <v>593</v>
      </c>
      <c r="P616" s="101">
        <v>3957</v>
      </c>
      <c r="Q616" s="101">
        <v>25130</v>
      </c>
      <c r="R616" s="101">
        <v>177583.4</v>
      </c>
      <c r="S616" s="101">
        <v>128429.24</v>
      </c>
      <c r="T616" s="169">
        <v>0.98</v>
      </c>
      <c r="U616" s="101">
        <f t="shared" si="51"/>
        <v>581.14</v>
      </c>
      <c r="V616" s="101">
        <f t="shared" si="52"/>
        <v>3877.86</v>
      </c>
      <c r="W616" s="101">
        <f t="shared" si="53"/>
        <v>24627.399999999998</v>
      </c>
      <c r="X616" s="101">
        <f t="shared" si="50"/>
        <v>174031.73199999999</v>
      </c>
      <c r="Y616" s="101">
        <f t="shared" si="54"/>
        <v>125860.65520000001</v>
      </c>
    </row>
    <row r="617" spans="1:25" ht="11.25" hidden="1" customHeight="1" x14ac:dyDescent="0.3">
      <c r="A617" s="126" t="s">
        <v>182</v>
      </c>
      <c r="B617" s="126">
        <v>26</v>
      </c>
      <c r="C617" s="126">
        <v>25</v>
      </c>
      <c r="D617" s="126" t="str">
        <f t="shared" si="55"/>
        <v>2625</v>
      </c>
      <c r="E617" s="101">
        <v>851</v>
      </c>
      <c r="F617" s="101">
        <v>6577</v>
      </c>
      <c r="G617" s="101">
        <v>28288</v>
      </c>
      <c r="H617" s="101">
        <v>392267.87</v>
      </c>
      <c r="I617" s="101">
        <v>159214.255</v>
      </c>
      <c r="J617" s="101">
        <v>669</v>
      </c>
      <c r="K617" s="101">
        <v>5584</v>
      </c>
      <c r="L617" s="101">
        <v>35130</v>
      </c>
      <c r="M617" s="101">
        <v>311000.94</v>
      </c>
      <c r="N617" s="101">
        <v>138126.48000000001</v>
      </c>
      <c r="O617" s="101">
        <v>638</v>
      </c>
      <c r="P617" s="101">
        <v>6091</v>
      </c>
      <c r="Q617" s="101">
        <v>35156</v>
      </c>
      <c r="R617" s="101">
        <v>235144.53</v>
      </c>
      <c r="S617" s="101">
        <v>163962.14799999999</v>
      </c>
      <c r="T617" s="169">
        <v>1.02</v>
      </c>
      <c r="U617" s="101">
        <f t="shared" si="51"/>
        <v>650.76</v>
      </c>
      <c r="V617" s="101">
        <f t="shared" si="52"/>
        <v>6212.82</v>
      </c>
      <c r="W617" s="101">
        <f t="shared" si="53"/>
        <v>35859.120000000003</v>
      </c>
      <c r="X617" s="101">
        <f t="shared" si="50"/>
        <v>239847.42060000001</v>
      </c>
      <c r="Y617" s="101">
        <f t="shared" si="54"/>
        <v>167241.39095999999</v>
      </c>
    </row>
    <row r="618" spans="1:25" ht="11.25" hidden="1" customHeight="1" x14ac:dyDescent="0.3">
      <c r="A618" s="126" t="s">
        <v>182</v>
      </c>
      <c r="B618" s="126">
        <v>26</v>
      </c>
      <c r="C618" s="126">
        <v>48</v>
      </c>
      <c r="D618" s="126" t="str">
        <f t="shared" si="55"/>
        <v>2648</v>
      </c>
      <c r="J618" s="101">
        <v>0</v>
      </c>
      <c r="K618" s="101">
        <v>0</v>
      </c>
      <c r="L618" s="101">
        <v>0</v>
      </c>
      <c r="M618" s="101">
        <v>0</v>
      </c>
      <c r="N618" s="101">
        <v>0</v>
      </c>
      <c r="O618" s="101">
        <v>0</v>
      </c>
      <c r="P618" s="101">
        <v>0</v>
      </c>
      <c r="Q618" s="101">
        <v>0</v>
      </c>
      <c r="R618" s="101">
        <v>0</v>
      </c>
      <c r="S618" s="101">
        <v>0</v>
      </c>
      <c r="T618" s="169">
        <v>1.02</v>
      </c>
      <c r="U618" s="101">
        <f t="shared" si="51"/>
        <v>0</v>
      </c>
      <c r="V618" s="101">
        <f t="shared" si="52"/>
        <v>0</v>
      </c>
      <c r="W618" s="101">
        <f t="shared" si="53"/>
        <v>0</v>
      </c>
      <c r="X618" s="101">
        <f t="shared" si="50"/>
        <v>0</v>
      </c>
      <c r="Y618" s="101">
        <f t="shared" si="54"/>
        <v>0</v>
      </c>
    </row>
    <row r="619" spans="1:25" ht="11.25" hidden="1" customHeight="1" x14ac:dyDescent="0.3">
      <c r="A619" s="126" t="s">
        <v>182</v>
      </c>
      <c r="B619" s="126">
        <v>26</v>
      </c>
      <c r="C619" s="126">
        <v>22</v>
      </c>
      <c r="D619" s="126" t="str">
        <f t="shared" si="55"/>
        <v>2622</v>
      </c>
      <c r="J619" s="101">
        <v>8</v>
      </c>
      <c r="K619" s="101">
        <v>28</v>
      </c>
      <c r="L619" s="101">
        <v>117</v>
      </c>
      <c r="M619" s="101">
        <v>2238.7799999999997</v>
      </c>
      <c r="N619" s="101">
        <v>723.49399999999991</v>
      </c>
      <c r="O619" s="101">
        <v>8</v>
      </c>
      <c r="P619" s="101">
        <v>14</v>
      </c>
      <c r="Q619" s="101">
        <v>505</v>
      </c>
      <c r="R619" s="101">
        <v>14721.56</v>
      </c>
      <c r="S619" s="101">
        <v>4797.6629999999996</v>
      </c>
      <c r="T619" s="169">
        <v>1.02</v>
      </c>
      <c r="U619" s="101">
        <f t="shared" si="51"/>
        <v>8.16</v>
      </c>
      <c r="V619" s="101">
        <f t="shared" si="52"/>
        <v>14.280000000000001</v>
      </c>
      <c r="W619" s="101">
        <f t="shared" si="53"/>
        <v>515.1</v>
      </c>
      <c r="X619" s="101">
        <f t="shared" si="50"/>
        <v>15015.9912</v>
      </c>
      <c r="Y619" s="101">
        <f t="shared" si="54"/>
        <v>4893.6162599999998</v>
      </c>
    </row>
    <row r="620" spans="1:25" ht="11.25" hidden="1" customHeight="1" x14ac:dyDescent="0.3">
      <c r="A620" s="126" t="s">
        <v>182</v>
      </c>
      <c r="B620" s="126">
        <v>26</v>
      </c>
      <c r="C620" s="126">
        <v>26</v>
      </c>
      <c r="D620" s="126" t="str">
        <f t="shared" si="55"/>
        <v>2626</v>
      </c>
      <c r="J620" s="101">
        <v>5</v>
      </c>
      <c r="K620" s="101">
        <v>11</v>
      </c>
      <c r="L620" s="101">
        <v>40</v>
      </c>
      <c r="M620" s="101">
        <v>871.55</v>
      </c>
      <c r="N620" s="101">
        <v>318.52000000000004</v>
      </c>
      <c r="O620" s="101">
        <v>3</v>
      </c>
      <c r="P620" s="101">
        <v>3</v>
      </c>
      <c r="Q620" s="101">
        <v>4001</v>
      </c>
      <c r="R620" s="101">
        <v>44600</v>
      </c>
      <c r="S620" s="101">
        <v>25547.97</v>
      </c>
      <c r="T620" s="169">
        <v>1.02</v>
      </c>
      <c r="U620" s="101">
        <f t="shared" si="51"/>
        <v>3.06</v>
      </c>
      <c r="V620" s="101">
        <f t="shared" si="52"/>
        <v>3.06</v>
      </c>
      <c r="W620" s="101">
        <f t="shared" si="53"/>
        <v>4081.02</v>
      </c>
      <c r="X620" s="101">
        <f t="shared" si="50"/>
        <v>45492</v>
      </c>
      <c r="Y620" s="101">
        <f t="shared" si="54"/>
        <v>26058.929400000001</v>
      </c>
    </row>
    <row r="621" spans="1:25" ht="11.25" hidden="1" customHeight="1" x14ac:dyDescent="0.3">
      <c r="A621" s="126" t="s">
        <v>182</v>
      </c>
      <c r="B621" s="126">
        <v>26</v>
      </c>
      <c r="C621" s="126">
        <v>32</v>
      </c>
      <c r="D621" s="126" t="str">
        <f t="shared" si="55"/>
        <v>2632</v>
      </c>
      <c r="J621" s="101">
        <v>29</v>
      </c>
      <c r="K621" s="101">
        <v>40</v>
      </c>
      <c r="L621" s="101">
        <v>560</v>
      </c>
      <c r="M621" s="101">
        <v>9268.93</v>
      </c>
      <c r="N621" s="101">
        <v>2212.0159999999996</v>
      </c>
      <c r="O621" s="101">
        <v>27</v>
      </c>
      <c r="P621" s="101">
        <v>130</v>
      </c>
      <c r="Q621" s="101">
        <v>3076</v>
      </c>
      <c r="R621" s="101">
        <v>59753.05</v>
      </c>
      <c r="S621" s="101">
        <v>15943.138999999999</v>
      </c>
      <c r="T621" s="169">
        <v>1.02</v>
      </c>
      <c r="U621" s="101">
        <f t="shared" si="51"/>
        <v>27.54</v>
      </c>
      <c r="V621" s="101">
        <f t="shared" si="52"/>
        <v>132.6</v>
      </c>
      <c r="W621" s="101">
        <f t="shared" si="53"/>
        <v>3137.52</v>
      </c>
      <c r="X621" s="101">
        <f t="shared" si="50"/>
        <v>60948.111000000004</v>
      </c>
      <c r="Y621" s="101">
        <f t="shared" si="54"/>
        <v>16262.001779999999</v>
      </c>
    </row>
    <row r="622" spans="1:25" ht="11.25" hidden="1" customHeight="1" x14ac:dyDescent="0.3">
      <c r="A622" s="126" t="s">
        <v>182</v>
      </c>
      <c r="B622" s="126">
        <v>26</v>
      </c>
      <c r="C622" s="126">
        <v>43</v>
      </c>
      <c r="D622" s="126" t="str">
        <f t="shared" si="55"/>
        <v>2643</v>
      </c>
      <c r="J622" s="101">
        <v>0</v>
      </c>
      <c r="K622" s="101">
        <v>0</v>
      </c>
      <c r="L622" s="101">
        <v>0</v>
      </c>
      <c r="M622" s="101">
        <v>0</v>
      </c>
      <c r="N622" s="101">
        <v>0</v>
      </c>
      <c r="O622" s="101">
        <v>0</v>
      </c>
      <c r="P622" s="101">
        <v>0</v>
      </c>
      <c r="Q622" s="101">
        <v>0</v>
      </c>
      <c r="R622" s="101">
        <v>0</v>
      </c>
      <c r="S622" s="101">
        <v>0</v>
      </c>
      <c r="T622" s="169">
        <v>1.02</v>
      </c>
      <c r="U622" s="101">
        <f t="shared" si="51"/>
        <v>0</v>
      </c>
      <c r="V622" s="101">
        <f t="shared" si="52"/>
        <v>0</v>
      </c>
      <c r="W622" s="101">
        <f t="shared" si="53"/>
        <v>0</v>
      </c>
      <c r="X622" s="101">
        <f t="shared" si="50"/>
        <v>0</v>
      </c>
      <c r="Y622" s="101">
        <f t="shared" si="54"/>
        <v>0</v>
      </c>
    </row>
    <row r="623" spans="1:25" ht="11.25" hidden="1" customHeight="1" x14ac:dyDescent="0.3">
      <c r="A623" s="126" t="s">
        <v>182</v>
      </c>
      <c r="B623" s="126">
        <v>26</v>
      </c>
      <c r="C623" s="126">
        <v>44</v>
      </c>
      <c r="D623" s="126" t="str">
        <f t="shared" si="55"/>
        <v>2644</v>
      </c>
      <c r="J623" s="101">
        <v>0</v>
      </c>
      <c r="K623" s="101">
        <v>0</v>
      </c>
      <c r="L623" s="101">
        <v>0</v>
      </c>
      <c r="M623" s="101">
        <v>0</v>
      </c>
      <c r="N623" s="101">
        <v>0</v>
      </c>
      <c r="O623" s="101">
        <v>0</v>
      </c>
      <c r="P623" s="101">
        <v>0</v>
      </c>
      <c r="Q623" s="101">
        <v>0</v>
      </c>
      <c r="R623" s="101">
        <v>0</v>
      </c>
      <c r="S623" s="101">
        <v>0</v>
      </c>
      <c r="T623" s="169">
        <v>1.02</v>
      </c>
      <c r="U623" s="101">
        <f t="shared" si="51"/>
        <v>0</v>
      </c>
      <c r="V623" s="101">
        <f t="shared" si="52"/>
        <v>0</v>
      </c>
      <c r="W623" s="101">
        <f t="shared" si="53"/>
        <v>0</v>
      </c>
      <c r="X623" s="101">
        <f t="shared" si="50"/>
        <v>0</v>
      </c>
      <c r="Y623" s="101">
        <f t="shared" si="54"/>
        <v>0</v>
      </c>
    </row>
    <row r="624" spans="1:25" ht="11.25" hidden="1" customHeight="1" x14ac:dyDescent="0.3">
      <c r="A624" s="126" t="s">
        <v>182</v>
      </c>
      <c r="B624" s="126">
        <v>26</v>
      </c>
      <c r="C624" s="126">
        <v>45</v>
      </c>
      <c r="D624" s="126" t="str">
        <f t="shared" si="55"/>
        <v>2645</v>
      </c>
      <c r="J624" s="101">
        <v>0</v>
      </c>
      <c r="K624" s="101">
        <v>0</v>
      </c>
      <c r="L624" s="101">
        <v>0</v>
      </c>
      <c r="M624" s="101">
        <v>0</v>
      </c>
      <c r="N624" s="101">
        <v>0</v>
      </c>
      <c r="O624" s="101">
        <v>0</v>
      </c>
      <c r="P624" s="101">
        <v>0</v>
      </c>
      <c r="Q624" s="101">
        <v>0</v>
      </c>
      <c r="R624" s="101">
        <v>0</v>
      </c>
      <c r="S624" s="101">
        <v>0</v>
      </c>
      <c r="T624" s="169">
        <v>1.02</v>
      </c>
      <c r="U624" s="101">
        <f t="shared" si="51"/>
        <v>0</v>
      </c>
      <c r="V624" s="101">
        <f t="shared" si="52"/>
        <v>0</v>
      </c>
      <c r="W624" s="101">
        <f t="shared" si="53"/>
        <v>0</v>
      </c>
      <c r="X624" s="101">
        <f t="shared" si="50"/>
        <v>0</v>
      </c>
      <c r="Y624" s="101">
        <f t="shared" si="54"/>
        <v>0</v>
      </c>
    </row>
    <row r="625" spans="1:25" ht="11.25" hidden="1" customHeight="1" x14ac:dyDescent="0.3">
      <c r="A625" s="126" t="s">
        <v>182</v>
      </c>
      <c r="B625" s="126">
        <v>26</v>
      </c>
      <c r="C625" s="126">
        <v>47</v>
      </c>
      <c r="D625" s="126" t="str">
        <f t="shared" si="55"/>
        <v>2647</v>
      </c>
      <c r="J625" s="101">
        <v>1</v>
      </c>
      <c r="K625" s="101">
        <v>1</v>
      </c>
      <c r="L625" s="101">
        <v>2</v>
      </c>
      <c r="M625" s="101">
        <v>75</v>
      </c>
      <c r="N625" s="101">
        <v>39.627000000000002</v>
      </c>
      <c r="O625" s="101">
        <v>0</v>
      </c>
      <c r="P625" s="101">
        <v>0</v>
      </c>
      <c r="Q625" s="101">
        <v>0</v>
      </c>
      <c r="R625" s="101">
        <v>0</v>
      </c>
      <c r="S625" s="101">
        <v>0</v>
      </c>
      <c r="T625" s="169">
        <v>1.02</v>
      </c>
      <c r="U625" s="101">
        <f t="shared" si="51"/>
        <v>0</v>
      </c>
      <c r="V625" s="101">
        <f t="shared" si="52"/>
        <v>0</v>
      </c>
      <c r="W625" s="101">
        <f t="shared" si="53"/>
        <v>0</v>
      </c>
      <c r="X625" s="101">
        <f t="shared" si="50"/>
        <v>0</v>
      </c>
      <c r="Y625" s="101">
        <f t="shared" si="54"/>
        <v>0</v>
      </c>
    </row>
    <row r="626" spans="1:25" ht="11.25" hidden="1" customHeight="1" x14ac:dyDescent="0.3">
      <c r="A626" s="126" t="s">
        <v>182</v>
      </c>
      <c r="B626" s="126">
        <v>26</v>
      </c>
      <c r="C626" s="126">
        <v>91</v>
      </c>
      <c r="D626" s="126" t="str">
        <f t="shared" si="55"/>
        <v>2691</v>
      </c>
      <c r="J626" s="101">
        <v>34</v>
      </c>
      <c r="K626" s="101">
        <v>77</v>
      </c>
      <c r="L626" s="101">
        <v>361</v>
      </c>
      <c r="M626" s="101">
        <v>3800.88</v>
      </c>
      <c r="N626" s="101">
        <v>1714.3609999999999</v>
      </c>
      <c r="O626" s="101">
        <v>43</v>
      </c>
      <c r="P626" s="101">
        <v>164</v>
      </c>
      <c r="Q626" s="101">
        <v>1320</v>
      </c>
      <c r="R626" s="101">
        <v>7122.32</v>
      </c>
      <c r="S626" s="101">
        <v>3103.8710000000001</v>
      </c>
      <c r="T626" s="169">
        <v>1.02</v>
      </c>
      <c r="U626" s="101">
        <f t="shared" si="51"/>
        <v>43.86</v>
      </c>
      <c r="V626" s="101">
        <f t="shared" si="52"/>
        <v>167.28</v>
      </c>
      <c r="W626" s="101">
        <f t="shared" si="53"/>
        <v>1346.4</v>
      </c>
      <c r="X626" s="101">
        <f t="shared" si="50"/>
        <v>7264.7663999999995</v>
      </c>
      <c r="Y626" s="101">
        <f t="shared" si="54"/>
        <v>3165.9484200000002</v>
      </c>
    </row>
    <row r="627" spans="1:25" ht="11.25" hidden="1" customHeight="1" x14ac:dyDescent="0.3">
      <c r="A627" s="126" t="s">
        <v>182</v>
      </c>
      <c r="B627" s="126">
        <v>26</v>
      </c>
      <c r="C627" s="126">
        <v>27</v>
      </c>
      <c r="D627" s="126" t="str">
        <f t="shared" si="55"/>
        <v>2627</v>
      </c>
      <c r="E627" s="101">
        <v>82</v>
      </c>
      <c r="F627" s="101">
        <v>1141</v>
      </c>
      <c r="G627" s="101">
        <v>11281</v>
      </c>
      <c r="H627" s="101">
        <v>42533.61</v>
      </c>
      <c r="I627" s="101">
        <v>14101.831999999999</v>
      </c>
      <c r="J627" s="101">
        <v>105</v>
      </c>
      <c r="K627" s="101">
        <v>1743</v>
      </c>
      <c r="L627" s="101">
        <v>8874</v>
      </c>
      <c r="M627" s="101">
        <v>87942.76</v>
      </c>
      <c r="N627" s="101">
        <v>27541.232</v>
      </c>
      <c r="O627" s="101">
        <v>74</v>
      </c>
      <c r="P627" s="101">
        <v>1507</v>
      </c>
      <c r="Q627" s="101">
        <v>8529</v>
      </c>
      <c r="R627" s="101">
        <v>66031.42</v>
      </c>
      <c r="S627" s="101">
        <v>34324.063000000002</v>
      </c>
      <c r="T627" s="169">
        <v>1.02</v>
      </c>
      <c r="U627" s="101">
        <f t="shared" si="51"/>
        <v>75.48</v>
      </c>
      <c r="V627" s="101">
        <f t="shared" si="52"/>
        <v>1537.14</v>
      </c>
      <c r="W627" s="101">
        <f t="shared" si="53"/>
        <v>8699.58</v>
      </c>
      <c r="X627" s="101">
        <f t="shared" si="50"/>
        <v>67352.0484</v>
      </c>
      <c r="Y627" s="101">
        <f t="shared" si="54"/>
        <v>35010.544260000002</v>
      </c>
    </row>
    <row r="628" spans="1:25" ht="11.25" hidden="1" customHeight="1" x14ac:dyDescent="0.3">
      <c r="A628" s="126" t="s">
        <v>182</v>
      </c>
      <c r="B628" s="126">
        <v>26</v>
      </c>
      <c r="C628" s="126">
        <v>41</v>
      </c>
      <c r="D628" s="126" t="str">
        <f t="shared" si="55"/>
        <v>2641</v>
      </c>
      <c r="O628" s="101">
        <v>4</v>
      </c>
      <c r="P628" s="101">
        <v>7</v>
      </c>
      <c r="Q628" s="101">
        <v>64</v>
      </c>
      <c r="R628" s="101">
        <v>525.4</v>
      </c>
      <c r="S628" s="101">
        <v>230.54900000000001</v>
      </c>
      <c r="T628" s="169">
        <v>1.02</v>
      </c>
      <c r="U628" s="101">
        <f t="shared" si="51"/>
        <v>4.08</v>
      </c>
      <c r="V628" s="101">
        <f t="shared" si="52"/>
        <v>7.1400000000000006</v>
      </c>
      <c r="W628" s="101">
        <f t="shared" si="53"/>
        <v>65.28</v>
      </c>
      <c r="X628" s="101">
        <f t="shared" si="50"/>
        <v>535.90800000000002</v>
      </c>
      <c r="Y628" s="101">
        <f t="shared" si="54"/>
        <v>235.15998000000002</v>
      </c>
    </row>
    <row r="629" spans="1:25" ht="11.25" customHeight="1" x14ac:dyDescent="0.3">
      <c r="A629" s="126" t="s">
        <v>182</v>
      </c>
      <c r="B629" s="126">
        <v>26</v>
      </c>
      <c r="C629" s="126" t="s">
        <v>172</v>
      </c>
      <c r="D629" s="126" t="str">
        <f t="shared" si="55"/>
        <v>26Uml</v>
      </c>
      <c r="J629" s="101">
        <v>173</v>
      </c>
      <c r="K629" s="101">
        <v>186</v>
      </c>
      <c r="L629" s="101">
        <v>58426</v>
      </c>
      <c r="N629" s="101">
        <v>373630</v>
      </c>
      <c r="O629" s="101">
        <v>291</v>
      </c>
      <c r="P629" s="101">
        <v>296</v>
      </c>
      <c r="Q629" s="101">
        <v>49291</v>
      </c>
      <c r="S629" s="101">
        <v>258646</v>
      </c>
      <c r="T629" s="169">
        <v>1.02</v>
      </c>
      <c r="U629" s="101">
        <f t="shared" si="51"/>
        <v>296.82</v>
      </c>
      <c r="V629" s="101">
        <f t="shared" si="52"/>
        <v>301.92</v>
      </c>
      <c r="W629" s="101">
        <f t="shared" si="53"/>
        <v>50276.82</v>
      </c>
      <c r="X629" s="101">
        <f t="shared" si="50"/>
        <v>0</v>
      </c>
      <c r="Y629" s="101">
        <f t="shared" si="54"/>
        <v>263818.92</v>
      </c>
    </row>
    <row r="630" spans="1:25" ht="11.25" hidden="1" customHeight="1" x14ac:dyDescent="0.3">
      <c r="A630" s="126" t="s">
        <v>182</v>
      </c>
      <c r="B630" s="126">
        <v>26</v>
      </c>
      <c r="C630" s="126">
        <v>37</v>
      </c>
      <c r="D630" s="126" t="str">
        <f t="shared" si="55"/>
        <v>2637</v>
      </c>
      <c r="E630" s="101">
        <v>14.25</v>
      </c>
      <c r="F630" s="101">
        <v>24.5</v>
      </c>
      <c r="G630" s="101">
        <v>545.5</v>
      </c>
      <c r="H630" s="101">
        <v>2984.1374999999998</v>
      </c>
      <c r="I630" s="101">
        <v>1655.4922499999998</v>
      </c>
      <c r="J630" s="101">
        <v>25</v>
      </c>
      <c r="K630" s="101">
        <v>122</v>
      </c>
      <c r="L630" s="101">
        <v>3155</v>
      </c>
      <c r="M630" s="101">
        <v>19225.91</v>
      </c>
      <c r="N630" s="101">
        <v>7396.3239999999996</v>
      </c>
      <c r="O630" s="101">
        <v>17</v>
      </c>
      <c r="P630" s="101">
        <v>88</v>
      </c>
      <c r="Q630" s="101">
        <v>2599</v>
      </c>
      <c r="R630" s="101">
        <v>22054.19</v>
      </c>
      <c r="S630" s="101">
        <v>11454.563</v>
      </c>
      <c r="T630" s="169">
        <v>1.02</v>
      </c>
      <c r="U630" s="101">
        <f t="shared" si="51"/>
        <v>17.34</v>
      </c>
      <c r="V630" s="101">
        <f t="shared" si="52"/>
        <v>89.76</v>
      </c>
      <c r="W630" s="101">
        <f t="shared" si="53"/>
        <v>2650.98</v>
      </c>
      <c r="X630" s="101">
        <f t="shared" si="50"/>
        <v>22495.273799999999</v>
      </c>
      <c r="Y630" s="101">
        <f t="shared" si="54"/>
        <v>11683.654260000001</v>
      </c>
    </row>
    <row r="631" spans="1:25" ht="11.25" hidden="1" customHeight="1" x14ac:dyDescent="0.3">
      <c r="A631" s="126" t="s">
        <v>183</v>
      </c>
      <c r="B631" s="126">
        <v>27</v>
      </c>
      <c r="C631" s="126">
        <v>12</v>
      </c>
      <c r="D631" s="126" t="str">
        <f t="shared" si="55"/>
        <v>2712</v>
      </c>
      <c r="E631" s="101">
        <v>314</v>
      </c>
      <c r="F631" s="101">
        <v>332</v>
      </c>
      <c r="G631" s="101">
        <v>400</v>
      </c>
      <c r="H631" s="101">
        <v>12318.91</v>
      </c>
      <c r="I631" s="101">
        <v>5531.8899999999994</v>
      </c>
      <c r="J631" s="101">
        <v>23</v>
      </c>
      <c r="K631" s="101">
        <v>34</v>
      </c>
      <c r="L631" s="101">
        <v>63</v>
      </c>
      <c r="M631" s="101">
        <v>1249.3700000000001</v>
      </c>
      <c r="N631" s="101">
        <v>328.596</v>
      </c>
      <c r="O631" s="101">
        <v>13</v>
      </c>
      <c r="P631" s="101">
        <v>27</v>
      </c>
      <c r="Q631" s="101">
        <v>44</v>
      </c>
      <c r="R631" s="101">
        <v>833.4</v>
      </c>
      <c r="S631" s="101">
        <v>106.733</v>
      </c>
      <c r="T631" s="169">
        <v>1.02</v>
      </c>
      <c r="U631" s="101">
        <f t="shared" si="51"/>
        <v>13.26</v>
      </c>
      <c r="V631" s="101">
        <f t="shared" si="52"/>
        <v>27.54</v>
      </c>
      <c r="W631" s="101">
        <f t="shared" si="53"/>
        <v>44.88</v>
      </c>
      <c r="X631" s="101">
        <f t="shared" si="50"/>
        <v>850.06799999999998</v>
      </c>
      <c r="Y631" s="101">
        <f t="shared" si="54"/>
        <v>108.86766</v>
      </c>
    </row>
    <row r="632" spans="1:25" ht="11.25" hidden="1" customHeight="1" x14ac:dyDescent="0.3">
      <c r="A632" s="126" t="s">
        <v>183</v>
      </c>
      <c r="B632" s="126">
        <v>27</v>
      </c>
      <c r="C632" s="126">
        <v>17</v>
      </c>
      <c r="D632" s="126" t="str">
        <f t="shared" si="55"/>
        <v>2717</v>
      </c>
      <c r="E632" s="101">
        <v>2576</v>
      </c>
      <c r="F632" s="101">
        <v>3782</v>
      </c>
      <c r="G632" s="101">
        <v>5019</v>
      </c>
      <c r="H632" s="101">
        <v>175336.23</v>
      </c>
      <c r="I632" s="101">
        <v>35780.661</v>
      </c>
      <c r="J632" s="101">
        <v>986</v>
      </c>
      <c r="K632" s="101">
        <v>4279</v>
      </c>
      <c r="L632" s="101">
        <v>5021</v>
      </c>
      <c r="M632" s="101">
        <v>69205.88</v>
      </c>
      <c r="N632" s="101">
        <v>11565.681</v>
      </c>
      <c r="O632" s="101">
        <v>1083</v>
      </c>
      <c r="P632" s="101">
        <v>2308</v>
      </c>
      <c r="Q632" s="101">
        <v>3809</v>
      </c>
      <c r="R632" s="101">
        <v>111661.64</v>
      </c>
      <c r="S632" s="101">
        <v>29847.414000000001</v>
      </c>
      <c r="T632" s="169">
        <v>1.02</v>
      </c>
      <c r="U632" s="101">
        <v>1845</v>
      </c>
      <c r="V632" s="101">
        <v>3689</v>
      </c>
      <c r="W632" s="101">
        <v>5363</v>
      </c>
      <c r="X632" s="101">
        <f t="shared" si="50"/>
        <v>113894.8728</v>
      </c>
      <c r="Y632" s="101">
        <v>30000</v>
      </c>
    </row>
    <row r="633" spans="1:25" ht="11.25" hidden="1" customHeight="1" x14ac:dyDescent="0.3">
      <c r="A633" s="126" t="s">
        <v>183</v>
      </c>
      <c r="B633" s="126">
        <v>27</v>
      </c>
      <c r="C633" s="126">
        <v>18</v>
      </c>
      <c r="D633" s="126" t="str">
        <f t="shared" si="55"/>
        <v>2718</v>
      </c>
      <c r="E633" s="101">
        <v>215</v>
      </c>
      <c r="F633" s="101">
        <v>292</v>
      </c>
      <c r="G633" s="101">
        <v>408</v>
      </c>
      <c r="H633" s="101">
        <v>17102.910000000003</v>
      </c>
      <c r="I633" s="101">
        <v>3047.9570000000003</v>
      </c>
      <c r="J633" s="101">
        <v>1201</v>
      </c>
      <c r="K633" s="101">
        <v>1303</v>
      </c>
      <c r="L633" s="101">
        <v>1505</v>
      </c>
      <c r="M633" s="101">
        <v>64401.95</v>
      </c>
      <c r="N633" s="101">
        <v>12069.567999999999</v>
      </c>
      <c r="O633" s="101">
        <v>1545</v>
      </c>
      <c r="P633" s="101">
        <v>1706</v>
      </c>
      <c r="Q633" s="101">
        <v>6335</v>
      </c>
      <c r="R633" s="101">
        <v>79561.88</v>
      </c>
      <c r="S633" s="101">
        <v>163889.32999999999</v>
      </c>
      <c r="T633" s="169">
        <v>1.02</v>
      </c>
      <c r="U633" s="101">
        <f t="shared" si="51"/>
        <v>1575.9</v>
      </c>
      <c r="V633" s="101">
        <f t="shared" si="52"/>
        <v>1740.1200000000001</v>
      </c>
      <c r="W633" s="101">
        <f t="shared" si="53"/>
        <v>6461.7</v>
      </c>
      <c r="X633" s="101">
        <f t="shared" si="50"/>
        <v>81153.117600000012</v>
      </c>
      <c r="Y633" s="101">
        <f t="shared" si="54"/>
        <v>167167.11659999998</v>
      </c>
    </row>
    <row r="634" spans="1:25" ht="11.25" hidden="1" customHeight="1" x14ac:dyDescent="0.3">
      <c r="A634" s="126" t="s">
        <v>183</v>
      </c>
      <c r="B634" s="126">
        <v>27</v>
      </c>
      <c r="C634" s="126">
        <v>28</v>
      </c>
      <c r="D634" s="126" t="str">
        <f t="shared" si="55"/>
        <v>2728</v>
      </c>
      <c r="E634" s="101">
        <v>320</v>
      </c>
      <c r="F634" s="101">
        <v>2097</v>
      </c>
      <c r="G634" s="101">
        <v>17928</v>
      </c>
      <c r="H634" s="101">
        <v>409181.95</v>
      </c>
      <c r="I634" s="101">
        <v>79095.252999999997</v>
      </c>
      <c r="J634" s="101">
        <v>306</v>
      </c>
      <c r="K634" s="101">
        <v>5032</v>
      </c>
      <c r="L634" s="101">
        <v>32466</v>
      </c>
      <c r="M634" s="101">
        <v>852663.35000000009</v>
      </c>
      <c r="N634" s="101">
        <v>195211.83000000002</v>
      </c>
      <c r="O634" s="101">
        <v>292</v>
      </c>
      <c r="P634" s="101">
        <v>4965</v>
      </c>
      <c r="Q634" s="101">
        <v>30684</v>
      </c>
      <c r="R634" s="101">
        <v>679510.66</v>
      </c>
      <c r="S634" s="101">
        <v>180059.97500000001</v>
      </c>
      <c r="T634" s="169">
        <v>1.02</v>
      </c>
      <c r="U634" s="101">
        <f t="shared" si="51"/>
        <v>297.84000000000003</v>
      </c>
      <c r="V634" s="101">
        <f t="shared" si="52"/>
        <v>5064.3</v>
      </c>
      <c r="W634" s="101">
        <f t="shared" si="53"/>
        <v>31297.68</v>
      </c>
      <c r="X634" s="101">
        <f t="shared" si="50"/>
        <v>693100.87320000003</v>
      </c>
      <c r="Y634" s="101">
        <f t="shared" si="54"/>
        <v>183661.17450000002</v>
      </c>
    </row>
    <row r="635" spans="1:25" ht="11.25" hidden="1" customHeight="1" x14ac:dyDescent="0.3">
      <c r="A635" s="126" t="s">
        <v>183</v>
      </c>
      <c r="B635" s="126">
        <v>27</v>
      </c>
      <c r="C635" s="126">
        <v>46</v>
      </c>
      <c r="D635" s="126" t="str">
        <f t="shared" si="55"/>
        <v>2746</v>
      </c>
      <c r="E635" s="101">
        <v>247</v>
      </c>
      <c r="F635" s="101">
        <v>489</v>
      </c>
      <c r="G635" s="101">
        <v>12794</v>
      </c>
      <c r="H635" s="101">
        <v>166199.00999999998</v>
      </c>
      <c r="I635" s="101">
        <v>114618.18100000001</v>
      </c>
      <c r="J635" s="101">
        <v>160</v>
      </c>
      <c r="K635" s="101">
        <v>339</v>
      </c>
      <c r="L635" s="101">
        <v>41963</v>
      </c>
      <c r="M635" s="101">
        <v>344852.14999999997</v>
      </c>
      <c r="N635" s="101">
        <v>85172.849000000002</v>
      </c>
      <c r="O635" s="101">
        <v>478</v>
      </c>
      <c r="P635" s="101">
        <v>801</v>
      </c>
      <c r="Q635" s="101">
        <v>63927</v>
      </c>
      <c r="R635" s="101">
        <v>619775.79</v>
      </c>
      <c r="S635" s="101">
        <v>229250.35500000001</v>
      </c>
      <c r="T635" s="169">
        <v>1.02</v>
      </c>
      <c r="U635" s="101">
        <f t="shared" si="51"/>
        <v>487.56</v>
      </c>
      <c r="V635" s="101">
        <f t="shared" si="52"/>
        <v>817.02</v>
      </c>
      <c r="W635" s="101">
        <f t="shared" si="53"/>
        <v>65205.54</v>
      </c>
      <c r="X635" s="101">
        <f t="shared" si="50"/>
        <v>632171.30580000009</v>
      </c>
      <c r="Y635" s="101">
        <f t="shared" si="54"/>
        <v>233835.36210000003</v>
      </c>
    </row>
    <row r="636" spans="1:25" ht="11.25" hidden="1" customHeight="1" x14ac:dyDescent="0.3">
      <c r="A636" s="126" t="s">
        <v>183</v>
      </c>
      <c r="B636" s="126">
        <v>27</v>
      </c>
      <c r="C636" s="126">
        <v>48</v>
      </c>
      <c r="D636" s="126" t="str">
        <f t="shared" si="55"/>
        <v>2748</v>
      </c>
      <c r="E636" s="101">
        <v>2</v>
      </c>
      <c r="F636" s="101">
        <v>2</v>
      </c>
      <c r="G636" s="101">
        <v>100</v>
      </c>
      <c r="H636" s="101">
        <v>559.5</v>
      </c>
      <c r="I636" s="101">
        <v>346.27499999999998</v>
      </c>
      <c r="J636" s="101">
        <v>0</v>
      </c>
      <c r="K636" s="101">
        <v>0</v>
      </c>
      <c r="L636" s="101">
        <v>0</v>
      </c>
      <c r="M636" s="101">
        <v>0</v>
      </c>
      <c r="N636" s="101">
        <v>0</v>
      </c>
      <c r="O636" s="101">
        <v>0</v>
      </c>
      <c r="P636" s="101">
        <v>0</v>
      </c>
      <c r="Q636" s="101">
        <v>0</v>
      </c>
      <c r="R636" s="101">
        <v>0</v>
      </c>
      <c r="S636" s="101">
        <v>0</v>
      </c>
      <c r="T636" s="169">
        <v>1.02</v>
      </c>
      <c r="U636" s="101">
        <f t="shared" si="51"/>
        <v>0</v>
      </c>
      <c r="V636" s="101">
        <f t="shared" si="52"/>
        <v>0</v>
      </c>
      <c r="W636" s="101">
        <f t="shared" si="53"/>
        <v>0</v>
      </c>
      <c r="X636" s="101">
        <f t="shared" si="50"/>
        <v>0</v>
      </c>
      <c r="Y636" s="101">
        <f t="shared" si="54"/>
        <v>0</v>
      </c>
    </row>
    <row r="637" spans="1:25" ht="11.25" hidden="1" customHeight="1" x14ac:dyDescent="0.3">
      <c r="A637" s="126" t="s">
        <v>183</v>
      </c>
      <c r="B637" s="126">
        <v>27</v>
      </c>
      <c r="C637" s="126">
        <v>66</v>
      </c>
      <c r="D637" s="126" t="str">
        <f t="shared" si="55"/>
        <v>2766</v>
      </c>
      <c r="E637" s="101">
        <v>215</v>
      </c>
      <c r="F637" s="101">
        <v>1432</v>
      </c>
      <c r="G637" s="101">
        <v>35336</v>
      </c>
      <c r="H637" s="101">
        <v>160232.78</v>
      </c>
      <c r="I637" s="101">
        <v>91166.338000000003</v>
      </c>
      <c r="J637" s="101">
        <v>211</v>
      </c>
      <c r="K637" s="101">
        <v>1233</v>
      </c>
      <c r="L637" s="101">
        <v>15791</v>
      </c>
      <c r="M637" s="101">
        <v>95562.55</v>
      </c>
      <c r="N637" s="101">
        <v>78217.960000000006</v>
      </c>
      <c r="O637" s="101">
        <v>193</v>
      </c>
      <c r="P637" s="101">
        <v>1116</v>
      </c>
      <c r="Q637" s="101">
        <v>22612</v>
      </c>
      <c r="R637" s="101">
        <v>111716.43</v>
      </c>
      <c r="S637" s="101">
        <v>61312.553999999996</v>
      </c>
      <c r="T637" s="169">
        <v>1.02</v>
      </c>
      <c r="U637" s="101">
        <f t="shared" si="51"/>
        <v>196.86</v>
      </c>
      <c r="V637" s="101">
        <f t="shared" si="52"/>
        <v>1138.32</v>
      </c>
      <c r="W637" s="101">
        <f t="shared" si="53"/>
        <v>23064.240000000002</v>
      </c>
      <c r="X637" s="101">
        <f t="shared" si="50"/>
        <v>113950.7586</v>
      </c>
      <c r="Y637" s="101">
        <f t="shared" si="54"/>
        <v>62538.805079999998</v>
      </c>
    </row>
    <row r="638" spans="1:25" ht="11.25" hidden="1" customHeight="1" x14ac:dyDescent="0.3">
      <c r="A638" s="126" t="s">
        <v>183</v>
      </c>
      <c r="B638" s="126">
        <v>27</v>
      </c>
      <c r="C638" s="126">
        <v>30</v>
      </c>
      <c r="D638" s="126" t="str">
        <f t="shared" si="55"/>
        <v>2730</v>
      </c>
      <c r="E638" s="101">
        <v>231.5</v>
      </c>
      <c r="F638" s="101">
        <v>2791.5</v>
      </c>
      <c r="G638" s="101">
        <v>11334.5</v>
      </c>
      <c r="H638" s="101">
        <v>324233.95</v>
      </c>
      <c r="I638" s="101">
        <v>91424.590499999991</v>
      </c>
      <c r="J638" s="101">
        <v>0</v>
      </c>
      <c r="K638" s="101">
        <v>0</v>
      </c>
      <c r="L638" s="101">
        <v>0</v>
      </c>
      <c r="M638" s="101">
        <v>0</v>
      </c>
      <c r="N638" s="101">
        <v>0</v>
      </c>
      <c r="O638" s="101">
        <v>44</v>
      </c>
      <c r="P638" s="101">
        <v>69</v>
      </c>
      <c r="Q638" s="101">
        <v>1357</v>
      </c>
      <c r="R638" s="101">
        <v>73914.710000000006</v>
      </c>
      <c r="S638" s="101">
        <v>33292.894999999997</v>
      </c>
      <c r="T638" s="169">
        <v>1.02</v>
      </c>
      <c r="U638" s="101">
        <f t="shared" si="51"/>
        <v>44.88</v>
      </c>
      <c r="V638" s="101">
        <f t="shared" si="52"/>
        <v>70.38</v>
      </c>
      <c r="W638" s="101">
        <f t="shared" si="53"/>
        <v>1384.14</v>
      </c>
      <c r="X638" s="101">
        <f t="shared" si="50"/>
        <v>75393.00420000001</v>
      </c>
      <c r="Y638" s="101">
        <f t="shared" si="54"/>
        <v>33958.752899999999</v>
      </c>
    </row>
    <row r="639" spans="1:25" ht="13.5" hidden="1" customHeight="1" x14ac:dyDescent="0.3">
      <c r="A639" s="126" t="s">
        <v>183</v>
      </c>
      <c r="B639" s="126">
        <v>27</v>
      </c>
      <c r="C639" s="126">
        <v>21</v>
      </c>
      <c r="D639" s="126" t="str">
        <f t="shared" si="55"/>
        <v>2721</v>
      </c>
      <c r="E639" s="101">
        <v>778</v>
      </c>
      <c r="F639" s="101">
        <v>3716.5</v>
      </c>
      <c r="G639" s="101">
        <v>14986</v>
      </c>
      <c r="H639" s="101">
        <v>224826.15999999997</v>
      </c>
      <c r="I639" s="101">
        <v>61111.001000000004</v>
      </c>
      <c r="J639" s="127">
        <v>1047</v>
      </c>
      <c r="K639" s="101">
        <v>5924</v>
      </c>
      <c r="L639" s="101">
        <v>27327</v>
      </c>
      <c r="M639" s="101">
        <v>375436.14</v>
      </c>
      <c r="N639" s="101">
        <v>114614.549</v>
      </c>
      <c r="O639" s="101">
        <v>889</v>
      </c>
      <c r="P639" s="101">
        <v>6901</v>
      </c>
      <c r="Q639" s="101">
        <v>41838</v>
      </c>
      <c r="R639" s="101">
        <v>444835.83</v>
      </c>
      <c r="S639" s="101">
        <v>120286.785</v>
      </c>
      <c r="T639" s="169">
        <v>1.02</v>
      </c>
      <c r="U639" s="101">
        <f>O639*T639-2</f>
        <v>904.78</v>
      </c>
      <c r="V639" s="101">
        <f>P639*T639-24</f>
        <v>7015.02</v>
      </c>
      <c r="W639" s="101">
        <f>Q639*T639-4651</f>
        <v>38023.760000000002</v>
      </c>
      <c r="X639" s="101">
        <f>R639*T639-14448</f>
        <v>439284.5466</v>
      </c>
      <c r="Y639" s="101">
        <f>S639*T639-3811</f>
        <v>118881.52070000001</v>
      </c>
    </row>
    <row r="640" spans="1:25" ht="11.25" hidden="1" customHeight="1" x14ac:dyDescent="0.3">
      <c r="A640" s="126" t="s">
        <v>183</v>
      </c>
      <c r="B640" s="126">
        <v>27</v>
      </c>
      <c r="C640" s="126">
        <v>71</v>
      </c>
      <c r="D640" s="126" t="str">
        <f t="shared" si="55"/>
        <v>2771</v>
      </c>
      <c r="E640" s="101">
        <v>671.5</v>
      </c>
      <c r="F640" s="101">
        <v>8582</v>
      </c>
      <c r="G640" s="101">
        <v>28593.5</v>
      </c>
      <c r="H640" s="101">
        <v>193220.32</v>
      </c>
      <c r="I640" s="101">
        <v>123222.86749999999</v>
      </c>
      <c r="J640" s="101">
        <v>331</v>
      </c>
      <c r="K640" s="101">
        <v>4227</v>
      </c>
      <c r="L640" s="101">
        <v>12978</v>
      </c>
      <c r="M640" s="101">
        <v>92567.099999999991</v>
      </c>
      <c r="N640" s="101">
        <v>60149.997999999992</v>
      </c>
      <c r="O640" s="101">
        <v>495</v>
      </c>
      <c r="P640" s="101">
        <v>5858</v>
      </c>
      <c r="Q640" s="101">
        <v>32300</v>
      </c>
      <c r="R640" s="101">
        <v>233798.51</v>
      </c>
      <c r="S640" s="101">
        <v>114862.435</v>
      </c>
      <c r="T640" s="169">
        <v>0.98</v>
      </c>
      <c r="U640" s="101">
        <f t="shared" si="51"/>
        <v>485.09999999999997</v>
      </c>
      <c r="V640" s="101">
        <f t="shared" si="52"/>
        <v>5740.84</v>
      </c>
      <c r="W640" s="101">
        <f t="shared" si="53"/>
        <v>31654</v>
      </c>
      <c r="X640" s="101">
        <f t="shared" si="50"/>
        <v>229122.5398</v>
      </c>
      <c r="Y640" s="101">
        <f t="shared" si="54"/>
        <v>112565.1863</v>
      </c>
    </row>
    <row r="641" spans="1:25" ht="11.25" hidden="1" customHeight="1" x14ac:dyDescent="0.3">
      <c r="A641" s="126" t="s">
        <v>183</v>
      </c>
      <c r="B641" s="126">
        <v>27</v>
      </c>
      <c r="C641" s="126">
        <v>25</v>
      </c>
      <c r="D641" s="126" t="str">
        <f t="shared" si="55"/>
        <v>2725</v>
      </c>
      <c r="E641" s="101">
        <v>1011</v>
      </c>
      <c r="F641" s="101">
        <v>8734</v>
      </c>
      <c r="G641" s="101">
        <v>62077</v>
      </c>
      <c r="H641" s="101">
        <v>872525.56</v>
      </c>
      <c r="I641" s="101">
        <v>329826.82</v>
      </c>
      <c r="J641" s="101">
        <v>859</v>
      </c>
      <c r="K641" s="101">
        <v>7643</v>
      </c>
      <c r="L641" s="101">
        <v>47985</v>
      </c>
      <c r="M641" s="101">
        <v>481851.38</v>
      </c>
      <c r="N641" s="101">
        <v>177470.01299999998</v>
      </c>
      <c r="O641" s="101">
        <v>686</v>
      </c>
      <c r="P641" s="101">
        <v>6065</v>
      </c>
      <c r="Q641" s="101">
        <v>28846</v>
      </c>
      <c r="R641" s="101">
        <v>216056.75</v>
      </c>
      <c r="S641" s="101">
        <v>140476.63099999999</v>
      </c>
      <c r="T641" s="169">
        <v>1.02</v>
      </c>
      <c r="U641" s="101">
        <f t="shared" si="51"/>
        <v>699.72</v>
      </c>
      <c r="V641" s="101">
        <f t="shared" si="52"/>
        <v>6186.3</v>
      </c>
      <c r="W641" s="101">
        <f t="shared" si="53"/>
        <v>29422.920000000002</v>
      </c>
      <c r="X641" s="101">
        <f t="shared" si="50"/>
        <v>220377.88500000001</v>
      </c>
      <c r="Y641" s="101">
        <f t="shared" si="54"/>
        <v>143286.16362000001</v>
      </c>
    </row>
    <row r="642" spans="1:25" ht="11.25" hidden="1" customHeight="1" x14ac:dyDescent="0.3">
      <c r="A642" s="126" t="s">
        <v>183</v>
      </c>
      <c r="B642" s="126">
        <v>27</v>
      </c>
      <c r="C642" s="126">
        <v>14</v>
      </c>
      <c r="D642" s="126" t="str">
        <f t="shared" si="55"/>
        <v>2714</v>
      </c>
      <c r="J642" s="101">
        <v>16</v>
      </c>
      <c r="K642" s="101">
        <v>45</v>
      </c>
      <c r="L642" s="101">
        <v>63</v>
      </c>
      <c r="M642" s="101">
        <v>6797.32</v>
      </c>
      <c r="N642" s="101">
        <v>760.16</v>
      </c>
      <c r="O642" s="101">
        <v>14</v>
      </c>
      <c r="P642" s="101">
        <v>50</v>
      </c>
      <c r="Q642" s="101">
        <v>62</v>
      </c>
      <c r="R642" s="101">
        <v>6803.02</v>
      </c>
      <c r="S642" s="101">
        <v>1219.2239999999999</v>
      </c>
      <c r="T642" s="169">
        <v>1.02</v>
      </c>
      <c r="U642" s="101">
        <f t="shared" si="51"/>
        <v>14.280000000000001</v>
      </c>
      <c r="V642" s="101">
        <f t="shared" si="52"/>
        <v>51</v>
      </c>
      <c r="W642" s="101">
        <f t="shared" si="53"/>
        <v>63.24</v>
      </c>
      <c r="X642" s="101">
        <f t="shared" si="50"/>
        <v>6939.0804000000007</v>
      </c>
      <c r="Y642" s="101">
        <f t="shared" si="54"/>
        <v>1243.6084799999999</v>
      </c>
    </row>
    <row r="643" spans="1:25" ht="11.25" hidden="1" customHeight="1" x14ac:dyDescent="0.3">
      <c r="A643" s="126" t="s">
        <v>183</v>
      </c>
      <c r="B643" s="126">
        <v>27</v>
      </c>
      <c r="C643" s="126">
        <v>22</v>
      </c>
      <c r="D643" s="126" t="str">
        <f t="shared" si="55"/>
        <v>2722</v>
      </c>
      <c r="J643" s="101">
        <v>9</v>
      </c>
      <c r="K643" s="101">
        <v>15</v>
      </c>
      <c r="L643" s="101">
        <v>42</v>
      </c>
      <c r="M643" s="101">
        <v>656.63</v>
      </c>
      <c r="N643" s="101">
        <v>260.37099999999998</v>
      </c>
      <c r="O643" s="101">
        <v>4</v>
      </c>
      <c r="P643" s="101">
        <v>4</v>
      </c>
      <c r="Q643" s="101">
        <v>4</v>
      </c>
      <c r="R643" s="101">
        <v>23.88</v>
      </c>
      <c r="S643" s="101">
        <v>55.902999999999999</v>
      </c>
      <c r="T643" s="169">
        <v>1.02</v>
      </c>
      <c r="U643" s="101">
        <f t="shared" si="51"/>
        <v>4.08</v>
      </c>
      <c r="V643" s="101">
        <f t="shared" si="52"/>
        <v>4.08</v>
      </c>
      <c r="W643" s="101">
        <f t="shared" si="53"/>
        <v>4.08</v>
      </c>
      <c r="X643" s="101">
        <f t="shared" si="50"/>
        <v>24.357599999999998</v>
      </c>
      <c r="Y643" s="101">
        <f t="shared" si="54"/>
        <v>57.021059999999999</v>
      </c>
    </row>
    <row r="644" spans="1:25" ht="11.25" hidden="1" customHeight="1" x14ac:dyDescent="0.3">
      <c r="A644" s="126" t="s">
        <v>183</v>
      </c>
      <c r="B644" s="126">
        <v>27</v>
      </c>
      <c r="C644" s="126">
        <v>26</v>
      </c>
      <c r="D644" s="126" t="str">
        <f t="shared" si="55"/>
        <v>2726</v>
      </c>
      <c r="J644" s="101">
        <v>8</v>
      </c>
      <c r="K644" s="101">
        <v>15</v>
      </c>
      <c r="L644" s="101">
        <v>151</v>
      </c>
      <c r="M644" s="101">
        <v>3626.1200000000003</v>
      </c>
      <c r="N644" s="101">
        <v>1853.5619999999999</v>
      </c>
      <c r="O644" s="101">
        <v>1</v>
      </c>
      <c r="P644" s="101">
        <v>1</v>
      </c>
      <c r="Q644" s="101">
        <v>1</v>
      </c>
      <c r="R644" s="101">
        <v>34.979999999999997</v>
      </c>
      <c r="S644" s="101">
        <v>7.6749999999999998</v>
      </c>
      <c r="T644" s="169">
        <v>1.02</v>
      </c>
      <c r="U644" s="101">
        <f t="shared" si="51"/>
        <v>1.02</v>
      </c>
      <c r="V644" s="101">
        <f t="shared" si="52"/>
        <v>1.02</v>
      </c>
      <c r="W644" s="101">
        <f t="shared" si="53"/>
        <v>1.02</v>
      </c>
      <c r="X644" s="101">
        <f t="shared" si="50"/>
        <v>35.679600000000001</v>
      </c>
      <c r="Y644" s="101">
        <f t="shared" si="54"/>
        <v>7.8285</v>
      </c>
    </row>
    <row r="645" spans="1:25" ht="11.25" hidden="1" customHeight="1" x14ac:dyDescent="0.3">
      <c r="A645" s="126" t="s">
        <v>183</v>
      </c>
      <c r="B645" s="126">
        <v>27</v>
      </c>
      <c r="C645" s="126">
        <v>32</v>
      </c>
      <c r="D645" s="126" t="str">
        <f t="shared" si="55"/>
        <v>2732</v>
      </c>
      <c r="J645" s="101">
        <v>61</v>
      </c>
      <c r="K645" s="101">
        <v>78</v>
      </c>
      <c r="L645" s="101">
        <v>954</v>
      </c>
      <c r="M645" s="101">
        <v>9235.26</v>
      </c>
      <c r="N645" s="101">
        <v>5067.8559999999998</v>
      </c>
      <c r="O645" s="101">
        <v>36</v>
      </c>
      <c r="P645" s="101">
        <v>67</v>
      </c>
      <c r="Q645" s="101">
        <v>1352</v>
      </c>
      <c r="R645" s="101">
        <v>7660.73</v>
      </c>
      <c r="S645" s="101">
        <v>8002.6260000000002</v>
      </c>
      <c r="T645" s="169">
        <v>1.02</v>
      </c>
      <c r="U645" s="101">
        <f t="shared" si="51"/>
        <v>36.72</v>
      </c>
      <c r="V645" s="101">
        <f t="shared" si="52"/>
        <v>68.34</v>
      </c>
      <c r="W645" s="101">
        <f t="shared" si="53"/>
        <v>1379.04</v>
      </c>
      <c r="X645" s="101">
        <f t="shared" si="50"/>
        <v>7813.9445999999998</v>
      </c>
      <c r="Y645" s="101">
        <f t="shared" si="54"/>
        <v>8162.6785200000004</v>
      </c>
    </row>
    <row r="646" spans="1:25" ht="11.25" hidden="1" customHeight="1" x14ac:dyDescent="0.3">
      <c r="A646" s="126" t="s">
        <v>183</v>
      </c>
      <c r="B646" s="126">
        <v>27</v>
      </c>
      <c r="C646" s="126">
        <v>43</v>
      </c>
      <c r="D646" s="126" t="str">
        <f t="shared" si="55"/>
        <v>2743</v>
      </c>
      <c r="J646" s="101">
        <v>1</v>
      </c>
      <c r="K646" s="101">
        <v>2</v>
      </c>
      <c r="L646" s="101">
        <v>4</v>
      </c>
      <c r="M646" s="101">
        <v>0</v>
      </c>
      <c r="N646" s="101">
        <v>22.481000000000002</v>
      </c>
      <c r="O646" s="101">
        <v>0</v>
      </c>
      <c r="P646" s="101">
        <v>0</v>
      </c>
      <c r="Q646" s="101">
        <v>0</v>
      </c>
      <c r="R646" s="101">
        <v>0</v>
      </c>
      <c r="S646" s="101">
        <v>0</v>
      </c>
      <c r="T646" s="169">
        <v>1.02</v>
      </c>
      <c r="U646" s="101">
        <f t="shared" si="51"/>
        <v>0</v>
      </c>
      <c r="V646" s="101">
        <f t="shared" si="52"/>
        <v>0</v>
      </c>
      <c r="W646" s="101">
        <f t="shared" si="53"/>
        <v>0</v>
      </c>
      <c r="X646" s="101">
        <f t="shared" ref="X646:X709" si="56">R646*T646</f>
        <v>0</v>
      </c>
      <c r="Y646" s="101">
        <f t="shared" si="54"/>
        <v>0</v>
      </c>
    </row>
    <row r="647" spans="1:25" ht="11.25" hidden="1" customHeight="1" x14ac:dyDescent="0.3">
      <c r="A647" s="126" t="s">
        <v>183</v>
      </c>
      <c r="B647" s="126">
        <v>27</v>
      </c>
      <c r="C647" s="126">
        <v>44</v>
      </c>
      <c r="D647" s="126" t="str">
        <f t="shared" si="55"/>
        <v>2744</v>
      </c>
      <c r="J647" s="101">
        <v>0</v>
      </c>
      <c r="K647" s="101">
        <v>0</v>
      </c>
      <c r="L647" s="101">
        <v>0</v>
      </c>
      <c r="M647" s="101">
        <v>0</v>
      </c>
      <c r="N647" s="101">
        <v>0</v>
      </c>
      <c r="O647" s="101">
        <v>0</v>
      </c>
      <c r="P647" s="101">
        <v>0</v>
      </c>
      <c r="Q647" s="101">
        <v>0</v>
      </c>
      <c r="R647" s="101">
        <v>0</v>
      </c>
      <c r="S647" s="101">
        <v>0</v>
      </c>
      <c r="T647" s="169">
        <v>1.02</v>
      </c>
      <c r="U647" s="101">
        <f t="shared" si="51"/>
        <v>0</v>
      </c>
      <c r="V647" s="101">
        <f t="shared" si="52"/>
        <v>0</v>
      </c>
      <c r="W647" s="101">
        <f t="shared" si="53"/>
        <v>0</v>
      </c>
      <c r="X647" s="101">
        <f t="shared" si="56"/>
        <v>0</v>
      </c>
      <c r="Y647" s="101">
        <f t="shared" si="54"/>
        <v>0</v>
      </c>
    </row>
    <row r="648" spans="1:25" ht="11.25" hidden="1" customHeight="1" x14ac:dyDescent="0.3">
      <c r="A648" s="126" t="s">
        <v>183</v>
      </c>
      <c r="B648" s="126">
        <v>27</v>
      </c>
      <c r="C648" s="126">
        <v>45</v>
      </c>
      <c r="D648" s="126" t="str">
        <f t="shared" si="55"/>
        <v>2745</v>
      </c>
      <c r="J648" s="101">
        <v>0</v>
      </c>
      <c r="K648" s="101">
        <v>0</v>
      </c>
      <c r="L648" s="101">
        <v>0</v>
      </c>
      <c r="M648" s="101">
        <v>0</v>
      </c>
      <c r="N648" s="101">
        <v>0</v>
      </c>
      <c r="O648" s="101">
        <v>0</v>
      </c>
      <c r="P648" s="101">
        <v>0</v>
      </c>
      <c r="Q648" s="101">
        <v>0</v>
      </c>
      <c r="R648" s="101">
        <v>0</v>
      </c>
      <c r="S648" s="101">
        <v>0</v>
      </c>
      <c r="T648" s="169">
        <v>1.02</v>
      </c>
      <c r="U648" s="101">
        <f t="shared" ref="U648:U711" si="57">O648*T648</f>
        <v>0</v>
      </c>
      <c r="V648" s="101">
        <f t="shared" ref="V648:V711" si="58">P648*T648</f>
        <v>0</v>
      </c>
      <c r="W648" s="101">
        <f t="shared" ref="W648:W711" si="59">Q648*T648</f>
        <v>0</v>
      </c>
      <c r="X648" s="101">
        <f t="shared" si="56"/>
        <v>0</v>
      </c>
      <c r="Y648" s="101">
        <f t="shared" ref="Y648:Y711" si="60">S648*T648</f>
        <v>0</v>
      </c>
    </row>
    <row r="649" spans="1:25" ht="11.25" hidden="1" customHeight="1" x14ac:dyDescent="0.3">
      <c r="A649" s="126" t="s">
        <v>183</v>
      </c>
      <c r="B649" s="126">
        <v>27</v>
      </c>
      <c r="C649" s="126">
        <v>47</v>
      </c>
      <c r="D649" s="126" t="str">
        <f t="shared" si="55"/>
        <v>2747</v>
      </c>
      <c r="J649" s="101">
        <v>0</v>
      </c>
      <c r="K649" s="101">
        <v>0</v>
      </c>
      <c r="L649" s="101">
        <v>0</v>
      </c>
      <c r="M649" s="101">
        <v>0</v>
      </c>
      <c r="N649" s="101">
        <v>0</v>
      </c>
      <c r="O649" s="101">
        <v>3</v>
      </c>
      <c r="P649" s="101">
        <v>12</v>
      </c>
      <c r="Q649" s="101">
        <v>4522</v>
      </c>
      <c r="R649" s="101">
        <v>59015.46</v>
      </c>
      <c r="S649" s="101">
        <v>8533.7900000000009</v>
      </c>
      <c r="T649" s="169">
        <v>1.02</v>
      </c>
      <c r="U649" s="101">
        <f t="shared" si="57"/>
        <v>3.06</v>
      </c>
      <c r="V649" s="101">
        <f t="shared" si="58"/>
        <v>12.24</v>
      </c>
      <c r="W649" s="101">
        <f t="shared" si="59"/>
        <v>4612.4400000000005</v>
      </c>
      <c r="X649" s="101">
        <f t="shared" si="56"/>
        <v>60195.769200000002</v>
      </c>
      <c r="Y649" s="101">
        <f t="shared" si="60"/>
        <v>8704.4658000000018</v>
      </c>
    </row>
    <row r="650" spans="1:25" ht="11.25" hidden="1" customHeight="1" x14ac:dyDescent="0.3">
      <c r="A650" s="126" t="s">
        <v>183</v>
      </c>
      <c r="B650" s="126">
        <v>27</v>
      </c>
      <c r="C650" s="126">
        <v>91</v>
      </c>
      <c r="D650" s="126" t="str">
        <f t="shared" si="55"/>
        <v>2791</v>
      </c>
      <c r="J650" s="101">
        <v>50</v>
      </c>
      <c r="K650" s="101">
        <v>126</v>
      </c>
      <c r="L650" s="101">
        <v>1237</v>
      </c>
      <c r="M650" s="101">
        <v>3568.8700000000003</v>
      </c>
      <c r="N650" s="101">
        <v>1963.8</v>
      </c>
      <c r="O650" s="101">
        <v>45</v>
      </c>
      <c r="P650" s="101">
        <v>90</v>
      </c>
      <c r="Q650" s="101">
        <v>1595</v>
      </c>
      <c r="R650" s="101">
        <v>6434.43</v>
      </c>
      <c r="S650" s="101">
        <v>2073.4650000000001</v>
      </c>
      <c r="T650" s="169">
        <v>1.02</v>
      </c>
      <c r="U650" s="101">
        <f t="shared" si="57"/>
        <v>45.9</v>
      </c>
      <c r="V650" s="101">
        <f t="shared" si="58"/>
        <v>91.8</v>
      </c>
      <c r="W650" s="101">
        <f t="shared" si="59"/>
        <v>1626.9</v>
      </c>
      <c r="X650" s="101">
        <f t="shared" si="56"/>
        <v>6563.1186000000007</v>
      </c>
      <c r="Y650" s="101">
        <f t="shared" si="60"/>
        <v>2114.9343000000003</v>
      </c>
    </row>
    <row r="651" spans="1:25" ht="11.25" hidden="1" customHeight="1" x14ac:dyDescent="0.3">
      <c r="A651" s="126" t="s">
        <v>183</v>
      </c>
      <c r="B651" s="126">
        <v>27</v>
      </c>
      <c r="C651" s="126">
        <v>27</v>
      </c>
      <c r="D651" s="126" t="str">
        <f t="shared" si="55"/>
        <v>2727</v>
      </c>
      <c r="E651" s="101">
        <v>86</v>
      </c>
      <c r="F651" s="101">
        <v>1219</v>
      </c>
      <c r="G651" s="101">
        <v>5368</v>
      </c>
      <c r="H651" s="101">
        <v>67220.560000000012</v>
      </c>
      <c r="I651" s="101">
        <v>36741.103999999999</v>
      </c>
      <c r="J651" s="101">
        <v>97</v>
      </c>
      <c r="K651" s="101">
        <v>1558</v>
      </c>
      <c r="L651" s="101">
        <v>7103</v>
      </c>
      <c r="M651" s="101">
        <v>81141.14</v>
      </c>
      <c r="N651" s="101">
        <v>31001.714</v>
      </c>
      <c r="O651" s="101">
        <v>113</v>
      </c>
      <c r="P651" s="101">
        <v>2976</v>
      </c>
      <c r="Q651" s="101">
        <v>22163</v>
      </c>
      <c r="R651" s="101">
        <v>173133.23</v>
      </c>
      <c r="S651" s="101">
        <v>74405.202000000005</v>
      </c>
      <c r="T651" s="169">
        <v>1.02</v>
      </c>
      <c r="U651" s="101">
        <f t="shared" si="57"/>
        <v>115.26</v>
      </c>
      <c r="V651" s="101">
        <f t="shared" si="58"/>
        <v>3035.52</v>
      </c>
      <c r="W651" s="101">
        <f t="shared" si="59"/>
        <v>22606.260000000002</v>
      </c>
      <c r="X651" s="101">
        <f t="shared" si="56"/>
        <v>176595.8946</v>
      </c>
      <c r="Y651" s="101">
        <f t="shared" si="60"/>
        <v>75893.30604000001</v>
      </c>
    </row>
    <row r="652" spans="1:25" ht="11.25" hidden="1" customHeight="1" x14ac:dyDescent="0.3">
      <c r="A652" s="126" t="s">
        <v>183</v>
      </c>
      <c r="B652" s="126">
        <v>27</v>
      </c>
      <c r="C652" s="126">
        <v>34</v>
      </c>
      <c r="D652" s="126" t="str">
        <f t="shared" si="55"/>
        <v>2734</v>
      </c>
      <c r="O652" s="101">
        <v>1</v>
      </c>
      <c r="P652" s="101">
        <v>1</v>
      </c>
      <c r="Q652" s="101">
        <v>100</v>
      </c>
      <c r="R652" s="101">
        <v>862</v>
      </c>
      <c r="S652" s="101">
        <v>58.88</v>
      </c>
      <c r="T652" s="169">
        <v>1.02</v>
      </c>
      <c r="U652" s="101">
        <f t="shared" si="57"/>
        <v>1.02</v>
      </c>
      <c r="V652" s="101">
        <f t="shared" si="58"/>
        <v>1.02</v>
      </c>
      <c r="W652" s="101">
        <f t="shared" si="59"/>
        <v>102</v>
      </c>
      <c r="X652" s="101">
        <f t="shared" si="56"/>
        <v>879.24</v>
      </c>
      <c r="Y652" s="101">
        <f t="shared" si="60"/>
        <v>60.057600000000001</v>
      </c>
    </row>
    <row r="653" spans="1:25" ht="11.25" hidden="1" customHeight="1" x14ac:dyDescent="0.3">
      <c r="A653" s="126" t="s">
        <v>183</v>
      </c>
      <c r="B653" s="126">
        <v>27</v>
      </c>
      <c r="C653" s="126">
        <v>41</v>
      </c>
      <c r="D653" s="126" t="str">
        <f t="shared" si="55"/>
        <v>2741</v>
      </c>
      <c r="O653" s="101">
        <v>1</v>
      </c>
      <c r="P653" s="101">
        <v>7</v>
      </c>
      <c r="Q653" s="101">
        <v>49</v>
      </c>
      <c r="R653" s="101">
        <v>298.87</v>
      </c>
      <c r="S653" s="101">
        <v>71.683000000000007</v>
      </c>
      <c r="T653" s="169">
        <v>1.02</v>
      </c>
      <c r="U653" s="101">
        <f t="shared" si="57"/>
        <v>1.02</v>
      </c>
      <c r="V653" s="101">
        <f t="shared" si="58"/>
        <v>7.1400000000000006</v>
      </c>
      <c r="W653" s="101">
        <f t="shared" si="59"/>
        <v>49.980000000000004</v>
      </c>
      <c r="X653" s="101">
        <f t="shared" si="56"/>
        <v>304.84739999999999</v>
      </c>
      <c r="Y653" s="101">
        <f t="shared" si="60"/>
        <v>73.11666000000001</v>
      </c>
    </row>
    <row r="654" spans="1:25" ht="11.25" customHeight="1" x14ac:dyDescent="0.3">
      <c r="A654" s="126" t="s">
        <v>183</v>
      </c>
      <c r="B654" s="126">
        <v>27</v>
      </c>
      <c r="C654" s="126" t="s">
        <v>172</v>
      </c>
      <c r="D654" s="126" t="str">
        <f t="shared" si="55"/>
        <v>27Uml</v>
      </c>
      <c r="J654" s="101">
        <v>397</v>
      </c>
      <c r="K654" s="101">
        <v>409</v>
      </c>
      <c r="L654" s="101">
        <v>114249</v>
      </c>
      <c r="N654" s="101">
        <v>647236</v>
      </c>
      <c r="O654" s="101">
        <v>313</v>
      </c>
      <c r="P654" s="101">
        <v>315</v>
      </c>
      <c r="Q654" s="101">
        <v>71108</v>
      </c>
      <c r="S654" s="101">
        <v>327557</v>
      </c>
      <c r="T654" s="169">
        <v>1.02</v>
      </c>
      <c r="U654" s="101">
        <f t="shared" si="57"/>
        <v>319.26</v>
      </c>
      <c r="V654" s="101">
        <f t="shared" si="58"/>
        <v>321.3</v>
      </c>
      <c r="W654" s="101">
        <f t="shared" si="59"/>
        <v>72530.16</v>
      </c>
      <c r="X654" s="101">
        <f t="shared" si="56"/>
        <v>0</v>
      </c>
      <c r="Y654" s="101">
        <f t="shared" si="60"/>
        <v>334108.14</v>
      </c>
    </row>
    <row r="655" spans="1:25" ht="11.25" hidden="1" customHeight="1" x14ac:dyDescent="0.3">
      <c r="A655" s="126" t="s">
        <v>183</v>
      </c>
      <c r="B655" s="126">
        <v>27</v>
      </c>
      <c r="C655" s="126">
        <v>37</v>
      </c>
      <c r="D655" s="126" t="str">
        <f t="shared" si="55"/>
        <v>2737</v>
      </c>
      <c r="E655" s="101">
        <v>7</v>
      </c>
      <c r="F655" s="101">
        <v>33.25</v>
      </c>
      <c r="G655" s="101">
        <v>4533</v>
      </c>
      <c r="H655" s="101">
        <v>9051.1375000000007</v>
      </c>
      <c r="I655" s="101">
        <v>3880.2249999999999</v>
      </c>
      <c r="J655" s="101">
        <v>27</v>
      </c>
      <c r="K655" s="101">
        <v>116</v>
      </c>
      <c r="L655" s="101">
        <v>11348</v>
      </c>
      <c r="M655" s="101">
        <v>37126.579999999994</v>
      </c>
      <c r="N655" s="101">
        <v>36122.317999999999</v>
      </c>
      <c r="O655" s="101">
        <v>26</v>
      </c>
      <c r="P655" s="101">
        <v>86</v>
      </c>
      <c r="Q655" s="101">
        <v>2657</v>
      </c>
      <c r="R655" s="101">
        <v>13690.54</v>
      </c>
      <c r="S655" s="101">
        <v>4017.9</v>
      </c>
      <c r="T655" s="169">
        <v>1.02</v>
      </c>
      <c r="U655" s="101">
        <f t="shared" si="57"/>
        <v>26.52</v>
      </c>
      <c r="V655" s="101">
        <f t="shared" si="58"/>
        <v>87.72</v>
      </c>
      <c r="W655" s="101">
        <f t="shared" si="59"/>
        <v>2710.14</v>
      </c>
      <c r="X655" s="101">
        <f t="shared" si="56"/>
        <v>13964.350800000002</v>
      </c>
      <c r="Y655" s="101">
        <f t="shared" si="60"/>
        <v>4098.2579999999998</v>
      </c>
    </row>
    <row r="656" spans="1:25" ht="11.25" hidden="1" customHeight="1" x14ac:dyDescent="0.3">
      <c r="A656" s="126" t="s">
        <v>183</v>
      </c>
      <c r="B656" s="126">
        <v>28</v>
      </c>
      <c r="C656" s="126">
        <v>12</v>
      </c>
      <c r="D656" s="126" t="str">
        <f t="shared" si="55"/>
        <v>2812</v>
      </c>
      <c r="E656" s="101">
        <v>33</v>
      </c>
      <c r="F656" s="101">
        <v>50</v>
      </c>
      <c r="G656" s="101">
        <v>59</v>
      </c>
      <c r="H656" s="101">
        <v>884.89</v>
      </c>
      <c r="I656" s="101">
        <v>278.75</v>
      </c>
      <c r="J656" s="101">
        <v>24</v>
      </c>
      <c r="K656" s="101">
        <v>36</v>
      </c>
      <c r="L656" s="101">
        <v>64</v>
      </c>
      <c r="M656" s="101">
        <v>1345.31</v>
      </c>
      <c r="N656" s="101">
        <v>229.334</v>
      </c>
      <c r="O656" s="101">
        <v>9</v>
      </c>
      <c r="P656" s="101">
        <v>12</v>
      </c>
      <c r="Q656" s="101">
        <v>14</v>
      </c>
      <c r="R656" s="101">
        <v>381.53</v>
      </c>
      <c r="S656" s="101">
        <v>44.889000000000003</v>
      </c>
      <c r="T656" s="169">
        <v>1.02</v>
      </c>
      <c r="U656" s="101">
        <f t="shared" si="57"/>
        <v>9.18</v>
      </c>
      <c r="V656" s="101">
        <f t="shared" si="58"/>
        <v>12.24</v>
      </c>
      <c r="W656" s="101">
        <f t="shared" si="59"/>
        <v>14.280000000000001</v>
      </c>
      <c r="X656" s="101">
        <f t="shared" si="56"/>
        <v>389.16059999999999</v>
      </c>
      <c r="Y656" s="101">
        <f t="shared" si="60"/>
        <v>45.78678</v>
      </c>
    </row>
    <row r="657" spans="1:25" ht="11.25" hidden="1" customHeight="1" x14ac:dyDescent="0.3">
      <c r="A657" s="126" t="s">
        <v>183</v>
      </c>
      <c r="B657" s="126">
        <v>28</v>
      </c>
      <c r="C657" s="126">
        <v>17</v>
      </c>
      <c r="D657" s="126" t="str">
        <f t="shared" si="55"/>
        <v>2817</v>
      </c>
      <c r="E657" s="101">
        <v>2769</v>
      </c>
      <c r="F657" s="101">
        <v>3578</v>
      </c>
      <c r="G657" s="101">
        <v>4805</v>
      </c>
      <c r="H657" s="101">
        <v>181974.05</v>
      </c>
      <c r="I657" s="101">
        <v>38368.008999999998</v>
      </c>
      <c r="J657" s="101">
        <v>1023</v>
      </c>
      <c r="K657" s="101">
        <v>4430</v>
      </c>
      <c r="L657" s="101">
        <v>5258</v>
      </c>
      <c r="M657" s="101">
        <v>78355.710000000006</v>
      </c>
      <c r="N657" s="101">
        <v>13101.291999999999</v>
      </c>
      <c r="O657" s="101">
        <v>2396</v>
      </c>
      <c r="P657" s="101">
        <v>4362</v>
      </c>
      <c r="Q657" s="101">
        <v>5201</v>
      </c>
      <c r="R657" s="101">
        <v>173993.07</v>
      </c>
      <c r="S657" s="101">
        <v>89000.33</v>
      </c>
      <c r="T657" s="169">
        <v>1.02</v>
      </c>
      <c r="U657" s="101">
        <v>1845</v>
      </c>
      <c r="V657" s="101">
        <v>3689</v>
      </c>
      <c r="W657" s="101">
        <v>5363</v>
      </c>
      <c r="X657" s="101">
        <f t="shared" si="56"/>
        <v>177472.9314</v>
      </c>
      <c r="Y657" s="101">
        <v>30000</v>
      </c>
    </row>
    <row r="658" spans="1:25" ht="11.25" hidden="1" customHeight="1" x14ac:dyDescent="0.3">
      <c r="A658" s="126" t="s">
        <v>183</v>
      </c>
      <c r="B658" s="126">
        <v>28</v>
      </c>
      <c r="C658" s="126">
        <v>18</v>
      </c>
      <c r="D658" s="126" t="str">
        <f t="shared" si="55"/>
        <v>2818</v>
      </c>
      <c r="E658" s="101">
        <v>258</v>
      </c>
      <c r="F658" s="101">
        <v>338</v>
      </c>
      <c r="G658" s="101">
        <v>517</v>
      </c>
      <c r="H658" s="101">
        <v>18741.45</v>
      </c>
      <c r="I658" s="101">
        <v>3084.6490000000003</v>
      </c>
      <c r="J658" s="101">
        <v>1625</v>
      </c>
      <c r="K658" s="101">
        <v>1726</v>
      </c>
      <c r="L658" s="101">
        <v>1978</v>
      </c>
      <c r="M658" s="101">
        <v>86155.11</v>
      </c>
      <c r="N658" s="101">
        <v>16956.122000000003</v>
      </c>
      <c r="O658" s="101">
        <v>1255</v>
      </c>
      <c r="P658" s="101">
        <v>1400</v>
      </c>
      <c r="Q658" s="101">
        <v>4255</v>
      </c>
      <c r="R658" s="101">
        <v>67861.09</v>
      </c>
      <c r="S658" s="101">
        <v>87965.691999999995</v>
      </c>
      <c r="T658" s="169">
        <v>1.02</v>
      </c>
      <c r="U658" s="101">
        <f t="shared" si="57"/>
        <v>1280.0999999999999</v>
      </c>
      <c r="V658" s="101">
        <f t="shared" si="58"/>
        <v>1428</v>
      </c>
      <c r="W658" s="101">
        <f t="shared" si="59"/>
        <v>4340.1000000000004</v>
      </c>
      <c r="X658" s="101">
        <f t="shared" si="56"/>
        <v>69218.311799999996</v>
      </c>
      <c r="Y658" s="101">
        <f t="shared" si="60"/>
        <v>89725.005839999998</v>
      </c>
    </row>
    <row r="659" spans="1:25" ht="11.25" hidden="1" customHeight="1" x14ac:dyDescent="0.3">
      <c r="A659" s="126" t="s">
        <v>183</v>
      </c>
      <c r="B659" s="126">
        <v>28</v>
      </c>
      <c r="C659" s="126">
        <v>28</v>
      </c>
      <c r="D659" s="126" t="str">
        <f t="shared" si="55"/>
        <v>2828</v>
      </c>
      <c r="E659" s="101">
        <v>247</v>
      </c>
      <c r="F659" s="101">
        <v>2656</v>
      </c>
      <c r="G659" s="101">
        <v>17450</v>
      </c>
      <c r="H659" s="101">
        <v>381054.8</v>
      </c>
      <c r="I659" s="101">
        <v>78141.240999999995</v>
      </c>
      <c r="J659" s="101">
        <v>225</v>
      </c>
      <c r="K659" s="101">
        <v>3671</v>
      </c>
      <c r="L659" s="101">
        <v>22075</v>
      </c>
      <c r="M659" s="101">
        <v>358504.36000000004</v>
      </c>
      <c r="N659" s="101">
        <v>74082.564000000013</v>
      </c>
      <c r="O659" s="101">
        <v>264</v>
      </c>
      <c r="P659" s="101">
        <v>4796</v>
      </c>
      <c r="Q659" s="101">
        <v>27059</v>
      </c>
      <c r="R659" s="101">
        <v>762060.92</v>
      </c>
      <c r="S659" s="101">
        <v>175765.122</v>
      </c>
      <c r="T659" s="169">
        <v>1.02</v>
      </c>
      <c r="U659" s="101">
        <f t="shared" si="57"/>
        <v>269.28000000000003</v>
      </c>
      <c r="V659" s="101">
        <f t="shared" si="58"/>
        <v>4891.92</v>
      </c>
      <c r="W659" s="101">
        <f t="shared" si="59"/>
        <v>27600.18</v>
      </c>
      <c r="X659" s="101">
        <f t="shared" si="56"/>
        <v>777302.13840000005</v>
      </c>
      <c r="Y659" s="101">
        <f t="shared" si="60"/>
        <v>179280.42444</v>
      </c>
    </row>
    <row r="660" spans="1:25" ht="11.25" hidden="1" customHeight="1" x14ac:dyDescent="0.3">
      <c r="A660" s="126" t="s">
        <v>183</v>
      </c>
      <c r="B660" s="126">
        <v>28</v>
      </c>
      <c r="C660" s="126">
        <v>46</v>
      </c>
      <c r="D660" s="126" t="str">
        <f t="shared" si="55"/>
        <v>2846</v>
      </c>
      <c r="E660" s="101">
        <v>239</v>
      </c>
      <c r="F660" s="101">
        <v>729</v>
      </c>
      <c r="G660" s="101">
        <v>4446</v>
      </c>
      <c r="H660" s="101">
        <v>80988.679999999993</v>
      </c>
      <c r="I660" s="101">
        <v>75924.09</v>
      </c>
      <c r="J660" s="101">
        <v>128</v>
      </c>
      <c r="K660" s="101">
        <v>289</v>
      </c>
      <c r="L660" s="101">
        <v>53548</v>
      </c>
      <c r="M660" s="101">
        <v>344784.11</v>
      </c>
      <c r="N660" s="101">
        <v>61224.394000000008</v>
      </c>
      <c r="O660" s="101">
        <v>134</v>
      </c>
      <c r="P660" s="101">
        <v>343</v>
      </c>
      <c r="Q660" s="101">
        <v>10218</v>
      </c>
      <c r="R660" s="101">
        <v>230396.64</v>
      </c>
      <c r="S660" s="101">
        <v>110030.061</v>
      </c>
      <c r="T660" s="169">
        <v>1.02</v>
      </c>
      <c r="U660" s="101">
        <f t="shared" si="57"/>
        <v>136.68</v>
      </c>
      <c r="V660" s="101">
        <f t="shared" si="58"/>
        <v>349.86</v>
      </c>
      <c r="W660" s="101">
        <f t="shared" si="59"/>
        <v>10422.36</v>
      </c>
      <c r="X660" s="101">
        <f t="shared" si="56"/>
        <v>235004.57280000002</v>
      </c>
      <c r="Y660" s="101">
        <f t="shared" si="60"/>
        <v>112230.66222</v>
      </c>
    </row>
    <row r="661" spans="1:25" ht="11.25" hidden="1" customHeight="1" x14ac:dyDescent="0.3">
      <c r="A661" s="126" t="s">
        <v>183</v>
      </c>
      <c r="B661" s="126">
        <v>28</v>
      </c>
      <c r="C661" s="126">
        <v>66</v>
      </c>
      <c r="D661" s="126" t="str">
        <f t="shared" si="55"/>
        <v>2866</v>
      </c>
      <c r="E661" s="101">
        <v>313</v>
      </c>
      <c r="F661" s="101">
        <v>1885</v>
      </c>
      <c r="G661" s="101">
        <v>35214</v>
      </c>
      <c r="H661" s="101">
        <v>185751.67999999999</v>
      </c>
      <c r="I661" s="101">
        <v>76475.824999999997</v>
      </c>
      <c r="J661" s="101">
        <v>271</v>
      </c>
      <c r="K661" s="101">
        <v>1196</v>
      </c>
      <c r="L661" s="101">
        <v>27911</v>
      </c>
      <c r="M661" s="101">
        <v>145048.99</v>
      </c>
      <c r="N661" s="101">
        <v>105544.36799999999</v>
      </c>
      <c r="O661" s="101">
        <v>193</v>
      </c>
      <c r="P661" s="101">
        <v>1205</v>
      </c>
      <c r="Q661" s="101">
        <v>42454</v>
      </c>
      <c r="R661" s="101">
        <v>169571.61</v>
      </c>
      <c r="S661" s="101">
        <v>76684.447</v>
      </c>
      <c r="T661" s="169">
        <v>1.02</v>
      </c>
      <c r="U661" s="101">
        <f t="shared" si="57"/>
        <v>196.86</v>
      </c>
      <c r="V661" s="101">
        <f t="shared" si="58"/>
        <v>1229.0999999999999</v>
      </c>
      <c r="W661" s="101">
        <f t="shared" si="59"/>
        <v>43303.08</v>
      </c>
      <c r="X661" s="101">
        <f t="shared" si="56"/>
        <v>172963.0422</v>
      </c>
      <c r="Y661" s="101">
        <f t="shared" si="60"/>
        <v>78218.135940000007</v>
      </c>
    </row>
    <row r="662" spans="1:25" ht="11.25" hidden="1" customHeight="1" x14ac:dyDescent="0.3">
      <c r="A662" s="126" t="s">
        <v>183</v>
      </c>
      <c r="B662" s="126">
        <v>28</v>
      </c>
      <c r="C662" s="126">
        <v>30</v>
      </c>
      <c r="D662" s="126" t="str">
        <f t="shared" si="55"/>
        <v>2830</v>
      </c>
      <c r="E662" s="101">
        <v>231</v>
      </c>
      <c r="F662" s="101">
        <v>3542.5</v>
      </c>
      <c r="G662" s="101">
        <v>12529</v>
      </c>
      <c r="H662" s="101">
        <v>264055.17000000004</v>
      </c>
      <c r="I662" s="101">
        <v>85475.356500000009</v>
      </c>
      <c r="J662" s="101">
        <v>0</v>
      </c>
      <c r="K662" s="101">
        <v>0</v>
      </c>
      <c r="L662" s="101">
        <v>0</v>
      </c>
      <c r="M662" s="101">
        <v>0</v>
      </c>
      <c r="N662" s="101">
        <v>0</v>
      </c>
      <c r="O662" s="101">
        <v>88</v>
      </c>
      <c r="P662" s="101">
        <v>102</v>
      </c>
      <c r="Q662" s="101">
        <v>3227</v>
      </c>
      <c r="R662" s="101">
        <v>396519.46</v>
      </c>
      <c r="S662" s="101">
        <v>190697.66899999999</v>
      </c>
      <c r="T662" s="169">
        <v>1.02</v>
      </c>
      <c r="U662" s="101">
        <f t="shared" si="57"/>
        <v>89.76</v>
      </c>
      <c r="V662" s="101">
        <f t="shared" si="58"/>
        <v>104.04</v>
      </c>
      <c r="W662" s="101">
        <f t="shared" si="59"/>
        <v>3291.54</v>
      </c>
      <c r="X662" s="101">
        <f t="shared" si="56"/>
        <v>404449.84920000006</v>
      </c>
      <c r="Y662" s="101">
        <f t="shared" si="60"/>
        <v>194511.62237999999</v>
      </c>
    </row>
    <row r="663" spans="1:25" ht="11.25" hidden="1" customHeight="1" x14ac:dyDescent="0.3">
      <c r="A663" s="126" t="s">
        <v>183</v>
      </c>
      <c r="B663" s="126">
        <v>28</v>
      </c>
      <c r="C663" s="126">
        <v>21</v>
      </c>
      <c r="D663" s="126" t="str">
        <f t="shared" si="55"/>
        <v>2821</v>
      </c>
      <c r="E663" s="101">
        <v>723.5</v>
      </c>
      <c r="F663" s="101">
        <v>4569.5</v>
      </c>
      <c r="G663" s="101">
        <v>18469.5</v>
      </c>
      <c r="H663" s="101">
        <v>287391.84999999998</v>
      </c>
      <c r="I663" s="101">
        <v>80191.445999999982</v>
      </c>
      <c r="J663" s="101">
        <v>1425</v>
      </c>
      <c r="K663" s="101">
        <v>7282</v>
      </c>
      <c r="L663" s="101">
        <v>36663</v>
      </c>
      <c r="M663" s="101">
        <v>483371.6</v>
      </c>
      <c r="N663" s="101">
        <v>158888.58500000002</v>
      </c>
      <c r="O663" s="101">
        <v>712</v>
      </c>
      <c r="P663" s="101">
        <v>6275</v>
      </c>
      <c r="Q663" s="101">
        <v>29248</v>
      </c>
      <c r="R663" s="101">
        <v>334469.59999999998</v>
      </c>
      <c r="S663" s="101">
        <v>1105449</v>
      </c>
      <c r="T663" s="169">
        <v>1.02</v>
      </c>
      <c r="U663" s="101">
        <f>O663*T663-2</f>
        <v>724.24</v>
      </c>
      <c r="V663" s="101">
        <f>P663*T663-4</f>
        <v>6396.5</v>
      </c>
      <c r="W663" s="101">
        <f>Q663*T663-200</f>
        <v>29632.959999999999</v>
      </c>
      <c r="X663" s="101">
        <f>R663*T663-2700</f>
        <v>338458.99199999997</v>
      </c>
      <c r="Y663" s="101">
        <f>S663*T663-1277</f>
        <v>1126280.98</v>
      </c>
    </row>
    <row r="664" spans="1:25" ht="11.25" hidden="1" customHeight="1" x14ac:dyDescent="0.3">
      <c r="A664" s="126" t="s">
        <v>183</v>
      </c>
      <c r="B664" s="126">
        <v>28</v>
      </c>
      <c r="C664" s="126">
        <v>71</v>
      </c>
      <c r="D664" s="126" t="str">
        <f t="shared" si="55"/>
        <v>2871</v>
      </c>
      <c r="E664" s="101">
        <v>657.5</v>
      </c>
      <c r="F664" s="101">
        <v>4449</v>
      </c>
      <c r="G664" s="101">
        <v>14722</v>
      </c>
      <c r="H664" s="101">
        <v>118696.84</v>
      </c>
      <c r="I664" s="101">
        <v>64218.713499999998</v>
      </c>
      <c r="J664" s="101">
        <v>373</v>
      </c>
      <c r="K664" s="101">
        <v>3088</v>
      </c>
      <c r="L664" s="101">
        <v>9843</v>
      </c>
      <c r="M664" s="101">
        <v>68163.11</v>
      </c>
      <c r="N664" s="101">
        <v>37655.856</v>
      </c>
      <c r="O664" s="101">
        <v>645</v>
      </c>
      <c r="P664" s="101">
        <v>7680</v>
      </c>
      <c r="Q664" s="101">
        <v>36130</v>
      </c>
      <c r="R664" s="101">
        <v>219832.28</v>
      </c>
      <c r="S664" s="101">
        <v>130637.648</v>
      </c>
      <c r="T664" s="169">
        <v>0.98</v>
      </c>
      <c r="U664" s="101">
        <f t="shared" si="57"/>
        <v>632.1</v>
      </c>
      <c r="V664" s="101">
        <f t="shared" si="58"/>
        <v>7526.4</v>
      </c>
      <c r="W664" s="101">
        <f t="shared" si="59"/>
        <v>35407.4</v>
      </c>
      <c r="X664" s="101">
        <f t="shared" si="56"/>
        <v>215435.63439999998</v>
      </c>
      <c r="Y664" s="101">
        <f t="shared" si="60"/>
        <v>128024.89504</v>
      </c>
    </row>
    <row r="665" spans="1:25" ht="11.25" hidden="1" customHeight="1" x14ac:dyDescent="0.3">
      <c r="A665" s="126" t="s">
        <v>183</v>
      </c>
      <c r="B665" s="126">
        <v>28</v>
      </c>
      <c r="C665" s="126">
        <v>25</v>
      </c>
      <c r="D665" s="126" t="str">
        <f t="shared" si="55"/>
        <v>2825</v>
      </c>
      <c r="E665" s="101">
        <v>887</v>
      </c>
      <c r="F665" s="101">
        <v>5782</v>
      </c>
      <c r="G665" s="101">
        <v>37877</v>
      </c>
      <c r="H665" s="101">
        <v>491068.68</v>
      </c>
      <c r="I665" s="101">
        <v>223728.85100000002</v>
      </c>
      <c r="J665" s="101">
        <v>721</v>
      </c>
      <c r="K665" s="101">
        <v>7118</v>
      </c>
      <c r="L665" s="101">
        <v>28891</v>
      </c>
      <c r="M665" s="101">
        <v>430519.53</v>
      </c>
      <c r="N665" s="101">
        <v>202520.261</v>
      </c>
      <c r="O665" s="101">
        <v>668</v>
      </c>
      <c r="P665" s="101">
        <v>5250</v>
      </c>
      <c r="Q665" s="101">
        <v>20771</v>
      </c>
      <c r="R665" s="101">
        <v>203682.45</v>
      </c>
      <c r="S665" s="101">
        <v>133498.41200000001</v>
      </c>
      <c r="T665" s="169">
        <v>1.02</v>
      </c>
      <c r="U665" s="101">
        <f t="shared" si="57"/>
        <v>681.36</v>
      </c>
      <c r="V665" s="101">
        <f t="shared" si="58"/>
        <v>5355</v>
      </c>
      <c r="W665" s="101">
        <f t="shared" si="59"/>
        <v>21186.420000000002</v>
      </c>
      <c r="X665" s="101">
        <f t="shared" si="56"/>
        <v>207756.09900000002</v>
      </c>
      <c r="Y665" s="101">
        <f t="shared" si="60"/>
        <v>136168.38024000003</v>
      </c>
    </row>
    <row r="666" spans="1:25" ht="11.25" hidden="1" customHeight="1" x14ac:dyDescent="0.3">
      <c r="A666" s="126" t="s">
        <v>183</v>
      </c>
      <c r="B666" s="126">
        <v>28</v>
      </c>
      <c r="C666" s="126">
        <v>14</v>
      </c>
      <c r="D666" s="126" t="str">
        <f t="shared" si="55"/>
        <v>2814</v>
      </c>
      <c r="J666" s="101">
        <v>15</v>
      </c>
      <c r="K666" s="101">
        <v>39</v>
      </c>
      <c r="L666" s="101">
        <v>44</v>
      </c>
      <c r="M666" s="101">
        <v>4617.45</v>
      </c>
      <c r="N666" s="101">
        <v>510.49700000000001</v>
      </c>
      <c r="O666" s="101">
        <v>9</v>
      </c>
      <c r="P666" s="101">
        <v>36</v>
      </c>
      <c r="Q666" s="101">
        <v>65</v>
      </c>
      <c r="R666" s="101">
        <v>5876.55</v>
      </c>
      <c r="S666" s="101">
        <v>980.34699999999998</v>
      </c>
      <c r="T666" s="169">
        <v>1.02</v>
      </c>
      <c r="U666" s="101">
        <f t="shared" si="57"/>
        <v>9.18</v>
      </c>
      <c r="V666" s="101">
        <f t="shared" si="58"/>
        <v>36.72</v>
      </c>
      <c r="W666" s="101">
        <f t="shared" si="59"/>
        <v>66.3</v>
      </c>
      <c r="X666" s="101">
        <f t="shared" si="56"/>
        <v>5994.0810000000001</v>
      </c>
      <c r="Y666" s="101">
        <f t="shared" si="60"/>
        <v>999.95393999999999</v>
      </c>
    </row>
    <row r="667" spans="1:25" ht="11.25" hidden="1" customHeight="1" x14ac:dyDescent="0.3">
      <c r="A667" s="126" t="s">
        <v>183</v>
      </c>
      <c r="B667" s="126">
        <v>28</v>
      </c>
      <c r="C667" s="126">
        <v>22</v>
      </c>
      <c r="D667" s="126" t="str">
        <f t="shared" si="55"/>
        <v>2822</v>
      </c>
      <c r="J667" s="101">
        <v>15</v>
      </c>
      <c r="K667" s="101">
        <v>167</v>
      </c>
      <c r="L667" s="101">
        <v>1178</v>
      </c>
      <c r="M667" s="101">
        <v>7403.8499999999995</v>
      </c>
      <c r="N667" s="101">
        <v>1798.5170000000001</v>
      </c>
      <c r="O667" s="101">
        <v>11</v>
      </c>
      <c r="P667" s="101">
        <v>11</v>
      </c>
      <c r="Q667" s="101">
        <v>101</v>
      </c>
      <c r="R667" s="101">
        <v>81.349999999999994</v>
      </c>
      <c r="S667" s="101">
        <v>390.56900000000002</v>
      </c>
      <c r="T667" s="169">
        <v>1.02</v>
      </c>
      <c r="U667" s="101">
        <f t="shared" si="57"/>
        <v>11.22</v>
      </c>
      <c r="V667" s="101">
        <f t="shared" si="58"/>
        <v>11.22</v>
      </c>
      <c r="W667" s="101">
        <f t="shared" si="59"/>
        <v>103.02</v>
      </c>
      <c r="X667" s="101">
        <f t="shared" si="56"/>
        <v>82.97699999999999</v>
      </c>
      <c r="Y667" s="101">
        <f t="shared" si="60"/>
        <v>398.38038</v>
      </c>
    </row>
    <row r="668" spans="1:25" ht="11.25" hidden="1" customHeight="1" x14ac:dyDescent="0.3">
      <c r="A668" s="126" t="s">
        <v>183</v>
      </c>
      <c r="B668" s="126">
        <v>28</v>
      </c>
      <c r="C668" s="126">
        <v>26</v>
      </c>
      <c r="D668" s="126" t="str">
        <f t="shared" si="55"/>
        <v>2826</v>
      </c>
      <c r="J668" s="101">
        <v>9</v>
      </c>
      <c r="K668" s="101">
        <v>27</v>
      </c>
      <c r="L668" s="101">
        <v>175</v>
      </c>
      <c r="M668" s="101">
        <v>4265.42</v>
      </c>
      <c r="N668" s="101">
        <v>1473.2939999999999</v>
      </c>
      <c r="O668" s="101">
        <v>2</v>
      </c>
      <c r="P668" s="101">
        <v>2</v>
      </c>
      <c r="Q668" s="101">
        <v>7</v>
      </c>
      <c r="R668" s="101">
        <v>26.94</v>
      </c>
      <c r="S668" s="101">
        <v>20.719000000000001</v>
      </c>
      <c r="T668" s="169">
        <v>1.02</v>
      </c>
      <c r="U668" s="101">
        <f t="shared" si="57"/>
        <v>2.04</v>
      </c>
      <c r="V668" s="101">
        <f t="shared" si="58"/>
        <v>2.04</v>
      </c>
      <c r="W668" s="101">
        <f t="shared" si="59"/>
        <v>7.1400000000000006</v>
      </c>
      <c r="X668" s="101">
        <f t="shared" si="56"/>
        <v>27.478800000000003</v>
      </c>
      <c r="Y668" s="101">
        <f t="shared" si="60"/>
        <v>21.133380000000002</v>
      </c>
    </row>
    <row r="669" spans="1:25" ht="11.25" hidden="1" customHeight="1" x14ac:dyDescent="0.3">
      <c r="A669" s="126" t="s">
        <v>183</v>
      </c>
      <c r="B669" s="126">
        <v>28</v>
      </c>
      <c r="C669" s="126">
        <v>32</v>
      </c>
      <c r="D669" s="126" t="str">
        <f t="shared" si="55"/>
        <v>2832</v>
      </c>
      <c r="J669" s="101">
        <v>23</v>
      </c>
      <c r="K669" s="101">
        <v>27</v>
      </c>
      <c r="L669" s="101">
        <v>305</v>
      </c>
      <c r="M669" s="101">
        <v>3465.41</v>
      </c>
      <c r="N669" s="101">
        <v>1228.2360000000001</v>
      </c>
      <c r="O669" s="101">
        <v>21</v>
      </c>
      <c r="P669" s="101">
        <v>57</v>
      </c>
      <c r="Q669" s="101">
        <v>1565</v>
      </c>
      <c r="R669" s="101">
        <v>8493.9500000000007</v>
      </c>
      <c r="S669" s="101">
        <v>18358.847000000002</v>
      </c>
      <c r="T669" s="169">
        <v>1.02</v>
      </c>
      <c r="U669" s="101">
        <f t="shared" si="57"/>
        <v>21.42</v>
      </c>
      <c r="V669" s="101">
        <f t="shared" si="58"/>
        <v>58.14</v>
      </c>
      <c r="W669" s="101">
        <f t="shared" si="59"/>
        <v>1596.3</v>
      </c>
      <c r="X669" s="101">
        <f t="shared" si="56"/>
        <v>8663.8290000000015</v>
      </c>
      <c r="Y669" s="101">
        <f t="shared" si="60"/>
        <v>18726.023940000003</v>
      </c>
    </row>
    <row r="670" spans="1:25" ht="11.25" hidden="1" customHeight="1" x14ac:dyDescent="0.3">
      <c r="A670" s="126" t="s">
        <v>183</v>
      </c>
      <c r="B670" s="126">
        <v>28</v>
      </c>
      <c r="C670" s="126">
        <v>43</v>
      </c>
      <c r="D670" s="126" t="str">
        <f t="shared" si="55"/>
        <v>2843</v>
      </c>
      <c r="J670" s="101">
        <v>0</v>
      </c>
      <c r="K670" s="101">
        <v>0</v>
      </c>
      <c r="L670" s="101">
        <v>0</v>
      </c>
      <c r="M670" s="101">
        <v>0</v>
      </c>
      <c r="N670" s="101">
        <v>0</v>
      </c>
      <c r="O670" s="101">
        <v>0</v>
      </c>
      <c r="P670" s="101">
        <v>0</v>
      </c>
      <c r="Q670" s="101">
        <v>0</v>
      </c>
      <c r="R670" s="101">
        <v>0</v>
      </c>
      <c r="S670" s="101">
        <v>0</v>
      </c>
      <c r="T670" s="169">
        <v>1.02</v>
      </c>
      <c r="U670" s="101">
        <f t="shared" si="57"/>
        <v>0</v>
      </c>
      <c r="V670" s="101">
        <f t="shared" si="58"/>
        <v>0</v>
      </c>
      <c r="W670" s="101">
        <f t="shared" si="59"/>
        <v>0</v>
      </c>
      <c r="X670" s="101">
        <f t="shared" si="56"/>
        <v>0</v>
      </c>
      <c r="Y670" s="101">
        <f t="shared" si="60"/>
        <v>0</v>
      </c>
    </row>
    <row r="671" spans="1:25" ht="11.25" hidden="1" customHeight="1" x14ac:dyDescent="0.3">
      <c r="A671" s="126" t="s">
        <v>183</v>
      </c>
      <c r="B671" s="126">
        <v>28</v>
      </c>
      <c r="C671" s="126">
        <v>44</v>
      </c>
      <c r="D671" s="126" t="str">
        <f t="shared" si="55"/>
        <v>2844</v>
      </c>
      <c r="J671" s="101">
        <v>1</v>
      </c>
      <c r="K671" s="101">
        <v>6</v>
      </c>
      <c r="L671" s="101">
        <v>6</v>
      </c>
      <c r="M671" s="101">
        <v>0</v>
      </c>
      <c r="N671" s="101">
        <v>149.24</v>
      </c>
      <c r="O671" s="101">
        <v>0</v>
      </c>
      <c r="P671" s="101">
        <v>0</v>
      </c>
      <c r="Q671" s="101">
        <v>0</v>
      </c>
      <c r="R671" s="101">
        <v>0</v>
      </c>
      <c r="S671" s="101">
        <v>0</v>
      </c>
      <c r="T671" s="169">
        <v>1.02</v>
      </c>
      <c r="U671" s="101">
        <f t="shared" si="57"/>
        <v>0</v>
      </c>
      <c r="V671" s="101">
        <f t="shared" si="58"/>
        <v>0</v>
      </c>
      <c r="W671" s="101">
        <f t="shared" si="59"/>
        <v>0</v>
      </c>
      <c r="X671" s="101">
        <f t="shared" si="56"/>
        <v>0</v>
      </c>
      <c r="Y671" s="101">
        <f t="shared" si="60"/>
        <v>0</v>
      </c>
    </row>
    <row r="672" spans="1:25" ht="11.25" hidden="1" customHeight="1" x14ac:dyDescent="0.3">
      <c r="A672" s="126" t="s">
        <v>183</v>
      </c>
      <c r="B672" s="126">
        <v>28</v>
      </c>
      <c r="C672" s="126">
        <v>45</v>
      </c>
      <c r="D672" s="126" t="str">
        <f t="shared" si="55"/>
        <v>2845</v>
      </c>
      <c r="J672" s="101">
        <v>0</v>
      </c>
      <c r="K672" s="101">
        <v>0</v>
      </c>
      <c r="L672" s="101">
        <v>0</v>
      </c>
      <c r="M672" s="101">
        <v>0</v>
      </c>
      <c r="N672" s="101">
        <v>0</v>
      </c>
      <c r="O672" s="101">
        <v>0</v>
      </c>
      <c r="P672" s="101">
        <v>0</v>
      </c>
      <c r="Q672" s="101">
        <v>0</v>
      </c>
      <c r="R672" s="101">
        <v>0</v>
      </c>
      <c r="S672" s="101">
        <v>0</v>
      </c>
      <c r="T672" s="169">
        <v>1.02</v>
      </c>
      <c r="U672" s="101">
        <f t="shared" si="57"/>
        <v>0</v>
      </c>
      <c r="V672" s="101">
        <f t="shared" si="58"/>
        <v>0</v>
      </c>
      <c r="W672" s="101">
        <f t="shared" si="59"/>
        <v>0</v>
      </c>
      <c r="X672" s="101">
        <f t="shared" si="56"/>
        <v>0</v>
      </c>
      <c r="Y672" s="101">
        <f t="shared" si="60"/>
        <v>0</v>
      </c>
    </row>
    <row r="673" spans="1:25" ht="11.25" hidden="1" customHeight="1" x14ac:dyDescent="0.3">
      <c r="A673" s="126" t="s">
        <v>183</v>
      </c>
      <c r="B673" s="126">
        <v>28</v>
      </c>
      <c r="C673" s="126">
        <v>47</v>
      </c>
      <c r="D673" s="126" t="str">
        <f t="shared" si="55"/>
        <v>2847</v>
      </c>
      <c r="J673" s="101">
        <v>0</v>
      </c>
      <c r="K673" s="101">
        <v>0</v>
      </c>
      <c r="L673" s="101">
        <v>0</v>
      </c>
      <c r="M673" s="101">
        <v>0</v>
      </c>
      <c r="N673" s="101">
        <v>0</v>
      </c>
      <c r="O673" s="101">
        <v>4</v>
      </c>
      <c r="P673" s="101">
        <v>6</v>
      </c>
      <c r="Q673" s="101">
        <v>136</v>
      </c>
      <c r="R673" s="101">
        <v>1432.96</v>
      </c>
      <c r="S673" s="101">
        <v>313.43599999999998</v>
      </c>
      <c r="T673" s="169">
        <v>1.02</v>
      </c>
      <c r="U673" s="101">
        <f t="shared" si="57"/>
        <v>4.08</v>
      </c>
      <c r="V673" s="101">
        <f t="shared" si="58"/>
        <v>6.12</v>
      </c>
      <c r="W673" s="101">
        <f t="shared" si="59"/>
        <v>138.72</v>
      </c>
      <c r="X673" s="101">
        <f t="shared" si="56"/>
        <v>1461.6192000000001</v>
      </c>
      <c r="Y673" s="101">
        <f t="shared" si="60"/>
        <v>319.70472000000001</v>
      </c>
    </row>
    <row r="674" spans="1:25" ht="11.25" hidden="1" customHeight="1" x14ac:dyDescent="0.3">
      <c r="A674" s="126" t="s">
        <v>183</v>
      </c>
      <c r="B674" s="126">
        <v>28</v>
      </c>
      <c r="C674" s="126">
        <v>91</v>
      </c>
      <c r="D674" s="126" t="str">
        <f t="shared" si="55"/>
        <v>2891</v>
      </c>
      <c r="J674" s="101">
        <v>41</v>
      </c>
      <c r="K674" s="101">
        <v>155</v>
      </c>
      <c r="L674" s="101">
        <v>591</v>
      </c>
      <c r="M674" s="101">
        <v>5305.17</v>
      </c>
      <c r="N674" s="101">
        <v>2777.4669999999996</v>
      </c>
      <c r="O674" s="101">
        <v>32</v>
      </c>
      <c r="P674" s="101">
        <v>161</v>
      </c>
      <c r="Q674" s="101">
        <v>771</v>
      </c>
      <c r="R674" s="101">
        <v>6081.05</v>
      </c>
      <c r="S674" s="101">
        <v>2197.8939999999998</v>
      </c>
      <c r="T674" s="169">
        <v>1.02</v>
      </c>
      <c r="U674" s="101">
        <f t="shared" si="57"/>
        <v>32.64</v>
      </c>
      <c r="V674" s="101">
        <f t="shared" si="58"/>
        <v>164.22</v>
      </c>
      <c r="W674" s="101">
        <f t="shared" si="59"/>
        <v>786.42</v>
      </c>
      <c r="X674" s="101">
        <f t="shared" si="56"/>
        <v>6202.6710000000003</v>
      </c>
      <c r="Y674" s="101">
        <f t="shared" si="60"/>
        <v>2241.8518799999997</v>
      </c>
    </row>
    <row r="675" spans="1:25" ht="11.25" hidden="1" customHeight="1" x14ac:dyDescent="0.3">
      <c r="A675" s="126" t="s">
        <v>183</v>
      </c>
      <c r="B675" s="126">
        <v>28</v>
      </c>
      <c r="C675" s="126">
        <v>48</v>
      </c>
      <c r="D675" s="126" t="str">
        <f t="shared" si="55"/>
        <v>2848</v>
      </c>
      <c r="J675" s="101">
        <v>1</v>
      </c>
      <c r="K675" s="101">
        <v>1</v>
      </c>
      <c r="L675" s="101">
        <v>20</v>
      </c>
      <c r="M675" s="101">
        <v>89.2</v>
      </c>
      <c r="N675" s="101">
        <v>25.35</v>
      </c>
      <c r="O675" s="101">
        <v>0</v>
      </c>
      <c r="P675" s="101">
        <v>0</v>
      </c>
      <c r="Q675" s="101">
        <v>0</v>
      </c>
      <c r="R675" s="101">
        <v>0</v>
      </c>
      <c r="S675" s="101">
        <v>0</v>
      </c>
      <c r="T675" s="169">
        <v>1.02</v>
      </c>
      <c r="U675" s="101">
        <f t="shared" si="57"/>
        <v>0</v>
      </c>
      <c r="V675" s="101">
        <f t="shared" si="58"/>
        <v>0</v>
      </c>
      <c r="W675" s="101">
        <f t="shared" si="59"/>
        <v>0</v>
      </c>
      <c r="X675" s="101">
        <f t="shared" si="56"/>
        <v>0</v>
      </c>
      <c r="Y675" s="101">
        <f t="shared" si="60"/>
        <v>0</v>
      </c>
    </row>
    <row r="676" spans="1:25" ht="11.25" hidden="1" customHeight="1" x14ac:dyDescent="0.3">
      <c r="A676" s="126" t="s">
        <v>183</v>
      </c>
      <c r="B676" s="126">
        <v>28</v>
      </c>
      <c r="C676" s="126">
        <v>27</v>
      </c>
      <c r="D676" s="126" t="str">
        <f t="shared" si="55"/>
        <v>2827</v>
      </c>
      <c r="E676" s="101">
        <v>89</v>
      </c>
      <c r="F676" s="101">
        <v>1184</v>
      </c>
      <c r="G676" s="101">
        <v>5284</v>
      </c>
      <c r="H676" s="101">
        <v>68608.599999999991</v>
      </c>
      <c r="I676" s="101">
        <v>27321.034</v>
      </c>
      <c r="J676" s="101">
        <v>106</v>
      </c>
      <c r="K676" s="101">
        <v>1397</v>
      </c>
      <c r="L676" s="101">
        <v>6083</v>
      </c>
      <c r="M676" s="101">
        <v>75838.19</v>
      </c>
      <c r="N676" s="101">
        <v>35100.106</v>
      </c>
      <c r="O676" s="101">
        <v>83</v>
      </c>
      <c r="P676" s="101">
        <v>2562</v>
      </c>
      <c r="Q676" s="101">
        <v>13127</v>
      </c>
      <c r="R676" s="101">
        <v>96289.37</v>
      </c>
      <c r="S676" s="101">
        <v>36029.190999999999</v>
      </c>
      <c r="T676" s="169">
        <v>1.02</v>
      </c>
      <c r="U676" s="101">
        <f t="shared" si="57"/>
        <v>84.66</v>
      </c>
      <c r="V676" s="101">
        <f t="shared" si="58"/>
        <v>2613.2400000000002</v>
      </c>
      <c r="W676" s="101">
        <f t="shared" si="59"/>
        <v>13389.54</v>
      </c>
      <c r="X676" s="101">
        <f t="shared" si="56"/>
        <v>98215.157399999996</v>
      </c>
      <c r="Y676" s="101">
        <f t="shared" si="60"/>
        <v>36749.774819999999</v>
      </c>
    </row>
    <row r="677" spans="1:25" ht="11.25" hidden="1" customHeight="1" x14ac:dyDescent="0.3">
      <c r="A677" s="126" t="s">
        <v>183</v>
      </c>
      <c r="B677" s="126">
        <v>28</v>
      </c>
      <c r="C677" s="126">
        <v>41</v>
      </c>
      <c r="D677" s="126" t="str">
        <f t="shared" si="55"/>
        <v>2841</v>
      </c>
      <c r="O677" s="101">
        <v>3</v>
      </c>
      <c r="P677" s="101">
        <v>5</v>
      </c>
      <c r="Q677" s="101">
        <v>18</v>
      </c>
      <c r="R677" s="101">
        <v>216.22</v>
      </c>
      <c r="S677" s="101">
        <v>68.734999999999999</v>
      </c>
      <c r="T677" s="169">
        <v>1.02</v>
      </c>
      <c r="U677" s="101">
        <f t="shared" si="57"/>
        <v>3.06</v>
      </c>
      <c r="V677" s="101">
        <f t="shared" si="58"/>
        <v>5.0999999999999996</v>
      </c>
      <c r="W677" s="101">
        <f t="shared" si="59"/>
        <v>18.36</v>
      </c>
      <c r="X677" s="101">
        <f t="shared" si="56"/>
        <v>220.5444</v>
      </c>
      <c r="Y677" s="101">
        <f t="shared" si="60"/>
        <v>70.109700000000004</v>
      </c>
    </row>
    <row r="678" spans="1:25" ht="11.25" customHeight="1" x14ac:dyDescent="0.3">
      <c r="A678" s="126" t="s">
        <v>183</v>
      </c>
      <c r="B678" s="126">
        <v>28</v>
      </c>
      <c r="C678" s="126" t="s">
        <v>172</v>
      </c>
      <c r="D678" s="126" t="str">
        <f t="shared" si="55"/>
        <v>28Uml</v>
      </c>
      <c r="J678" s="101">
        <v>191</v>
      </c>
      <c r="K678" s="101">
        <v>202</v>
      </c>
      <c r="L678" s="101">
        <v>88367</v>
      </c>
      <c r="N678" s="101">
        <v>484871</v>
      </c>
      <c r="O678" s="101">
        <v>306</v>
      </c>
      <c r="P678" s="101">
        <v>319</v>
      </c>
      <c r="Q678" s="101">
        <v>85796</v>
      </c>
      <c r="S678" s="101">
        <v>269701</v>
      </c>
      <c r="T678" s="169">
        <v>1.02</v>
      </c>
      <c r="U678" s="101">
        <f t="shared" si="57"/>
        <v>312.12</v>
      </c>
      <c r="V678" s="101">
        <f t="shared" si="58"/>
        <v>325.38</v>
      </c>
      <c r="W678" s="101">
        <f t="shared" si="59"/>
        <v>87511.92</v>
      </c>
      <c r="X678" s="101">
        <f t="shared" si="56"/>
        <v>0</v>
      </c>
      <c r="Y678" s="101">
        <f t="shared" si="60"/>
        <v>275095.02</v>
      </c>
    </row>
    <row r="679" spans="1:25" ht="11.25" hidden="1" customHeight="1" x14ac:dyDescent="0.3">
      <c r="A679" s="126" t="s">
        <v>183</v>
      </c>
      <c r="B679" s="126">
        <v>28</v>
      </c>
      <c r="C679" s="126">
        <v>37</v>
      </c>
      <c r="D679" s="126" t="str">
        <f t="shared" si="55"/>
        <v>2837</v>
      </c>
      <c r="E679" s="101">
        <v>7.75</v>
      </c>
      <c r="F679" s="101">
        <v>15</v>
      </c>
      <c r="G679" s="101">
        <v>3619.75</v>
      </c>
      <c r="H679" s="101">
        <v>5207.1575000000003</v>
      </c>
      <c r="I679" s="101">
        <v>1315.63825</v>
      </c>
      <c r="J679" s="101">
        <v>26</v>
      </c>
      <c r="K679" s="101">
        <v>121</v>
      </c>
      <c r="L679" s="101">
        <v>2918</v>
      </c>
      <c r="M679" s="101">
        <v>21530.28</v>
      </c>
      <c r="N679" s="101">
        <v>8967.2049999999999</v>
      </c>
      <c r="O679" s="101">
        <v>21</v>
      </c>
      <c r="P679" s="101">
        <v>84</v>
      </c>
      <c r="Q679" s="101">
        <v>2393</v>
      </c>
      <c r="R679" s="101">
        <v>7088.12</v>
      </c>
      <c r="S679" s="101">
        <v>3015.74</v>
      </c>
      <c r="T679" s="169">
        <v>1.02</v>
      </c>
      <c r="U679" s="101">
        <f t="shared" si="57"/>
        <v>21.42</v>
      </c>
      <c r="V679" s="101">
        <f t="shared" si="58"/>
        <v>85.68</v>
      </c>
      <c r="W679" s="101">
        <f t="shared" si="59"/>
        <v>2440.86</v>
      </c>
      <c r="X679" s="101">
        <f t="shared" si="56"/>
        <v>7229.8824000000004</v>
      </c>
      <c r="Y679" s="101">
        <f t="shared" si="60"/>
        <v>3076.0547999999999</v>
      </c>
    </row>
    <row r="680" spans="1:25" ht="11.25" hidden="1" customHeight="1" x14ac:dyDescent="0.3">
      <c r="A680" s="126" t="s">
        <v>183</v>
      </c>
      <c r="B680" s="126">
        <v>29</v>
      </c>
      <c r="C680" s="126">
        <v>12</v>
      </c>
      <c r="D680" s="126" t="str">
        <f t="shared" si="55"/>
        <v>2912</v>
      </c>
      <c r="E680" s="101">
        <v>25</v>
      </c>
      <c r="F680" s="101">
        <v>32</v>
      </c>
      <c r="G680" s="101">
        <v>45</v>
      </c>
      <c r="H680" s="101">
        <v>1949.0499999999997</v>
      </c>
      <c r="I680" s="101">
        <v>348.09300000000002</v>
      </c>
      <c r="J680" s="101">
        <v>21</v>
      </c>
      <c r="K680" s="101">
        <v>30</v>
      </c>
      <c r="L680" s="101">
        <v>38</v>
      </c>
      <c r="M680" s="101">
        <v>1066.02</v>
      </c>
      <c r="N680" s="101">
        <v>336.55600000000004</v>
      </c>
      <c r="O680" s="101">
        <v>14</v>
      </c>
      <c r="P680" s="101">
        <v>22</v>
      </c>
      <c r="Q680" s="101">
        <v>24</v>
      </c>
      <c r="R680" s="101">
        <v>466.9</v>
      </c>
      <c r="S680" s="101">
        <v>91.953999999999994</v>
      </c>
      <c r="T680" s="169">
        <v>1.02</v>
      </c>
      <c r="U680" s="101">
        <f t="shared" si="57"/>
        <v>14.280000000000001</v>
      </c>
      <c r="V680" s="101">
        <f t="shared" si="58"/>
        <v>22.44</v>
      </c>
      <c r="W680" s="101">
        <f t="shared" si="59"/>
        <v>24.48</v>
      </c>
      <c r="X680" s="101">
        <f t="shared" si="56"/>
        <v>476.238</v>
      </c>
      <c r="Y680" s="101">
        <f t="shared" si="60"/>
        <v>93.793079999999989</v>
      </c>
    </row>
    <row r="681" spans="1:25" ht="11.25" hidden="1" customHeight="1" x14ac:dyDescent="0.3">
      <c r="A681" s="126" t="s">
        <v>183</v>
      </c>
      <c r="B681" s="126">
        <v>29</v>
      </c>
      <c r="C681" s="126">
        <v>17</v>
      </c>
      <c r="D681" s="126" t="str">
        <f t="shared" si="55"/>
        <v>2917</v>
      </c>
      <c r="E681" s="101">
        <v>1825</v>
      </c>
      <c r="F681" s="101">
        <v>2387</v>
      </c>
      <c r="G681" s="101">
        <v>3386</v>
      </c>
      <c r="H681" s="101">
        <v>124077.08</v>
      </c>
      <c r="I681" s="101">
        <v>24513.267</v>
      </c>
      <c r="J681" s="101">
        <v>2919</v>
      </c>
      <c r="K681" s="101">
        <v>11403</v>
      </c>
      <c r="L681" s="101">
        <v>15233</v>
      </c>
      <c r="M681" s="101">
        <v>232573.22999999998</v>
      </c>
      <c r="N681" s="101">
        <v>64529.624000000003</v>
      </c>
      <c r="O681" s="101">
        <v>854</v>
      </c>
      <c r="P681" s="101">
        <v>1481</v>
      </c>
      <c r="Q681" s="101">
        <v>2167</v>
      </c>
      <c r="R681" s="101">
        <v>66781.320000000007</v>
      </c>
      <c r="S681" s="101">
        <v>14780.814</v>
      </c>
      <c r="T681" s="169">
        <v>1.02</v>
      </c>
      <c r="U681" s="101">
        <v>1845</v>
      </c>
      <c r="V681" s="101">
        <v>3689</v>
      </c>
      <c r="W681" s="101">
        <v>5363</v>
      </c>
      <c r="X681" s="101">
        <f t="shared" si="56"/>
        <v>68116.946400000015</v>
      </c>
      <c r="Y681" s="101">
        <v>30000</v>
      </c>
    </row>
    <row r="682" spans="1:25" ht="11.25" hidden="1" customHeight="1" x14ac:dyDescent="0.3">
      <c r="A682" s="126" t="s">
        <v>183</v>
      </c>
      <c r="B682" s="126">
        <v>29</v>
      </c>
      <c r="C682" s="126">
        <v>18</v>
      </c>
      <c r="D682" s="126" t="str">
        <f t="shared" si="55"/>
        <v>2918</v>
      </c>
      <c r="E682" s="101">
        <v>184</v>
      </c>
      <c r="F682" s="101">
        <v>230</v>
      </c>
      <c r="G682" s="101">
        <v>348</v>
      </c>
      <c r="H682" s="101">
        <v>14932.44</v>
      </c>
      <c r="I682" s="101">
        <v>2691.1579999999999</v>
      </c>
      <c r="J682" s="101">
        <v>1276</v>
      </c>
      <c r="K682" s="101">
        <v>1359</v>
      </c>
      <c r="L682" s="101">
        <v>1551</v>
      </c>
      <c r="M682" s="101">
        <v>72388.040000000008</v>
      </c>
      <c r="N682" s="101">
        <v>14298.467000000001</v>
      </c>
      <c r="O682" s="101">
        <v>1518</v>
      </c>
      <c r="P682" s="101">
        <v>1662</v>
      </c>
      <c r="Q682" s="101">
        <v>1960</v>
      </c>
      <c r="R682" s="101">
        <v>93510.67</v>
      </c>
      <c r="S682" s="101">
        <v>22578.74</v>
      </c>
      <c r="T682" s="169">
        <v>1.02</v>
      </c>
      <c r="U682" s="101">
        <f t="shared" si="57"/>
        <v>1548.3600000000001</v>
      </c>
      <c r="V682" s="101">
        <f t="shared" si="58"/>
        <v>1695.24</v>
      </c>
      <c r="W682" s="101">
        <f t="shared" si="59"/>
        <v>1999.2</v>
      </c>
      <c r="X682" s="101">
        <f t="shared" si="56"/>
        <v>95380.883400000006</v>
      </c>
      <c r="Y682" s="101">
        <f t="shared" si="60"/>
        <v>23030.314800000004</v>
      </c>
    </row>
    <row r="683" spans="1:25" ht="11.25" hidden="1" customHeight="1" x14ac:dyDescent="0.3">
      <c r="A683" s="126" t="s">
        <v>183</v>
      </c>
      <c r="B683" s="126">
        <v>29</v>
      </c>
      <c r="C683" s="126">
        <v>28</v>
      </c>
      <c r="D683" s="126" t="str">
        <f t="shared" si="55"/>
        <v>2928</v>
      </c>
      <c r="E683" s="101">
        <v>325</v>
      </c>
      <c r="F683" s="101">
        <v>3303</v>
      </c>
      <c r="G683" s="101">
        <v>28951</v>
      </c>
      <c r="H683" s="101">
        <v>699581.62</v>
      </c>
      <c r="I683" s="101">
        <v>151373.78100000002</v>
      </c>
      <c r="J683" s="101">
        <v>259</v>
      </c>
      <c r="K683" s="101">
        <v>4037</v>
      </c>
      <c r="L683" s="101">
        <v>28398</v>
      </c>
      <c r="M683" s="101">
        <v>459648.58</v>
      </c>
      <c r="N683" s="101">
        <v>224314.48200000002</v>
      </c>
      <c r="O683" s="101">
        <v>236</v>
      </c>
      <c r="P683" s="101">
        <v>4822</v>
      </c>
      <c r="Q683" s="101">
        <v>33680</v>
      </c>
      <c r="R683" s="101">
        <v>887679.76</v>
      </c>
      <c r="S683" s="101">
        <v>170299.54800000001</v>
      </c>
      <c r="T683" s="169">
        <v>1.02</v>
      </c>
      <c r="U683" s="101">
        <f t="shared" si="57"/>
        <v>240.72</v>
      </c>
      <c r="V683" s="101">
        <f t="shared" si="58"/>
        <v>4918.4400000000005</v>
      </c>
      <c r="W683" s="101">
        <f t="shared" si="59"/>
        <v>34353.599999999999</v>
      </c>
      <c r="X683" s="101">
        <f t="shared" si="56"/>
        <v>905433.35519999999</v>
      </c>
      <c r="Y683" s="101">
        <f t="shared" si="60"/>
        <v>173705.53896000001</v>
      </c>
    </row>
    <row r="684" spans="1:25" ht="11.25" hidden="1" customHeight="1" x14ac:dyDescent="0.3">
      <c r="A684" s="126" t="s">
        <v>183</v>
      </c>
      <c r="B684" s="126">
        <v>29</v>
      </c>
      <c r="C684" s="126">
        <v>46</v>
      </c>
      <c r="D684" s="126" t="str">
        <f t="shared" si="55"/>
        <v>2946</v>
      </c>
      <c r="E684" s="101">
        <v>417</v>
      </c>
      <c r="F684" s="101">
        <v>970</v>
      </c>
      <c r="G684" s="101">
        <v>16481</v>
      </c>
      <c r="H684" s="101">
        <v>166006.76</v>
      </c>
      <c r="I684" s="101">
        <v>106882.40999999999</v>
      </c>
      <c r="J684" s="101">
        <v>237</v>
      </c>
      <c r="K684" s="101">
        <v>623</v>
      </c>
      <c r="L684" s="101">
        <v>22202</v>
      </c>
      <c r="M684" s="101">
        <v>344155.58999999997</v>
      </c>
      <c r="N684" s="101">
        <v>158907.29199999999</v>
      </c>
      <c r="O684" s="101">
        <v>164</v>
      </c>
      <c r="P684" s="101">
        <v>429</v>
      </c>
      <c r="Q684" s="101">
        <v>34392</v>
      </c>
      <c r="R684" s="101">
        <v>322658.89</v>
      </c>
      <c r="S684" s="101">
        <v>146846.72500000001</v>
      </c>
      <c r="T684" s="169">
        <v>1.02</v>
      </c>
      <c r="U684" s="101">
        <f t="shared" si="57"/>
        <v>167.28</v>
      </c>
      <c r="V684" s="101">
        <f t="shared" si="58"/>
        <v>437.58</v>
      </c>
      <c r="W684" s="101">
        <f t="shared" si="59"/>
        <v>35079.840000000004</v>
      </c>
      <c r="X684" s="101">
        <f t="shared" si="56"/>
        <v>329112.06780000002</v>
      </c>
      <c r="Y684" s="101">
        <f t="shared" si="60"/>
        <v>149783.65950000001</v>
      </c>
    </row>
    <row r="685" spans="1:25" ht="11.25" hidden="1" customHeight="1" x14ac:dyDescent="0.3">
      <c r="A685" s="126" t="s">
        <v>183</v>
      </c>
      <c r="B685" s="126">
        <v>29</v>
      </c>
      <c r="C685" s="126">
        <v>66</v>
      </c>
      <c r="D685" s="126" t="str">
        <f t="shared" si="55"/>
        <v>2966</v>
      </c>
      <c r="E685" s="101">
        <v>387</v>
      </c>
      <c r="F685" s="101">
        <v>1554</v>
      </c>
      <c r="G685" s="101">
        <v>32389</v>
      </c>
      <c r="H685" s="101">
        <v>151730.46</v>
      </c>
      <c r="I685" s="101">
        <v>76345.175000000003</v>
      </c>
      <c r="J685" s="101">
        <v>226</v>
      </c>
      <c r="K685" s="101">
        <v>1778</v>
      </c>
      <c r="L685" s="101">
        <v>34371</v>
      </c>
      <c r="M685" s="101">
        <v>187183.66999999998</v>
      </c>
      <c r="N685" s="101">
        <v>138122.64499999999</v>
      </c>
      <c r="O685" s="101">
        <v>237</v>
      </c>
      <c r="P685" s="101">
        <v>1145</v>
      </c>
      <c r="Q685" s="101">
        <v>36525</v>
      </c>
      <c r="R685" s="101">
        <v>180386.66</v>
      </c>
      <c r="S685" s="101">
        <v>93955.373000000007</v>
      </c>
      <c r="T685" s="169">
        <v>1.02</v>
      </c>
      <c r="U685" s="101">
        <f t="shared" si="57"/>
        <v>241.74</v>
      </c>
      <c r="V685" s="101">
        <f t="shared" si="58"/>
        <v>1167.9000000000001</v>
      </c>
      <c r="W685" s="101">
        <f t="shared" si="59"/>
        <v>37255.5</v>
      </c>
      <c r="X685" s="101">
        <f t="shared" si="56"/>
        <v>183994.39320000002</v>
      </c>
      <c r="Y685" s="101">
        <f t="shared" si="60"/>
        <v>95834.480460000006</v>
      </c>
    </row>
    <row r="686" spans="1:25" ht="11.25" hidden="1" customHeight="1" x14ac:dyDescent="0.3">
      <c r="A686" s="126" t="s">
        <v>183</v>
      </c>
      <c r="B686" s="126">
        <v>29</v>
      </c>
      <c r="C686" s="126">
        <v>30</v>
      </c>
      <c r="D686" s="126" t="str">
        <f t="shared" si="55"/>
        <v>2930</v>
      </c>
      <c r="E686" s="101">
        <v>936</v>
      </c>
      <c r="F686" s="101">
        <v>8887</v>
      </c>
      <c r="G686" s="101">
        <v>29651.5</v>
      </c>
      <c r="H686" s="101">
        <v>515254.81000000006</v>
      </c>
      <c r="I686" s="101">
        <v>150766.7145</v>
      </c>
      <c r="J686" s="101">
        <v>0</v>
      </c>
      <c r="K686" s="101">
        <v>0</v>
      </c>
      <c r="L686" s="101">
        <v>0</v>
      </c>
      <c r="M686" s="101">
        <v>0</v>
      </c>
      <c r="N686" s="101">
        <v>0</v>
      </c>
      <c r="O686" s="101">
        <v>62</v>
      </c>
      <c r="P686" s="101">
        <v>95</v>
      </c>
      <c r="Q686" s="101">
        <v>498</v>
      </c>
      <c r="R686" s="101">
        <v>53837.2</v>
      </c>
      <c r="S686" s="101">
        <v>34164.731</v>
      </c>
      <c r="T686" s="169">
        <v>1.02</v>
      </c>
      <c r="U686" s="101">
        <f t="shared" si="57"/>
        <v>63.24</v>
      </c>
      <c r="V686" s="101">
        <f t="shared" si="58"/>
        <v>96.9</v>
      </c>
      <c r="W686" s="101">
        <f t="shared" si="59"/>
        <v>507.96000000000004</v>
      </c>
      <c r="X686" s="101">
        <f t="shared" si="56"/>
        <v>54913.943999999996</v>
      </c>
      <c r="Y686" s="101">
        <f t="shared" si="60"/>
        <v>34848.02562</v>
      </c>
    </row>
    <row r="687" spans="1:25" ht="11.25" hidden="1" customHeight="1" x14ac:dyDescent="0.3">
      <c r="A687" s="126" t="s">
        <v>183</v>
      </c>
      <c r="B687" s="126">
        <v>29</v>
      </c>
      <c r="C687" s="126">
        <v>21</v>
      </c>
      <c r="D687" s="126" t="str">
        <f t="shared" si="55"/>
        <v>2921</v>
      </c>
      <c r="E687" s="101">
        <v>2480.5</v>
      </c>
      <c r="F687" s="101">
        <v>10096</v>
      </c>
      <c r="G687" s="101">
        <v>39891</v>
      </c>
      <c r="H687" s="101">
        <v>505531.89999999997</v>
      </c>
      <c r="I687" s="101">
        <v>119134.057</v>
      </c>
      <c r="J687" s="101">
        <v>840</v>
      </c>
      <c r="K687" s="101">
        <v>6605</v>
      </c>
      <c r="L687" s="101">
        <v>31013</v>
      </c>
      <c r="M687" s="101">
        <v>372066.64</v>
      </c>
      <c r="N687" s="101">
        <v>116818.57800000001</v>
      </c>
      <c r="O687" s="101">
        <v>904</v>
      </c>
      <c r="P687" s="101">
        <v>6655</v>
      </c>
      <c r="Q687" s="101">
        <v>34352</v>
      </c>
      <c r="R687" s="101">
        <v>407020.45</v>
      </c>
      <c r="S687" s="101">
        <v>131179.02499999999</v>
      </c>
      <c r="T687" s="169">
        <v>1.02</v>
      </c>
      <c r="U687" s="101">
        <f>O687*T687-14</f>
        <v>908.08</v>
      </c>
      <c r="V687" s="101">
        <f>P687*T687-69</f>
        <v>6719.1</v>
      </c>
      <c r="W687" s="101">
        <f>Q687*T687-6105</f>
        <v>28934.04</v>
      </c>
      <c r="X687" s="101">
        <f>R687*T687-44705</f>
        <v>370455.859</v>
      </c>
      <c r="Y687" s="101">
        <f>S687*T687-22382</f>
        <v>111420.60550000001</v>
      </c>
    </row>
    <row r="688" spans="1:25" ht="11.25" hidden="1" customHeight="1" x14ac:dyDescent="0.3">
      <c r="A688" s="126" t="s">
        <v>183</v>
      </c>
      <c r="B688" s="126">
        <v>29</v>
      </c>
      <c r="C688" s="126">
        <v>71</v>
      </c>
      <c r="D688" s="126" t="str">
        <f t="shared" si="55"/>
        <v>2971</v>
      </c>
      <c r="E688" s="101">
        <v>711.5</v>
      </c>
      <c r="F688" s="101">
        <v>5069.5</v>
      </c>
      <c r="G688" s="101">
        <v>18567.5</v>
      </c>
      <c r="H688" s="101">
        <v>141988.495</v>
      </c>
      <c r="I688" s="101">
        <v>86931.246500000008</v>
      </c>
      <c r="J688" s="101">
        <v>598</v>
      </c>
      <c r="K688" s="101">
        <v>4827</v>
      </c>
      <c r="L688" s="101">
        <v>17681</v>
      </c>
      <c r="M688" s="101">
        <v>131108.35</v>
      </c>
      <c r="N688" s="101">
        <v>83656.141999999993</v>
      </c>
      <c r="O688" s="101">
        <v>586</v>
      </c>
      <c r="P688" s="101">
        <v>5782</v>
      </c>
      <c r="Q688" s="101">
        <v>42013</v>
      </c>
      <c r="R688" s="101">
        <v>169608.77</v>
      </c>
      <c r="S688" s="101">
        <v>126829.447</v>
      </c>
      <c r="T688" s="169">
        <v>0.98</v>
      </c>
      <c r="U688" s="101">
        <f t="shared" si="57"/>
        <v>574.28</v>
      </c>
      <c r="V688" s="101">
        <f t="shared" si="58"/>
        <v>5666.36</v>
      </c>
      <c r="W688" s="101">
        <f t="shared" si="59"/>
        <v>41172.74</v>
      </c>
      <c r="X688" s="101">
        <f t="shared" si="56"/>
        <v>166216.59459999998</v>
      </c>
      <c r="Y688" s="101">
        <f t="shared" si="60"/>
        <v>124292.85806</v>
      </c>
    </row>
    <row r="689" spans="1:25" ht="11.25" hidden="1" customHeight="1" x14ac:dyDescent="0.3">
      <c r="A689" s="126" t="s">
        <v>183</v>
      </c>
      <c r="B689" s="126">
        <v>29</v>
      </c>
      <c r="C689" s="126">
        <v>25</v>
      </c>
      <c r="D689" s="126" t="str">
        <f t="shared" si="55"/>
        <v>2925</v>
      </c>
      <c r="E689" s="101">
        <v>877</v>
      </c>
      <c r="F689" s="101">
        <v>5777</v>
      </c>
      <c r="G689" s="101">
        <v>36080</v>
      </c>
      <c r="H689" s="101">
        <v>404038.80000000005</v>
      </c>
      <c r="I689" s="101">
        <v>201593.44500000001</v>
      </c>
      <c r="J689" s="101">
        <v>624</v>
      </c>
      <c r="K689" s="101">
        <v>6584</v>
      </c>
      <c r="L689" s="101">
        <v>26055</v>
      </c>
      <c r="M689" s="101">
        <v>332688.75</v>
      </c>
      <c r="N689" s="101">
        <v>127779.228</v>
      </c>
      <c r="O689" s="101">
        <v>572</v>
      </c>
      <c r="P689" s="101">
        <v>5356</v>
      </c>
      <c r="Q689" s="101">
        <v>24609</v>
      </c>
      <c r="R689" s="101">
        <v>210744.67</v>
      </c>
      <c r="S689" s="101">
        <v>112031.64200000001</v>
      </c>
      <c r="T689" s="169">
        <v>1.02</v>
      </c>
      <c r="U689" s="101">
        <f t="shared" si="57"/>
        <v>583.44000000000005</v>
      </c>
      <c r="V689" s="101">
        <f t="shared" si="58"/>
        <v>5463.12</v>
      </c>
      <c r="W689" s="101">
        <f t="shared" si="59"/>
        <v>25101.18</v>
      </c>
      <c r="X689" s="101">
        <f t="shared" si="56"/>
        <v>214959.56340000001</v>
      </c>
      <c r="Y689" s="101">
        <f t="shared" si="60"/>
        <v>114272.27484000001</v>
      </c>
    </row>
    <row r="690" spans="1:25" ht="11.25" hidden="1" customHeight="1" x14ac:dyDescent="0.3">
      <c r="A690" s="126" t="s">
        <v>183</v>
      </c>
      <c r="B690" s="126">
        <v>29</v>
      </c>
      <c r="C690" s="126">
        <v>14</v>
      </c>
      <c r="D690" s="126" t="str">
        <f t="shared" si="55"/>
        <v>2914</v>
      </c>
      <c r="J690" s="101">
        <v>14</v>
      </c>
      <c r="K690" s="101">
        <v>38</v>
      </c>
      <c r="L690" s="101">
        <v>55</v>
      </c>
      <c r="M690" s="101">
        <v>6548.82</v>
      </c>
      <c r="N690" s="101">
        <v>986.0329999999999</v>
      </c>
      <c r="O690" s="101">
        <v>19</v>
      </c>
      <c r="P690" s="101">
        <v>57</v>
      </c>
      <c r="Q690" s="101">
        <v>72</v>
      </c>
      <c r="R690" s="101">
        <v>5043.82</v>
      </c>
      <c r="S690" s="101">
        <v>672.66899999999998</v>
      </c>
      <c r="T690" s="169">
        <v>1.02</v>
      </c>
      <c r="U690" s="101">
        <f t="shared" si="57"/>
        <v>19.38</v>
      </c>
      <c r="V690" s="101">
        <f t="shared" si="58"/>
        <v>58.14</v>
      </c>
      <c r="W690" s="101">
        <f t="shared" si="59"/>
        <v>73.44</v>
      </c>
      <c r="X690" s="101">
        <f t="shared" si="56"/>
        <v>5144.6963999999998</v>
      </c>
      <c r="Y690" s="101">
        <f t="shared" si="60"/>
        <v>686.12238000000002</v>
      </c>
    </row>
    <row r="691" spans="1:25" ht="11.25" hidden="1" customHeight="1" x14ac:dyDescent="0.3">
      <c r="A691" s="126" t="s">
        <v>183</v>
      </c>
      <c r="B691" s="126">
        <v>29</v>
      </c>
      <c r="C691" s="126">
        <v>22</v>
      </c>
      <c r="D691" s="126" t="str">
        <f t="shared" si="55"/>
        <v>2922</v>
      </c>
      <c r="J691" s="101">
        <v>16</v>
      </c>
      <c r="K691" s="101">
        <v>166</v>
      </c>
      <c r="L691" s="101">
        <v>1140</v>
      </c>
      <c r="M691" s="101">
        <v>12488.69</v>
      </c>
      <c r="N691" s="101">
        <v>3363.8739999999998</v>
      </c>
      <c r="O691" s="101">
        <v>6</v>
      </c>
      <c r="P691" s="101">
        <v>7</v>
      </c>
      <c r="Q691" s="101">
        <v>20</v>
      </c>
      <c r="R691" s="101">
        <v>17.100000000000001</v>
      </c>
      <c r="S691" s="101">
        <v>53.375999999999998</v>
      </c>
      <c r="T691" s="169">
        <v>1.02</v>
      </c>
      <c r="U691" s="101">
        <f t="shared" si="57"/>
        <v>6.12</v>
      </c>
      <c r="V691" s="101">
        <f t="shared" si="58"/>
        <v>7.1400000000000006</v>
      </c>
      <c r="W691" s="101">
        <f t="shared" si="59"/>
        <v>20.399999999999999</v>
      </c>
      <c r="X691" s="101">
        <f t="shared" si="56"/>
        <v>17.442</v>
      </c>
      <c r="Y691" s="101">
        <f t="shared" si="60"/>
        <v>54.443519999999999</v>
      </c>
    </row>
    <row r="692" spans="1:25" ht="11.25" hidden="1" customHeight="1" x14ac:dyDescent="0.3">
      <c r="A692" s="126" t="s">
        <v>183</v>
      </c>
      <c r="B692" s="126">
        <v>29</v>
      </c>
      <c r="C692" s="126">
        <v>26</v>
      </c>
      <c r="D692" s="126" t="str">
        <f t="shared" si="55"/>
        <v>2926</v>
      </c>
      <c r="J692" s="101">
        <v>6</v>
      </c>
      <c r="K692" s="101">
        <v>9</v>
      </c>
      <c r="L692" s="101">
        <v>119</v>
      </c>
      <c r="M692" s="101">
        <v>1824</v>
      </c>
      <c r="N692" s="101">
        <v>140.74099999999999</v>
      </c>
      <c r="O692" s="101">
        <v>1</v>
      </c>
      <c r="P692" s="101">
        <v>2</v>
      </c>
      <c r="Q692" s="101">
        <v>2</v>
      </c>
      <c r="R692" s="101">
        <v>0</v>
      </c>
      <c r="S692" s="101">
        <v>10.054</v>
      </c>
      <c r="T692" s="169">
        <v>1.02</v>
      </c>
      <c r="U692" s="101">
        <f t="shared" si="57"/>
        <v>1.02</v>
      </c>
      <c r="V692" s="101">
        <f t="shared" si="58"/>
        <v>2.04</v>
      </c>
      <c r="W692" s="101">
        <f t="shared" si="59"/>
        <v>2.04</v>
      </c>
      <c r="X692" s="101">
        <f t="shared" si="56"/>
        <v>0</v>
      </c>
      <c r="Y692" s="101">
        <f t="shared" si="60"/>
        <v>10.255080000000001</v>
      </c>
    </row>
    <row r="693" spans="1:25" ht="11.25" hidden="1" customHeight="1" x14ac:dyDescent="0.3">
      <c r="A693" s="126" t="s">
        <v>183</v>
      </c>
      <c r="B693" s="126">
        <v>29</v>
      </c>
      <c r="C693" s="126">
        <v>32</v>
      </c>
      <c r="D693" s="126" t="str">
        <f t="shared" si="55"/>
        <v>2932</v>
      </c>
      <c r="J693" s="101">
        <v>19</v>
      </c>
      <c r="K693" s="101">
        <v>23</v>
      </c>
      <c r="L693" s="101">
        <v>992</v>
      </c>
      <c r="M693" s="101">
        <v>45336.939999999995</v>
      </c>
      <c r="N693" s="101">
        <v>9984.5019999999986</v>
      </c>
      <c r="O693" s="101">
        <v>22</v>
      </c>
      <c r="P693" s="101">
        <v>54</v>
      </c>
      <c r="Q693" s="101">
        <v>1810</v>
      </c>
      <c r="R693" s="101">
        <v>6692.73</v>
      </c>
      <c r="S693" s="101">
        <v>11616.373</v>
      </c>
      <c r="T693" s="169">
        <v>1.02</v>
      </c>
      <c r="U693" s="101">
        <f t="shared" si="57"/>
        <v>22.44</v>
      </c>
      <c r="V693" s="101">
        <f t="shared" si="58"/>
        <v>55.08</v>
      </c>
      <c r="W693" s="101">
        <f t="shared" si="59"/>
        <v>1846.2</v>
      </c>
      <c r="X693" s="101">
        <f t="shared" si="56"/>
        <v>6826.5845999999992</v>
      </c>
      <c r="Y693" s="101">
        <f t="shared" si="60"/>
        <v>11848.70046</v>
      </c>
    </row>
    <row r="694" spans="1:25" ht="11.25" hidden="1" customHeight="1" x14ac:dyDescent="0.3">
      <c r="A694" s="126" t="s">
        <v>183</v>
      </c>
      <c r="B694" s="126">
        <v>29</v>
      </c>
      <c r="C694" s="126">
        <v>43</v>
      </c>
      <c r="D694" s="126" t="str">
        <f t="shared" si="55"/>
        <v>2943</v>
      </c>
      <c r="J694" s="101">
        <v>0</v>
      </c>
      <c r="K694" s="101">
        <v>0</v>
      </c>
      <c r="L694" s="101">
        <v>0</v>
      </c>
      <c r="M694" s="101">
        <v>0</v>
      </c>
      <c r="N694" s="101">
        <v>0</v>
      </c>
      <c r="O694" s="101">
        <v>0</v>
      </c>
      <c r="P694" s="101">
        <v>0</v>
      </c>
      <c r="Q694" s="101">
        <v>0</v>
      </c>
      <c r="R694" s="101">
        <v>0</v>
      </c>
      <c r="S694" s="101">
        <v>0</v>
      </c>
      <c r="T694" s="169">
        <v>1.02</v>
      </c>
      <c r="U694" s="101">
        <f t="shared" si="57"/>
        <v>0</v>
      </c>
      <c r="V694" s="101">
        <f t="shared" si="58"/>
        <v>0</v>
      </c>
      <c r="W694" s="101">
        <f t="shared" si="59"/>
        <v>0</v>
      </c>
      <c r="X694" s="101">
        <f t="shared" si="56"/>
        <v>0</v>
      </c>
      <c r="Y694" s="101">
        <f t="shared" si="60"/>
        <v>0</v>
      </c>
    </row>
    <row r="695" spans="1:25" ht="11.25" hidden="1" customHeight="1" x14ac:dyDescent="0.3">
      <c r="A695" s="126" t="s">
        <v>183</v>
      </c>
      <c r="B695" s="126">
        <v>29</v>
      </c>
      <c r="C695" s="126">
        <v>44</v>
      </c>
      <c r="D695" s="126" t="str">
        <f t="shared" si="55"/>
        <v>2944</v>
      </c>
      <c r="J695" s="101">
        <v>0</v>
      </c>
      <c r="K695" s="101">
        <v>0</v>
      </c>
      <c r="L695" s="101">
        <v>0</v>
      </c>
      <c r="M695" s="101">
        <v>0</v>
      </c>
      <c r="N695" s="101">
        <v>0</v>
      </c>
      <c r="O695" s="101">
        <v>1</v>
      </c>
      <c r="P695" s="101">
        <v>1</v>
      </c>
      <c r="Q695" s="101">
        <v>1</v>
      </c>
      <c r="R695" s="101">
        <v>279.5</v>
      </c>
      <c r="S695" s="101">
        <v>86.531000000000006</v>
      </c>
      <c r="T695" s="169">
        <v>1.02</v>
      </c>
      <c r="U695" s="101">
        <f t="shared" si="57"/>
        <v>1.02</v>
      </c>
      <c r="V695" s="101">
        <f t="shared" si="58"/>
        <v>1.02</v>
      </c>
      <c r="W695" s="101">
        <f t="shared" si="59"/>
        <v>1.02</v>
      </c>
      <c r="X695" s="101">
        <f t="shared" si="56"/>
        <v>285.09000000000003</v>
      </c>
      <c r="Y695" s="101">
        <f t="shared" si="60"/>
        <v>88.261620000000008</v>
      </c>
    </row>
    <row r="696" spans="1:25" ht="11.25" hidden="1" customHeight="1" x14ac:dyDescent="0.3">
      <c r="A696" s="126" t="s">
        <v>183</v>
      </c>
      <c r="B696" s="126">
        <v>29</v>
      </c>
      <c r="C696" s="126">
        <v>45</v>
      </c>
      <c r="D696" s="126" t="str">
        <f t="shared" si="55"/>
        <v>2945</v>
      </c>
      <c r="J696" s="101">
        <v>0</v>
      </c>
      <c r="K696" s="101">
        <v>0</v>
      </c>
      <c r="L696" s="101">
        <v>0</v>
      </c>
      <c r="M696" s="101">
        <v>0</v>
      </c>
      <c r="N696" s="101">
        <v>0</v>
      </c>
      <c r="O696" s="101">
        <v>0</v>
      </c>
      <c r="P696" s="101">
        <v>0</v>
      </c>
      <c r="Q696" s="101">
        <v>0</v>
      </c>
      <c r="R696" s="101">
        <v>0</v>
      </c>
      <c r="S696" s="101">
        <v>0</v>
      </c>
      <c r="T696" s="169">
        <v>1.02</v>
      </c>
      <c r="U696" s="101">
        <f t="shared" si="57"/>
        <v>0</v>
      </c>
      <c r="V696" s="101">
        <f t="shared" si="58"/>
        <v>0</v>
      </c>
      <c r="W696" s="101">
        <f t="shared" si="59"/>
        <v>0</v>
      </c>
      <c r="X696" s="101">
        <f t="shared" si="56"/>
        <v>0</v>
      </c>
      <c r="Y696" s="101">
        <f t="shared" si="60"/>
        <v>0</v>
      </c>
    </row>
    <row r="697" spans="1:25" ht="11.25" hidden="1" customHeight="1" x14ac:dyDescent="0.3">
      <c r="A697" s="126" t="s">
        <v>183</v>
      </c>
      <c r="B697" s="126">
        <v>29</v>
      </c>
      <c r="C697" s="126">
        <v>47</v>
      </c>
      <c r="D697" s="126" t="str">
        <f t="shared" si="55"/>
        <v>2947</v>
      </c>
      <c r="J697" s="101">
        <v>1</v>
      </c>
      <c r="K697" s="101">
        <v>1</v>
      </c>
      <c r="L697" s="101">
        <v>10</v>
      </c>
      <c r="M697" s="101">
        <v>285</v>
      </c>
      <c r="N697" s="101">
        <v>101.2</v>
      </c>
      <c r="O697" s="101">
        <v>3</v>
      </c>
      <c r="P697" s="101">
        <v>6</v>
      </c>
      <c r="Q697" s="101">
        <v>149</v>
      </c>
      <c r="R697" s="101">
        <v>1869.65</v>
      </c>
      <c r="S697" s="101">
        <v>457.87900000000002</v>
      </c>
      <c r="T697" s="169">
        <v>1.02</v>
      </c>
      <c r="U697" s="101">
        <f t="shared" si="57"/>
        <v>3.06</v>
      </c>
      <c r="V697" s="101">
        <f t="shared" si="58"/>
        <v>6.12</v>
      </c>
      <c r="W697" s="101">
        <f t="shared" si="59"/>
        <v>151.97999999999999</v>
      </c>
      <c r="X697" s="101">
        <f t="shared" si="56"/>
        <v>1907.0430000000001</v>
      </c>
      <c r="Y697" s="101">
        <f t="shared" si="60"/>
        <v>467.03658000000001</v>
      </c>
    </row>
    <row r="698" spans="1:25" ht="11.25" hidden="1" customHeight="1" x14ac:dyDescent="0.3">
      <c r="A698" s="126" t="s">
        <v>183</v>
      </c>
      <c r="B698" s="126">
        <v>29</v>
      </c>
      <c r="C698" s="126">
        <v>91</v>
      </c>
      <c r="D698" s="126" t="str">
        <f t="shared" si="55"/>
        <v>2991</v>
      </c>
      <c r="J698" s="101">
        <v>35</v>
      </c>
      <c r="K698" s="101">
        <v>74</v>
      </c>
      <c r="L698" s="101">
        <v>657</v>
      </c>
      <c r="M698" s="101">
        <v>4819.5</v>
      </c>
      <c r="N698" s="101">
        <v>2432.3380000000006</v>
      </c>
      <c r="O698" s="101">
        <v>50</v>
      </c>
      <c r="P698" s="101">
        <v>133</v>
      </c>
      <c r="Q698" s="101">
        <v>519</v>
      </c>
      <c r="R698" s="101">
        <v>4303.17</v>
      </c>
      <c r="S698" s="101">
        <v>1939.423</v>
      </c>
      <c r="T698" s="169">
        <v>1.02</v>
      </c>
      <c r="U698" s="101">
        <f t="shared" si="57"/>
        <v>51</v>
      </c>
      <c r="V698" s="101">
        <f t="shared" si="58"/>
        <v>135.66</v>
      </c>
      <c r="W698" s="101">
        <f t="shared" si="59"/>
        <v>529.38</v>
      </c>
      <c r="X698" s="101">
        <f t="shared" si="56"/>
        <v>4389.2334000000001</v>
      </c>
      <c r="Y698" s="101">
        <f t="shared" si="60"/>
        <v>1978.21146</v>
      </c>
    </row>
    <row r="699" spans="1:25" ht="11.25" hidden="1" customHeight="1" x14ac:dyDescent="0.3">
      <c r="A699" s="126" t="s">
        <v>183</v>
      </c>
      <c r="B699" s="126">
        <v>29</v>
      </c>
      <c r="C699" s="126">
        <v>48</v>
      </c>
      <c r="D699" s="126" t="str">
        <f t="shared" si="55"/>
        <v>2948</v>
      </c>
      <c r="J699" s="101">
        <v>0</v>
      </c>
      <c r="K699" s="101">
        <v>0</v>
      </c>
      <c r="L699" s="101">
        <v>0</v>
      </c>
      <c r="M699" s="101">
        <v>0</v>
      </c>
      <c r="N699" s="101">
        <v>0</v>
      </c>
      <c r="O699" s="101">
        <v>1</v>
      </c>
      <c r="P699" s="101">
        <v>2</v>
      </c>
      <c r="Q699" s="101">
        <v>98</v>
      </c>
      <c r="R699" s="101">
        <v>430.4</v>
      </c>
      <c r="S699" s="101">
        <v>68.162000000000006</v>
      </c>
      <c r="T699" s="169">
        <v>1.02</v>
      </c>
      <c r="U699" s="101">
        <f t="shared" si="57"/>
        <v>1.02</v>
      </c>
      <c r="V699" s="101">
        <f t="shared" si="58"/>
        <v>2.04</v>
      </c>
      <c r="W699" s="101">
        <f t="shared" si="59"/>
        <v>99.960000000000008</v>
      </c>
      <c r="X699" s="101">
        <f t="shared" si="56"/>
        <v>439.00799999999998</v>
      </c>
      <c r="Y699" s="101">
        <f t="shared" si="60"/>
        <v>69.525240000000011</v>
      </c>
    </row>
    <row r="700" spans="1:25" ht="11.25" hidden="1" customHeight="1" x14ac:dyDescent="0.3">
      <c r="A700" s="126" t="s">
        <v>183</v>
      </c>
      <c r="B700" s="126">
        <v>29</v>
      </c>
      <c r="C700" s="126">
        <v>27</v>
      </c>
      <c r="D700" s="126" t="str">
        <f t="shared" si="55"/>
        <v>2927</v>
      </c>
      <c r="E700" s="101">
        <v>117</v>
      </c>
      <c r="F700" s="101">
        <v>1296</v>
      </c>
      <c r="G700" s="101">
        <v>7161</v>
      </c>
      <c r="H700" s="101">
        <v>79420.69</v>
      </c>
      <c r="I700" s="101">
        <v>40355.256999999998</v>
      </c>
      <c r="J700" s="101">
        <v>93</v>
      </c>
      <c r="K700" s="101">
        <v>1935</v>
      </c>
      <c r="L700" s="101">
        <v>10760</v>
      </c>
      <c r="M700" s="101">
        <v>115904.43</v>
      </c>
      <c r="N700" s="101">
        <v>54682.338000000003</v>
      </c>
      <c r="O700" s="101">
        <v>80</v>
      </c>
      <c r="P700" s="101">
        <v>2107</v>
      </c>
      <c r="Q700" s="101">
        <v>20178</v>
      </c>
      <c r="R700" s="101">
        <v>82248.34</v>
      </c>
      <c r="S700" s="101">
        <v>39714.324999999997</v>
      </c>
      <c r="T700" s="169">
        <v>1.02</v>
      </c>
      <c r="U700" s="101">
        <f t="shared" si="57"/>
        <v>81.599999999999994</v>
      </c>
      <c r="V700" s="101">
        <f t="shared" si="58"/>
        <v>2149.14</v>
      </c>
      <c r="W700" s="101">
        <f t="shared" si="59"/>
        <v>20581.560000000001</v>
      </c>
      <c r="X700" s="101">
        <f t="shared" si="56"/>
        <v>83893.306799999991</v>
      </c>
      <c r="Y700" s="101">
        <f t="shared" si="60"/>
        <v>40508.611499999999</v>
      </c>
    </row>
    <row r="701" spans="1:25" ht="11.25" hidden="1" customHeight="1" x14ac:dyDescent="0.3">
      <c r="A701" s="126" t="s">
        <v>183</v>
      </c>
      <c r="B701" s="126">
        <v>29</v>
      </c>
      <c r="C701" s="126">
        <v>34</v>
      </c>
      <c r="D701" s="126" t="str">
        <f t="shared" si="55"/>
        <v>2934</v>
      </c>
      <c r="O701" s="101">
        <v>2</v>
      </c>
      <c r="P701" s="101">
        <v>5</v>
      </c>
      <c r="Q701" s="101">
        <v>80</v>
      </c>
      <c r="R701" s="101">
        <v>0</v>
      </c>
      <c r="S701" s="101">
        <v>40.459000000000003</v>
      </c>
      <c r="T701" s="169">
        <v>1.02</v>
      </c>
      <c r="U701" s="101">
        <f t="shared" si="57"/>
        <v>2.04</v>
      </c>
      <c r="V701" s="101">
        <f t="shared" si="58"/>
        <v>5.0999999999999996</v>
      </c>
      <c r="W701" s="101">
        <f t="shared" si="59"/>
        <v>81.599999999999994</v>
      </c>
      <c r="X701" s="101">
        <f t="shared" si="56"/>
        <v>0</v>
      </c>
      <c r="Y701" s="101">
        <f t="shared" si="60"/>
        <v>41.268180000000001</v>
      </c>
    </row>
    <row r="702" spans="1:25" ht="11.25" hidden="1" customHeight="1" x14ac:dyDescent="0.3">
      <c r="A702" s="126" t="s">
        <v>183</v>
      </c>
      <c r="B702" s="126">
        <v>29</v>
      </c>
      <c r="C702" s="126">
        <v>41</v>
      </c>
      <c r="D702" s="126" t="str">
        <f t="shared" si="55"/>
        <v>2941</v>
      </c>
      <c r="O702" s="101">
        <v>1</v>
      </c>
      <c r="P702" s="101">
        <v>1</v>
      </c>
      <c r="Q702" s="101">
        <v>4</v>
      </c>
      <c r="R702" s="101">
        <v>57.76</v>
      </c>
      <c r="S702" s="101">
        <v>28.318000000000001</v>
      </c>
      <c r="T702" s="169">
        <v>1.02</v>
      </c>
      <c r="U702" s="101">
        <f t="shared" si="57"/>
        <v>1.02</v>
      </c>
      <c r="V702" s="101">
        <f t="shared" si="58"/>
        <v>1.02</v>
      </c>
      <c r="W702" s="101">
        <f t="shared" si="59"/>
        <v>4.08</v>
      </c>
      <c r="X702" s="101">
        <f t="shared" si="56"/>
        <v>58.915199999999999</v>
      </c>
      <c r="Y702" s="101">
        <f t="shared" si="60"/>
        <v>28.884360000000001</v>
      </c>
    </row>
    <row r="703" spans="1:25" ht="11.25" customHeight="1" x14ac:dyDescent="0.3">
      <c r="A703" s="126" t="s">
        <v>183</v>
      </c>
      <c r="B703" s="126">
        <v>29</v>
      </c>
      <c r="C703" s="126" t="s">
        <v>172</v>
      </c>
      <c r="D703" s="126" t="str">
        <f t="shared" si="55"/>
        <v>29Uml</v>
      </c>
      <c r="J703" s="101">
        <v>143</v>
      </c>
      <c r="K703" s="101">
        <v>147</v>
      </c>
      <c r="L703" s="101">
        <v>59839</v>
      </c>
      <c r="N703" s="101">
        <v>391626</v>
      </c>
      <c r="O703" s="101">
        <v>395</v>
      </c>
      <c r="P703" s="101">
        <v>400</v>
      </c>
      <c r="Q703" s="101">
        <v>82807</v>
      </c>
      <c r="S703" s="101">
        <v>393266</v>
      </c>
      <c r="T703" s="169">
        <v>1.02</v>
      </c>
      <c r="U703" s="101">
        <f t="shared" si="57"/>
        <v>402.90000000000003</v>
      </c>
      <c r="V703" s="101">
        <f t="shared" si="58"/>
        <v>408</v>
      </c>
      <c r="W703" s="101">
        <f t="shared" si="59"/>
        <v>84463.14</v>
      </c>
      <c r="X703" s="101">
        <f t="shared" si="56"/>
        <v>0</v>
      </c>
      <c r="Y703" s="101">
        <f t="shared" si="60"/>
        <v>401131.32</v>
      </c>
    </row>
    <row r="704" spans="1:25" ht="11.25" hidden="1" customHeight="1" x14ac:dyDescent="0.3">
      <c r="A704" s="126" t="s">
        <v>183</v>
      </c>
      <c r="B704" s="126">
        <v>29</v>
      </c>
      <c r="C704" s="126">
        <v>37</v>
      </c>
      <c r="D704" s="126" t="str">
        <f t="shared" si="55"/>
        <v>2937</v>
      </c>
      <c r="E704" s="101">
        <v>10.5</v>
      </c>
      <c r="F704" s="101">
        <v>25.25</v>
      </c>
      <c r="G704" s="101">
        <v>4527.5</v>
      </c>
      <c r="H704" s="101">
        <v>6224.2524999999987</v>
      </c>
      <c r="I704" s="101">
        <v>3935.4414999999999</v>
      </c>
      <c r="J704" s="101">
        <v>23</v>
      </c>
      <c r="K704" s="101">
        <v>129</v>
      </c>
      <c r="L704" s="101">
        <v>1880</v>
      </c>
      <c r="M704" s="101">
        <v>13041.6</v>
      </c>
      <c r="N704" s="101">
        <v>5383.1670000000004</v>
      </c>
      <c r="O704" s="101">
        <v>23</v>
      </c>
      <c r="P704" s="101">
        <v>83</v>
      </c>
      <c r="Q704" s="101">
        <v>1659</v>
      </c>
      <c r="R704" s="101">
        <v>6384.39</v>
      </c>
      <c r="S704" s="101">
        <v>2581.8209999999999</v>
      </c>
      <c r="T704" s="169">
        <v>1.02</v>
      </c>
      <c r="U704" s="101">
        <f t="shared" si="57"/>
        <v>23.46</v>
      </c>
      <c r="V704" s="101">
        <f t="shared" si="58"/>
        <v>84.66</v>
      </c>
      <c r="W704" s="101">
        <f t="shared" si="59"/>
        <v>1692.18</v>
      </c>
      <c r="X704" s="101">
        <f t="shared" si="56"/>
        <v>6512.0778</v>
      </c>
      <c r="Y704" s="101">
        <f t="shared" si="60"/>
        <v>2633.4574200000002</v>
      </c>
    </row>
    <row r="705" spans="1:25" ht="11.25" hidden="1" customHeight="1" x14ac:dyDescent="0.3">
      <c r="A705" s="126" t="s">
        <v>183</v>
      </c>
      <c r="B705" s="126">
        <v>30</v>
      </c>
      <c r="C705" s="126">
        <v>12</v>
      </c>
      <c r="D705" s="126" t="str">
        <f t="shared" si="55"/>
        <v>3012</v>
      </c>
      <c r="E705" s="101">
        <v>1109</v>
      </c>
      <c r="F705" s="101">
        <v>1447</v>
      </c>
      <c r="G705" s="101">
        <v>2022</v>
      </c>
      <c r="H705" s="101">
        <v>35805.51</v>
      </c>
      <c r="I705" s="101">
        <v>14502.023000000001</v>
      </c>
      <c r="J705" s="101">
        <v>9</v>
      </c>
      <c r="K705" s="101">
        <v>13</v>
      </c>
      <c r="L705" s="101">
        <v>15</v>
      </c>
      <c r="M705" s="101">
        <v>732.23</v>
      </c>
      <c r="N705" s="101">
        <v>81.039000000000001</v>
      </c>
      <c r="O705" s="101">
        <v>12</v>
      </c>
      <c r="P705" s="101">
        <v>17</v>
      </c>
      <c r="Q705" s="101">
        <v>22</v>
      </c>
      <c r="R705" s="101">
        <v>510.67</v>
      </c>
      <c r="S705" s="101">
        <v>75.741</v>
      </c>
      <c r="T705" s="169">
        <v>1.02</v>
      </c>
      <c r="U705" s="101">
        <f t="shared" si="57"/>
        <v>12.24</v>
      </c>
      <c r="V705" s="101">
        <f t="shared" si="58"/>
        <v>17.34</v>
      </c>
      <c r="W705" s="101">
        <f t="shared" si="59"/>
        <v>22.44</v>
      </c>
      <c r="X705" s="101">
        <f t="shared" si="56"/>
        <v>520.88340000000005</v>
      </c>
      <c r="Y705" s="101">
        <f t="shared" si="60"/>
        <v>77.25582</v>
      </c>
    </row>
    <row r="706" spans="1:25" ht="11.25" hidden="1" customHeight="1" x14ac:dyDescent="0.3">
      <c r="A706" s="126" t="s">
        <v>183</v>
      </c>
      <c r="B706" s="126">
        <v>30</v>
      </c>
      <c r="C706" s="126">
        <v>14</v>
      </c>
      <c r="D706" s="126" t="str">
        <f t="shared" si="55"/>
        <v>3014</v>
      </c>
      <c r="E706" s="101">
        <v>1</v>
      </c>
      <c r="F706" s="101">
        <v>5</v>
      </c>
      <c r="G706" s="101">
        <v>5</v>
      </c>
      <c r="H706" s="101">
        <v>303.8</v>
      </c>
      <c r="I706" s="101">
        <v>36.896999999999998</v>
      </c>
      <c r="J706" s="101">
        <v>6</v>
      </c>
      <c r="K706" s="101">
        <v>10</v>
      </c>
      <c r="L706" s="101">
        <v>11</v>
      </c>
      <c r="M706" s="101">
        <v>1923.26</v>
      </c>
      <c r="N706" s="101">
        <v>166.38800000000001</v>
      </c>
      <c r="O706" s="101">
        <v>25</v>
      </c>
      <c r="P706" s="101">
        <v>43</v>
      </c>
      <c r="Q706" s="101">
        <v>72</v>
      </c>
      <c r="R706" s="101">
        <v>5058.37</v>
      </c>
      <c r="S706" s="101">
        <v>769.02499999999998</v>
      </c>
      <c r="T706" s="169">
        <v>1.02</v>
      </c>
      <c r="U706" s="101">
        <f t="shared" si="57"/>
        <v>25.5</v>
      </c>
      <c r="V706" s="101">
        <f t="shared" si="58"/>
        <v>43.86</v>
      </c>
      <c r="W706" s="101">
        <f t="shared" si="59"/>
        <v>73.44</v>
      </c>
      <c r="X706" s="101">
        <f t="shared" si="56"/>
        <v>5159.5374000000002</v>
      </c>
      <c r="Y706" s="101">
        <f t="shared" si="60"/>
        <v>784.40549999999996</v>
      </c>
    </row>
    <row r="707" spans="1:25" ht="11.25" hidden="1" customHeight="1" x14ac:dyDescent="0.3">
      <c r="A707" s="126" t="s">
        <v>183</v>
      </c>
      <c r="B707" s="126">
        <v>30</v>
      </c>
      <c r="C707" s="126">
        <v>17</v>
      </c>
      <c r="D707" s="126" t="str">
        <f t="shared" si="55"/>
        <v>3017</v>
      </c>
      <c r="E707" s="101">
        <v>1988</v>
      </c>
      <c r="F707" s="101">
        <v>2890</v>
      </c>
      <c r="G707" s="101">
        <v>4032</v>
      </c>
      <c r="H707" s="101">
        <v>136511.02000000002</v>
      </c>
      <c r="I707" s="101">
        <v>25444.38</v>
      </c>
      <c r="J707" s="101">
        <v>1356</v>
      </c>
      <c r="K707" s="101">
        <v>3833</v>
      </c>
      <c r="L707" s="101">
        <v>5466</v>
      </c>
      <c r="M707" s="101">
        <v>113607.57999999999</v>
      </c>
      <c r="N707" s="101">
        <v>25148.359</v>
      </c>
      <c r="O707" s="101">
        <v>866</v>
      </c>
      <c r="P707" s="101">
        <v>1488</v>
      </c>
      <c r="Q707" s="101">
        <v>2099</v>
      </c>
      <c r="R707" s="101">
        <v>66521.850000000006</v>
      </c>
      <c r="S707" s="101">
        <v>13447.35</v>
      </c>
      <c r="T707" s="169">
        <v>1.02</v>
      </c>
      <c r="U707" s="101">
        <v>1845</v>
      </c>
      <c r="V707" s="101">
        <v>3659</v>
      </c>
      <c r="W707" s="101">
        <v>5363</v>
      </c>
      <c r="X707" s="101">
        <f t="shared" si="56"/>
        <v>67852.287000000011</v>
      </c>
      <c r="Y707" s="101">
        <v>30000</v>
      </c>
    </row>
    <row r="708" spans="1:25" ht="11.25" hidden="1" customHeight="1" x14ac:dyDescent="0.3">
      <c r="A708" s="126" t="s">
        <v>183</v>
      </c>
      <c r="B708" s="126">
        <v>30</v>
      </c>
      <c r="C708" s="126">
        <v>18</v>
      </c>
      <c r="D708" s="126" t="str">
        <f t="shared" si="55"/>
        <v>3018</v>
      </c>
      <c r="E708" s="101">
        <v>209</v>
      </c>
      <c r="F708" s="101">
        <v>308</v>
      </c>
      <c r="G708" s="101">
        <v>507</v>
      </c>
      <c r="H708" s="101">
        <v>15879.1</v>
      </c>
      <c r="I708" s="101">
        <v>2462.9290000000001</v>
      </c>
      <c r="J708" s="101">
        <v>2082</v>
      </c>
      <c r="K708" s="101">
        <v>2261</v>
      </c>
      <c r="L708" s="101">
        <v>2515</v>
      </c>
      <c r="M708" s="101">
        <v>110359.65999999999</v>
      </c>
      <c r="N708" s="101">
        <v>23507.518</v>
      </c>
      <c r="O708" s="101">
        <v>1122</v>
      </c>
      <c r="P708" s="101">
        <v>1260</v>
      </c>
      <c r="Q708" s="101">
        <v>1420</v>
      </c>
      <c r="R708" s="101">
        <v>63240.6</v>
      </c>
      <c r="S708" s="101">
        <v>13880.008</v>
      </c>
      <c r="T708" s="169">
        <v>1.02</v>
      </c>
      <c r="U708" s="101">
        <f t="shared" si="57"/>
        <v>1144.44</v>
      </c>
      <c r="V708" s="101">
        <f t="shared" si="58"/>
        <v>1285.2</v>
      </c>
      <c r="W708" s="101">
        <f t="shared" si="59"/>
        <v>1448.4</v>
      </c>
      <c r="X708" s="101">
        <f t="shared" si="56"/>
        <v>64505.411999999997</v>
      </c>
      <c r="Y708" s="101">
        <f t="shared" si="60"/>
        <v>14157.60816</v>
      </c>
    </row>
    <row r="709" spans="1:25" ht="11.25" hidden="1" customHeight="1" x14ac:dyDescent="0.3">
      <c r="A709" s="126" t="s">
        <v>183</v>
      </c>
      <c r="B709" s="126">
        <v>30</v>
      </c>
      <c r="C709" s="126">
        <v>28</v>
      </c>
      <c r="D709" s="126" t="str">
        <f t="shared" si="55"/>
        <v>3028</v>
      </c>
      <c r="E709" s="101">
        <v>342</v>
      </c>
      <c r="F709" s="101">
        <v>2936</v>
      </c>
      <c r="G709" s="101">
        <v>24225</v>
      </c>
      <c r="H709" s="101">
        <v>789739.39</v>
      </c>
      <c r="I709" s="101">
        <v>195514.25899999999</v>
      </c>
      <c r="J709" s="101">
        <v>226</v>
      </c>
      <c r="K709" s="101">
        <v>3050</v>
      </c>
      <c r="L709" s="101">
        <v>15675</v>
      </c>
      <c r="M709" s="101">
        <v>269138.07999999996</v>
      </c>
      <c r="N709" s="101">
        <v>59879.367000000006</v>
      </c>
      <c r="O709" s="101">
        <v>242</v>
      </c>
      <c r="P709" s="101">
        <v>5411</v>
      </c>
      <c r="Q709" s="101">
        <v>28522</v>
      </c>
      <c r="R709" s="101">
        <v>693200.72</v>
      </c>
      <c r="S709" s="101">
        <v>169493.31400000001</v>
      </c>
      <c r="T709" s="169">
        <v>1.02</v>
      </c>
      <c r="U709" s="101">
        <f t="shared" si="57"/>
        <v>246.84</v>
      </c>
      <c r="V709" s="101">
        <f t="shared" si="58"/>
        <v>5519.22</v>
      </c>
      <c r="W709" s="101">
        <f t="shared" si="59"/>
        <v>29092.44</v>
      </c>
      <c r="X709" s="101">
        <f t="shared" si="56"/>
        <v>707064.73439999996</v>
      </c>
      <c r="Y709" s="101">
        <f t="shared" si="60"/>
        <v>172883.18028000003</v>
      </c>
    </row>
    <row r="710" spans="1:25" ht="11.25" hidden="1" customHeight="1" x14ac:dyDescent="0.3">
      <c r="A710" s="126" t="s">
        <v>183</v>
      </c>
      <c r="B710" s="126">
        <v>30</v>
      </c>
      <c r="C710" s="126">
        <v>46</v>
      </c>
      <c r="D710" s="126" t="str">
        <f t="shared" si="55"/>
        <v>3046</v>
      </c>
      <c r="E710" s="101">
        <v>252</v>
      </c>
      <c r="F710" s="101">
        <v>563</v>
      </c>
      <c r="G710" s="101">
        <v>24103</v>
      </c>
      <c r="H710" s="101">
        <v>305812.68999999994</v>
      </c>
      <c r="I710" s="101">
        <v>110708.86500000002</v>
      </c>
      <c r="J710" s="101">
        <v>179</v>
      </c>
      <c r="K710" s="101">
        <v>406</v>
      </c>
      <c r="L710" s="101">
        <v>11073</v>
      </c>
      <c r="M710" s="101">
        <v>248604.28</v>
      </c>
      <c r="N710" s="101">
        <v>101406.182</v>
      </c>
      <c r="O710" s="101">
        <v>151</v>
      </c>
      <c r="P710" s="101">
        <v>309</v>
      </c>
      <c r="Q710" s="101">
        <v>40140</v>
      </c>
      <c r="R710" s="101">
        <v>699113.57</v>
      </c>
      <c r="S710" s="101">
        <v>298745.98499999999</v>
      </c>
      <c r="T710" s="169">
        <v>1.02</v>
      </c>
      <c r="U710" s="101">
        <f t="shared" si="57"/>
        <v>154.02000000000001</v>
      </c>
      <c r="V710" s="101">
        <f t="shared" si="58"/>
        <v>315.18</v>
      </c>
      <c r="W710" s="101">
        <f t="shared" si="59"/>
        <v>40942.800000000003</v>
      </c>
      <c r="X710" s="101">
        <f t="shared" ref="X710:X773" si="61">R710*T710</f>
        <v>713095.84139999992</v>
      </c>
      <c r="Y710" s="101">
        <f t="shared" si="60"/>
        <v>304720.90470000001</v>
      </c>
    </row>
    <row r="711" spans="1:25" ht="11.25" hidden="1" customHeight="1" x14ac:dyDescent="0.3">
      <c r="A711" s="126" t="s">
        <v>183</v>
      </c>
      <c r="B711" s="126">
        <v>30</v>
      </c>
      <c r="C711" s="126">
        <v>48</v>
      </c>
      <c r="D711" s="126" t="str">
        <f t="shared" si="55"/>
        <v>3048</v>
      </c>
      <c r="E711" s="101">
        <v>1</v>
      </c>
      <c r="F711" s="101">
        <v>3</v>
      </c>
      <c r="G711" s="101">
        <v>4</v>
      </c>
      <c r="H711" s="101">
        <v>112.34</v>
      </c>
      <c r="I711" s="101">
        <v>43.758000000000003</v>
      </c>
      <c r="J711" s="101">
        <v>0</v>
      </c>
      <c r="K711" s="101">
        <v>0</v>
      </c>
      <c r="L711" s="101">
        <v>0</v>
      </c>
      <c r="M711" s="101">
        <v>0</v>
      </c>
      <c r="N711" s="101">
        <v>0</v>
      </c>
      <c r="O711" s="101">
        <v>1</v>
      </c>
      <c r="P711" s="101">
        <v>1</v>
      </c>
      <c r="Q711" s="101">
        <v>40</v>
      </c>
      <c r="R711" s="101">
        <v>170.4</v>
      </c>
      <c r="S711" s="101">
        <v>28.053000000000001</v>
      </c>
      <c r="T711" s="169">
        <v>1.02</v>
      </c>
      <c r="U711" s="101">
        <f t="shared" si="57"/>
        <v>1.02</v>
      </c>
      <c r="V711" s="101">
        <f t="shared" si="58"/>
        <v>1.02</v>
      </c>
      <c r="W711" s="101">
        <f t="shared" si="59"/>
        <v>40.799999999999997</v>
      </c>
      <c r="X711" s="101">
        <f t="shared" si="61"/>
        <v>173.80800000000002</v>
      </c>
      <c r="Y711" s="101">
        <f t="shared" si="60"/>
        <v>28.614060000000002</v>
      </c>
    </row>
    <row r="712" spans="1:25" ht="11.25" hidden="1" customHeight="1" x14ac:dyDescent="0.3">
      <c r="A712" s="126" t="s">
        <v>183</v>
      </c>
      <c r="B712" s="126">
        <v>30</v>
      </c>
      <c r="C712" s="126">
        <v>66</v>
      </c>
      <c r="D712" s="126" t="str">
        <f t="shared" si="55"/>
        <v>3066</v>
      </c>
      <c r="E712" s="101">
        <v>443</v>
      </c>
      <c r="F712" s="101">
        <v>1898</v>
      </c>
      <c r="G712" s="101">
        <v>34475</v>
      </c>
      <c r="H712" s="101">
        <v>192266.34000000003</v>
      </c>
      <c r="I712" s="101">
        <v>171306.95899999997</v>
      </c>
      <c r="J712" s="101">
        <v>214</v>
      </c>
      <c r="K712" s="101">
        <v>1444</v>
      </c>
      <c r="L712" s="101">
        <v>29387</v>
      </c>
      <c r="M712" s="101">
        <v>170883.65999999997</v>
      </c>
      <c r="N712" s="101">
        <v>163305.38500000001</v>
      </c>
      <c r="O712" s="101">
        <v>255</v>
      </c>
      <c r="P712" s="101">
        <v>1517</v>
      </c>
      <c r="Q712" s="101">
        <v>42596</v>
      </c>
      <c r="R712" s="101">
        <v>202116.03</v>
      </c>
      <c r="S712" s="101">
        <v>113130.519</v>
      </c>
      <c r="T712" s="169">
        <v>1.02</v>
      </c>
      <c r="U712" s="101">
        <f t="shared" ref="U712:U775" si="62">O712*T712</f>
        <v>260.10000000000002</v>
      </c>
      <c r="V712" s="101">
        <f t="shared" ref="V712:V775" si="63">P712*T712</f>
        <v>1547.34</v>
      </c>
      <c r="W712" s="101">
        <f t="shared" ref="W712:W775" si="64">Q712*T712</f>
        <v>43447.92</v>
      </c>
      <c r="X712" s="101">
        <f t="shared" si="61"/>
        <v>206158.35060000001</v>
      </c>
      <c r="Y712" s="101">
        <f t="shared" ref="Y712:Y775" si="65">S712*T712</f>
        <v>115393.12938</v>
      </c>
    </row>
    <row r="713" spans="1:25" ht="11.25" hidden="1" customHeight="1" x14ac:dyDescent="0.3">
      <c r="A713" s="126" t="s">
        <v>183</v>
      </c>
      <c r="B713" s="126">
        <v>30</v>
      </c>
      <c r="C713" s="126">
        <v>30</v>
      </c>
      <c r="D713" s="126" t="str">
        <f t="shared" si="55"/>
        <v>3030</v>
      </c>
      <c r="E713" s="101">
        <v>429</v>
      </c>
      <c r="F713" s="101">
        <v>2733</v>
      </c>
      <c r="G713" s="101">
        <v>12966</v>
      </c>
      <c r="H713" s="101">
        <v>310108.90500000003</v>
      </c>
      <c r="I713" s="101">
        <v>110487.83500000001</v>
      </c>
      <c r="J713" s="101">
        <v>0</v>
      </c>
      <c r="K713" s="101">
        <v>0</v>
      </c>
      <c r="L713" s="101">
        <v>0</v>
      </c>
      <c r="M713" s="101">
        <v>0</v>
      </c>
      <c r="N713" s="101">
        <v>0</v>
      </c>
      <c r="O713" s="101">
        <v>18</v>
      </c>
      <c r="P713" s="101">
        <v>21</v>
      </c>
      <c r="Q713" s="101">
        <v>423</v>
      </c>
      <c r="R713" s="101">
        <v>50276.39</v>
      </c>
      <c r="S713" s="101">
        <v>18159.273000000001</v>
      </c>
      <c r="T713" s="169">
        <v>1.02</v>
      </c>
      <c r="U713" s="101">
        <f t="shared" si="62"/>
        <v>18.36</v>
      </c>
      <c r="V713" s="101">
        <f t="shared" si="63"/>
        <v>21.42</v>
      </c>
      <c r="W713" s="101">
        <f t="shared" si="64"/>
        <v>431.46</v>
      </c>
      <c r="X713" s="101">
        <f t="shared" si="61"/>
        <v>51281.917800000003</v>
      </c>
      <c r="Y713" s="101">
        <f t="shared" si="65"/>
        <v>18522.458460000002</v>
      </c>
    </row>
    <row r="714" spans="1:25" ht="11.25" hidden="1" customHeight="1" x14ac:dyDescent="0.3">
      <c r="A714" s="126" t="s">
        <v>183</v>
      </c>
      <c r="B714" s="126">
        <v>30</v>
      </c>
      <c r="C714" s="126">
        <v>21</v>
      </c>
      <c r="D714" s="126" t="str">
        <f t="shared" si="55"/>
        <v>3021</v>
      </c>
      <c r="E714" s="101">
        <v>1150</v>
      </c>
      <c r="F714" s="101">
        <v>3828</v>
      </c>
      <c r="G714" s="101">
        <v>26784.5</v>
      </c>
      <c r="H714" s="101">
        <v>309212.64499999996</v>
      </c>
      <c r="I714" s="101">
        <v>102435.0085</v>
      </c>
      <c r="J714" s="101">
        <v>1303</v>
      </c>
      <c r="K714" s="101">
        <v>8059</v>
      </c>
      <c r="L714" s="101">
        <v>46801</v>
      </c>
      <c r="M714" s="101">
        <v>537761</v>
      </c>
      <c r="N714" s="101">
        <v>196424.54100000003</v>
      </c>
      <c r="O714" s="101">
        <v>740</v>
      </c>
      <c r="P714" s="101">
        <v>5130</v>
      </c>
      <c r="Q714" s="101">
        <v>35917</v>
      </c>
      <c r="R714" s="101">
        <v>453605.09</v>
      </c>
      <c r="S714" s="101">
        <v>180623.10800000001</v>
      </c>
      <c r="T714" s="169">
        <v>1.02</v>
      </c>
      <c r="U714" s="101">
        <f>O714*T714-6</f>
        <v>748.80000000000007</v>
      </c>
      <c r="V714" s="101">
        <f>P714*T714-12</f>
        <v>5220.6000000000004</v>
      </c>
      <c r="W714" s="101">
        <f>Q714*T714-1172</f>
        <v>35463.340000000004</v>
      </c>
      <c r="X714" s="101">
        <f>R714*T714-11746</f>
        <v>450931.19180000003</v>
      </c>
      <c r="Y714" s="101">
        <f>S714*T714-18753</f>
        <v>165482.57016</v>
      </c>
    </row>
    <row r="715" spans="1:25" ht="11.25" hidden="1" customHeight="1" x14ac:dyDescent="0.3">
      <c r="A715" s="126" t="s">
        <v>183</v>
      </c>
      <c r="B715" s="126">
        <v>30</v>
      </c>
      <c r="C715" s="126">
        <v>71</v>
      </c>
      <c r="D715" s="126" t="str">
        <f t="shared" si="55"/>
        <v>3071</v>
      </c>
      <c r="E715" s="101">
        <v>797.5</v>
      </c>
      <c r="F715" s="101">
        <v>15341.5</v>
      </c>
      <c r="G715" s="101">
        <v>53975</v>
      </c>
      <c r="H715" s="101">
        <v>451393.07</v>
      </c>
      <c r="I715" s="101">
        <v>174946.06950000001</v>
      </c>
      <c r="J715" s="101">
        <v>329</v>
      </c>
      <c r="K715" s="101">
        <v>10844</v>
      </c>
      <c r="L715" s="101">
        <v>28532</v>
      </c>
      <c r="M715" s="101">
        <v>231258.2</v>
      </c>
      <c r="N715" s="101">
        <v>123287.59400000001</v>
      </c>
      <c r="O715" s="101">
        <v>478</v>
      </c>
      <c r="P715" s="101">
        <v>4569</v>
      </c>
      <c r="Q715" s="101">
        <v>17001</v>
      </c>
      <c r="R715" s="101">
        <v>87931.31</v>
      </c>
      <c r="S715" s="101">
        <v>54085.391000000003</v>
      </c>
      <c r="T715" s="169">
        <v>0.98</v>
      </c>
      <c r="U715" s="101">
        <f t="shared" si="62"/>
        <v>468.44</v>
      </c>
      <c r="V715" s="101">
        <f t="shared" si="63"/>
        <v>4477.62</v>
      </c>
      <c r="W715" s="101">
        <f t="shared" si="64"/>
        <v>16660.98</v>
      </c>
      <c r="X715" s="101">
        <f t="shared" si="61"/>
        <v>86172.683799999999</v>
      </c>
      <c r="Y715" s="101">
        <f t="shared" si="65"/>
        <v>53003.68318</v>
      </c>
    </row>
    <row r="716" spans="1:25" ht="11.25" hidden="1" customHeight="1" x14ac:dyDescent="0.3">
      <c r="A716" s="126" t="s">
        <v>183</v>
      </c>
      <c r="B716" s="126">
        <v>30</v>
      </c>
      <c r="C716" s="126">
        <v>26</v>
      </c>
      <c r="D716" s="126" t="str">
        <f t="shared" si="55"/>
        <v>3026</v>
      </c>
      <c r="J716" s="101">
        <v>3</v>
      </c>
      <c r="K716" s="101">
        <v>5</v>
      </c>
      <c r="L716" s="101">
        <v>87</v>
      </c>
      <c r="M716" s="101">
        <v>521.93000000000006</v>
      </c>
      <c r="N716" s="101">
        <v>52.785000000000004</v>
      </c>
      <c r="O716" s="101">
        <v>0</v>
      </c>
      <c r="P716" s="101">
        <v>0</v>
      </c>
      <c r="Q716" s="101">
        <v>0</v>
      </c>
      <c r="R716" s="101">
        <v>0</v>
      </c>
      <c r="S716" s="101">
        <v>0</v>
      </c>
      <c r="T716" s="169">
        <v>1.02</v>
      </c>
      <c r="U716" s="101">
        <f t="shared" si="62"/>
        <v>0</v>
      </c>
      <c r="V716" s="101">
        <f t="shared" si="63"/>
        <v>0</v>
      </c>
      <c r="W716" s="101">
        <f t="shared" si="64"/>
        <v>0</v>
      </c>
      <c r="X716" s="101">
        <f t="shared" si="61"/>
        <v>0</v>
      </c>
      <c r="Y716" s="101">
        <f t="shared" si="65"/>
        <v>0</v>
      </c>
    </row>
    <row r="717" spans="1:25" ht="11.25" hidden="1" customHeight="1" x14ac:dyDescent="0.3">
      <c r="A717" s="126" t="s">
        <v>183</v>
      </c>
      <c r="B717" s="126">
        <v>30</v>
      </c>
      <c r="C717" s="126">
        <v>32</v>
      </c>
      <c r="D717" s="126" t="str">
        <f t="shared" si="55"/>
        <v>3032</v>
      </c>
      <c r="J717" s="101">
        <v>16</v>
      </c>
      <c r="K717" s="101">
        <v>16</v>
      </c>
      <c r="L717" s="101">
        <v>114</v>
      </c>
      <c r="M717" s="101">
        <v>1749.8000000000002</v>
      </c>
      <c r="N717" s="101">
        <v>227.13499999999999</v>
      </c>
      <c r="O717" s="101">
        <v>16</v>
      </c>
      <c r="P717" s="101">
        <v>171</v>
      </c>
      <c r="Q717" s="101">
        <v>2784</v>
      </c>
      <c r="R717" s="101">
        <v>43137.58</v>
      </c>
      <c r="S717" s="101">
        <v>15863.569</v>
      </c>
      <c r="T717" s="169">
        <v>1.02</v>
      </c>
      <c r="U717" s="101">
        <f t="shared" si="62"/>
        <v>16.32</v>
      </c>
      <c r="V717" s="101">
        <f t="shared" si="63"/>
        <v>174.42000000000002</v>
      </c>
      <c r="W717" s="101">
        <f t="shared" si="64"/>
        <v>2839.68</v>
      </c>
      <c r="X717" s="101">
        <f t="shared" si="61"/>
        <v>44000.331600000005</v>
      </c>
      <c r="Y717" s="101">
        <f t="shared" si="65"/>
        <v>16180.84038</v>
      </c>
    </row>
    <row r="718" spans="1:25" ht="11.25" hidden="1" customHeight="1" x14ac:dyDescent="0.3">
      <c r="A718" s="126" t="s">
        <v>183</v>
      </c>
      <c r="B718" s="126">
        <v>30</v>
      </c>
      <c r="C718" s="126">
        <v>43</v>
      </c>
      <c r="D718" s="126" t="str">
        <f t="shared" si="55"/>
        <v>3043</v>
      </c>
      <c r="J718" s="101">
        <v>0</v>
      </c>
      <c r="K718" s="101">
        <v>0</v>
      </c>
      <c r="L718" s="101">
        <v>0</v>
      </c>
      <c r="M718" s="101">
        <v>0</v>
      </c>
      <c r="N718" s="101">
        <v>0</v>
      </c>
      <c r="O718" s="101">
        <v>0</v>
      </c>
      <c r="P718" s="101">
        <v>0</v>
      </c>
      <c r="Q718" s="101">
        <v>0</v>
      </c>
      <c r="R718" s="101">
        <v>0</v>
      </c>
      <c r="S718" s="101">
        <v>0</v>
      </c>
      <c r="T718" s="169">
        <v>1.02</v>
      </c>
      <c r="U718" s="101">
        <f t="shared" si="62"/>
        <v>0</v>
      </c>
      <c r="V718" s="101">
        <f t="shared" si="63"/>
        <v>0</v>
      </c>
      <c r="W718" s="101">
        <f t="shared" si="64"/>
        <v>0</v>
      </c>
      <c r="X718" s="101">
        <f t="shared" si="61"/>
        <v>0</v>
      </c>
      <c r="Y718" s="101">
        <f t="shared" si="65"/>
        <v>0</v>
      </c>
    </row>
    <row r="719" spans="1:25" ht="11.25" hidden="1" customHeight="1" x14ac:dyDescent="0.3">
      <c r="A719" s="126" t="s">
        <v>183</v>
      </c>
      <c r="B719" s="126">
        <v>30</v>
      </c>
      <c r="C719" s="126">
        <v>44</v>
      </c>
      <c r="D719" s="126" t="str">
        <f t="shared" si="55"/>
        <v>3044</v>
      </c>
      <c r="J719" s="101">
        <v>0</v>
      </c>
      <c r="K719" s="101">
        <v>0</v>
      </c>
      <c r="L719" s="101">
        <v>0</v>
      </c>
      <c r="M719" s="101">
        <v>0</v>
      </c>
      <c r="N719" s="101">
        <v>0</v>
      </c>
      <c r="O719" s="101">
        <v>0</v>
      </c>
      <c r="P719" s="101">
        <v>0</v>
      </c>
      <c r="Q719" s="101">
        <v>0</v>
      </c>
      <c r="R719" s="101">
        <v>0</v>
      </c>
      <c r="S719" s="101">
        <v>0</v>
      </c>
      <c r="T719" s="169">
        <v>1.02</v>
      </c>
      <c r="U719" s="101">
        <f t="shared" si="62"/>
        <v>0</v>
      </c>
      <c r="V719" s="101">
        <f t="shared" si="63"/>
        <v>0</v>
      </c>
      <c r="W719" s="101">
        <f t="shared" si="64"/>
        <v>0</v>
      </c>
      <c r="X719" s="101">
        <f t="shared" si="61"/>
        <v>0</v>
      </c>
      <c r="Y719" s="101">
        <f t="shared" si="65"/>
        <v>0</v>
      </c>
    </row>
    <row r="720" spans="1:25" ht="11.25" hidden="1" customHeight="1" x14ac:dyDescent="0.3">
      <c r="A720" s="126" t="s">
        <v>183</v>
      </c>
      <c r="B720" s="126">
        <v>30</v>
      </c>
      <c r="C720" s="126">
        <v>45</v>
      </c>
      <c r="D720" s="126" t="str">
        <f t="shared" si="55"/>
        <v>3045</v>
      </c>
      <c r="J720" s="101">
        <v>0</v>
      </c>
      <c r="K720" s="101">
        <v>0</v>
      </c>
      <c r="L720" s="101">
        <v>0</v>
      </c>
      <c r="M720" s="101">
        <v>0</v>
      </c>
      <c r="N720" s="101">
        <v>0</v>
      </c>
      <c r="O720" s="101">
        <v>0</v>
      </c>
      <c r="P720" s="101">
        <v>0</v>
      </c>
      <c r="Q720" s="101">
        <v>0</v>
      </c>
      <c r="R720" s="101">
        <v>0</v>
      </c>
      <c r="S720" s="101">
        <v>0</v>
      </c>
      <c r="T720" s="169">
        <v>1.02</v>
      </c>
      <c r="U720" s="101">
        <f t="shared" si="62"/>
        <v>0</v>
      </c>
      <c r="V720" s="101">
        <f t="shared" si="63"/>
        <v>0</v>
      </c>
      <c r="W720" s="101">
        <f t="shared" si="64"/>
        <v>0</v>
      </c>
      <c r="X720" s="101">
        <f t="shared" si="61"/>
        <v>0</v>
      </c>
      <c r="Y720" s="101">
        <f t="shared" si="65"/>
        <v>0</v>
      </c>
    </row>
    <row r="721" spans="1:25" ht="11.25" hidden="1" customHeight="1" x14ac:dyDescent="0.3">
      <c r="A721" s="126" t="s">
        <v>183</v>
      </c>
      <c r="B721" s="126">
        <v>30</v>
      </c>
      <c r="C721" s="126">
        <v>47</v>
      </c>
      <c r="D721" s="126" t="str">
        <f t="shared" si="55"/>
        <v>3047</v>
      </c>
      <c r="J721" s="101">
        <v>0</v>
      </c>
      <c r="K721" s="101">
        <v>0</v>
      </c>
      <c r="L721" s="101">
        <v>0</v>
      </c>
      <c r="M721" s="101">
        <v>0</v>
      </c>
      <c r="N721" s="101">
        <v>0</v>
      </c>
      <c r="O721" s="101">
        <v>1</v>
      </c>
      <c r="P721" s="101">
        <v>1</v>
      </c>
      <c r="Q721" s="101">
        <v>40</v>
      </c>
      <c r="R721" s="101">
        <v>3198</v>
      </c>
      <c r="S721" s="101">
        <v>408.67200000000003</v>
      </c>
      <c r="T721" s="169">
        <v>1.02</v>
      </c>
      <c r="U721" s="101">
        <f t="shared" si="62"/>
        <v>1.02</v>
      </c>
      <c r="V721" s="101">
        <f t="shared" si="63"/>
        <v>1.02</v>
      </c>
      <c r="W721" s="101">
        <f t="shared" si="64"/>
        <v>40.799999999999997</v>
      </c>
      <c r="X721" s="101">
        <f t="shared" si="61"/>
        <v>3261.96</v>
      </c>
      <c r="Y721" s="101">
        <f t="shared" si="65"/>
        <v>416.84544000000005</v>
      </c>
    </row>
    <row r="722" spans="1:25" ht="11.25" hidden="1" customHeight="1" x14ac:dyDescent="0.3">
      <c r="A722" s="126" t="s">
        <v>183</v>
      </c>
      <c r="B722" s="126">
        <v>30</v>
      </c>
      <c r="C722" s="126">
        <v>91</v>
      </c>
      <c r="D722" s="126" t="str">
        <f t="shared" si="55"/>
        <v>3091</v>
      </c>
      <c r="J722" s="101">
        <v>25</v>
      </c>
      <c r="K722" s="101">
        <v>36</v>
      </c>
      <c r="L722" s="101">
        <v>84</v>
      </c>
      <c r="M722" s="101">
        <v>972.32999999999993</v>
      </c>
      <c r="N722" s="101">
        <v>577.55999999999995</v>
      </c>
      <c r="O722" s="101">
        <v>67</v>
      </c>
      <c r="P722" s="101">
        <v>94</v>
      </c>
      <c r="Q722" s="101">
        <v>639</v>
      </c>
      <c r="R722" s="101">
        <v>3763.96</v>
      </c>
      <c r="S722" s="101">
        <v>1856.67</v>
      </c>
      <c r="T722" s="169">
        <v>1.02</v>
      </c>
      <c r="U722" s="101">
        <f t="shared" si="62"/>
        <v>68.34</v>
      </c>
      <c r="V722" s="101">
        <f t="shared" si="63"/>
        <v>95.88</v>
      </c>
      <c r="W722" s="101">
        <f t="shared" si="64"/>
        <v>651.78</v>
      </c>
      <c r="X722" s="101">
        <f t="shared" si="61"/>
        <v>3839.2392</v>
      </c>
      <c r="Y722" s="101">
        <f t="shared" si="65"/>
        <v>1893.8034</v>
      </c>
    </row>
    <row r="723" spans="1:25" ht="11.25" hidden="1" customHeight="1" x14ac:dyDescent="0.3">
      <c r="A723" s="126" t="s">
        <v>183</v>
      </c>
      <c r="B723" s="126">
        <v>30</v>
      </c>
      <c r="C723" s="126">
        <v>22</v>
      </c>
      <c r="D723" s="126" t="str">
        <f t="shared" si="55"/>
        <v>3022</v>
      </c>
      <c r="J723" s="101">
        <v>6</v>
      </c>
      <c r="K723" s="101">
        <v>60</v>
      </c>
      <c r="L723" s="101">
        <v>363</v>
      </c>
      <c r="M723" s="101">
        <v>2437.73</v>
      </c>
      <c r="N723" s="101">
        <v>536.37099999999998</v>
      </c>
      <c r="O723" s="101">
        <v>1</v>
      </c>
      <c r="P723" s="101">
        <v>2</v>
      </c>
      <c r="Q723" s="101">
        <v>15</v>
      </c>
      <c r="R723" s="101">
        <v>128.46</v>
      </c>
      <c r="S723" s="101">
        <v>79.790000000000006</v>
      </c>
      <c r="T723" s="169">
        <v>1.02</v>
      </c>
      <c r="U723" s="101">
        <f t="shared" si="62"/>
        <v>1.02</v>
      </c>
      <c r="V723" s="101">
        <f t="shared" si="63"/>
        <v>2.04</v>
      </c>
      <c r="W723" s="101">
        <f t="shared" si="64"/>
        <v>15.3</v>
      </c>
      <c r="X723" s="101">
        <f t="shared" si="61"/>
        <v>131.0292</v>
      </c>
      <c r="Y723" s="101">
        <f t="shared" si="65"/>
        <v>81.385800000000003</v>
      </c>
    </row>
    <row r="724" spans="1:25" ht="11.25" hidden="1" customHeight="1" x14ac:dyDescent="0.3">
      <c r="A724" s="126" t="s">
        <v>183</v>
      </c>
      <c r="B724" s="126">
        <v>30</v>
      </c>
      <c r="C724" s="126">
        <v>25</v>
      </c>
      <c r="D724" s="126" t="str">
        <f t="shared" si="55"/>
        <v>3025</v>
      </c>
      <c r="E724" s="101">
        <v>1012</v>
      </c>
      <c r="F724" s="101">
        <v>6496</v>
      </c>
      <c r="G724" s="101">
        <v>55129</v>
      </c>
      <c r="H724" s="101">
        <v>395936.29</v>
      </c>
      <c r="I724" s="101">
        <v>176240.908</v>
      </c>
      <c r="J724" s="101">
        <v>626</v>
      </c>
      <c r="K724" s="101">
        <v>6883</v>
      </c>
      <c r="L724" s="101">
        <v>43821</v>
      </c>
      <c r="M724" s="101">
        <v>366035.20000000001</v>
      </c>
      <c r="N724" s="101">
        <v>165703.08799999999</v>
      </c>
      <c r="O724" s="101">
        <v>498</v>
      </c>
      <c r="P724" s="101">
        <v>5170</v>
      </c>
      <c r="Q724" s="101">
        <v>20484</v>
      </c>
      <c r="R724" s="101">
        <v>183516.67</v>
      </c>
      <c r="S724" s="101">
        <v>94064.835999999996</v>
      </c>
      <c r="T724" s="169">
        <v>1.02</v>
      </c>
      <c r="U724" s="101">
        <f t="shared" si="62"/>
        <v>507.96000000000004</v>
      </c>
      <c r="V724" s="101">
        <f t="shared" si="63"/>
        <v>5273.4000000000005</v>
      </c>
      <c r="W724" s="101">
        <f t="shared" si="64"/>
        <v>20893.68</v>
      </c>
      <c r="X724" s="101">
        <f t="shared" si="61"/>
        <v>187187.00340000002</v>
      </c>
      <c r="Y724" s="101">
        <f t="shared" si="65"/>
        <v>95946.132719999994</v>
      </c>
    </row>
    <row r="725" spans="1:25" ht="11.25" hidden="1" customHeight="1" x14ac:dyDescent="0.3">
      <c r="A725" s="126" t="s">
        <v>183</v>
      </c>
      <c r="B725" s="126">
        <v>30</v>
      </c>
      <c r="C725" s="126">
        <v>27</v>
      </c>
      <c r="D725" s="126" t="str">
        <f t="shared" ref="D725:D832" si="66">CONCATENATE(B725,C725)</f>
        <v>3027</v>
      </c>
      <c r="E725" s="101">
        <v>103</v>
      </c>
      <c r="F725" s="101">
        <v>2936</v>
      </c>
      <c r="G725" s="101">
        <v>11954</v>
      </c>
      <c r="H725" s="101">
        <v>142872.09</v>
      </c>
      <c r="I725" s="101">
        <v>35991.756999999998</v>
      </c>
      <c r="J725" s="101">
        <v>101</v>
      </c>
      <c r="K725" s="101">
        <v>3886</v>
      </c>
      <c r="L725" s="101">
        <v>12307</v>
      </c>
      <c r="M725" s="101">
        <v>137115.39000000001</v>
      </c>
      <c r="N725" s="101">
        <v>47562.536999999997</v>
      </c>
      <c r="O725" s="101">
        <v>105</v>
      </c>
      <c r="P725" s="101">
        <v>1822</v>
      </c>
      <c r="Q725" s="101">
        <v>8545</v>
      </c>
      <c r="R725" s="101">
        <v>73235.59</v>
      </c>
      <c r="S725" s="101">
        <v>37196.612000000001</v>
      </c>
      <c r="T725" s="169">
        <v>1.02</v>
      </c>
      <c r="U725" s="101">
        <f t="shared" si="62"/>
        <v>107.10000000000001</v>
      </c>
      <c r="V725" s="101">
        <f t="shared" si="63"/>
        <v>1858.44</v>
      </c>
      <c r="W725" s="101">
        <f t="shared" si="64"/>
        <v>8715.9</v>
      </c>
      <c r="X725" s="101">
        <f t="shared" si="61"/>
        <v>74700.301800000001</v>
      </c>
      <c r="Y725" s="101">
        <f t="shared" si="65"/>
        <v>37940.544240000003</v>
      </c>
    </row>
    <row r="726" spans="1:25" ht="11.25" customHeight="1" x14ac:dyDescent="0.3">
      <c r="A726" s="126" t="s">
        <v>183</v>
      </c>
      <c r="B726" s="126">
        <v>30</v>
      </c>
      <c r="C726" s="126" t="s">
        <v>172</v>
      </c>
      <c r="D726" s="126" t="str">
        <f t="shared" si="66"/>
        <v>30Uml</v>
      </c>
      <c r="J726" s="101">
        <v>171</v>
      </c>
      <c r="K726" s="101">
        <v>174</v>
      </c>
      <c r="L726" s="101">
        <v>67724</v>
      </c>
      <c r="N726" s="101">
        <v>432952</v>
      </c>
      <c r="O726" s="101">
        <v>259</v>
      </c>
      <c r="P726" s="101">
        <v>270</v>
      </c>
      <c r="Q726" s="101">
        <v>82669</v>
      </c>
      <c r="S726" s="101">
        <v>334094</v>
      </c>
      <c r="T726" s="169">
        <v>1.02</v>
      </c>
      <c r="U726" s="101">
        <f t="shared" si="62"/>
        <v>264.18</v>
      </c>
      <c r="V726" s="101">
        <f t="shared" si="63"/>
        <v>275.39999999999998</v>
      </c>
      <c r="W726" s="101">
        <f t="shared" si="64"/>
        <v>84322.38</v>
      </c>
      <c r="X726" s="101">
        <f t="shared" si="61"/>
        <v>0</v>
      </c>
      <c r="Y726" s="101">
        <f t="shared" si="65"/>
        <v>340775.88</v>
      </c>
    </row>
    <row r="727" spans="1:25" ht="11.25" hidden="1" customHeight="1" x14ac:dyDescent="0.3">
      <c r="A727" s="126" t="s">
        <v>183</v>
      </c>
      <c r="B727" s="126">
        <v>30</v>
      </c>
      <c r="C727" s="126">
        <v>37</v>
      </c>
      <c r="D727" s="126" t="str">
        <f t="shared" si="66"/>
        <v>3037</v>
      </c>
      <c r="E727" s="101">
        <v>8.75</v>
      </c>
      <c r="F727" s="101">
        <v>26.75</v>
      </c>
      <c r="G727" s="101">
        <v>466.25</v>
      </c>
      <c r="H727" s="101">
        <v>1525.5325</v>
      </c>
      <c r="I727" s="101">
        <v>795.89974999999993</v>
      </c>
      <c r="J727" s="101">
        <v>28</v>
      </c>
      <c r="K727" s="101">
        <v>112</v>
      </c>
      <c r="L727" s="101">
        <v>2900</v>
      </c>
      <c r="M727" s="101">
        <v>28008.240000000002</v>
      </c>
      <c r="N727" s="101">
        <v>11135.72</v>
      </c>
      <c r="O727" s="101">
        <v>33</v>
      </c>
      <c r="P727" s="101">
        <v>83</v>
      </c>
      <c r="Q727" s="101">
        <v>1839</v>
      </c>
      <c r="R727" s="101">
        <v>21704.69</v>
      </c>
      <c r="S727" s="101">
        <v>10698.467000000001</v>
      </c>
      <c r="T727" s="169">
        <v>1.02</v>
      </c>
      <c r="U727" s="101">
        <f t="shared" si="62"/>
        <v>33.660000000000004</v>
      </c>
      <c r="V727" s="101">
        <f t="shared" si="63"/>
        <v>84.66</v>
      </c>
      <c r="W727" s="101">
        <f t="shared" si="64"/>
        <v>1875.78</v>
      </c>
      <c r="X727" s="101">
        <f t="shared" si="61"/>
        <v>22138.783799999997</v>
      </c>
      <c r="Y727" s="101">
        <f t="shared" si="65"/>
        <v>10912.43634</v>
      </c>
    </row>
    <row r="728" spans="1:25" ht="11.25" hidden="1" customHeight="1" x14ac:dyDescent="0.3">
      <c r="A728" s="126" t="s">
        <v>184</v>
      </c>
      <c r="B728" s="126">
        <v>31</v>
      </c>
      <c r="C728" s="126">
        <v>12</v>
      </c>
      <c r="D728" s="126" t="str">
        <f t="shared" si="66"/>
        <v>3112</v>
      </c>
      <c r="E728" s="101">
        <v>115</v>
      </c>
      <c r="F728" s="101">
        <v>138</v>
      </c>
      <c r="G728" s="101">
        <v>182</v>
      </c>
      <c r="H728" s="101">
        <v>8038.1799999999994</v>
      </c>
      <c r="I728" s="101">
        <v>767.59699999999998</v>
      </c>
      <c r="J728" s="101">
        <v>19</v>
      </c>
      <c r="K728" s="101">
        <v>22</v>
      </c>
      <c r="L728" s="101">
        <v>40</v>
      </c>
      <c r="M728" s="101">
        <v>897.84</v>
      </c>
      <c r="N728" s="101">
        <v>152.238</v>
      </c>
      <c r="O728" s="101">
        <v>6</v>
      </c>
      <c r="P728" s="101">
        <v>8</v>
      </c>
      <c r="Q728" s="101">
        <v>8</v>
      </c>
      <c r="R728" s="101">
        <v>115.92</v>
      </c>
      <c r="S728" s="101">
        <v>24.052</v>
      </c>
      <c r="T728" s="169">
        <v>1.02</v>
      </c>
      <c r="U728" s="101">
        <f t="shared" si="62"/>
        <v>6.12</v>
      </c>
      <c r="V728" s="101">
        <f t="shared" si="63"/>
        <v>8.16</v>
      </c>
      <c r="W728" s="101">
        <f t="shared" si="64"/>
        <v>8.16</v>
      </c>
      <c r="X728" s="101">
        <f t="shared" si="61"/>
        <v>118.2384</v>
      </c>
      <c r="Y728" s="101">
        <f t="shared" si="65"/>
        <v>24.53304</v>
      </c>
    </row>
    <row r="729" spans="1:25" ht="11.25" hidden="1" customHeight="1" x14ac:dyDescent="0.3">
      <c r="A729" s="126" t="s">
        <v>184</v>
      </c>
      <c r="B729" s="126">
        <v>31</v>
      </c>
      <c r="C729" s="126">
        <v>17</v>
      </c>
      <c r="D729" s="126" t="str">
        <f t="shared" si="66"/>
        <v>3117</v>
      </c>
      <c r="E729" s="101">
        <v>2166</v>
      </c>
      <c r="F729" s="101">
        <v>2912</v>
      </c>
      <c r="G729" s="101">
        <v>3858</v>
      </c>
      <c r="H729" s="101">
        <v>141802.15999999997</v>
      </c>
      <c r="I729" s="101">
        <v>26733.441999999999</v>
      </c>
      <c r="J729" s="101">
        <v>1000</v>
      </c>
      <c r="K729" s="101">
        <v>3329</v>
      </c>
      <c r="L729" s="101">
        <v>4275</v>
      </c>
      <c r="M729" s="101">
        <v>84126.099999999991</v>
      </c>
      <c r="N729" s="101">
        <v>15239.277000000002</v>
      </c>
      <c r="O729" s="101">
        <v>887</v>
      </c>
      <c r="P729" s="101">
        <v>1482</v>
      </c>
      <c r="Q729" s="101">
        <v>2155</v>
      </c>
      <c r="R729" s="101">
        <v>67515.87</v>
      </c>
      <c r="S729" s="101">
        <v>13308.558000000001</v>
      </c>
      <c r="T729" s="169">
        <v>1.02</v>
      </c>
      <c r="U729" s="101">
        <v>1860</v>
      </c>
      <c r="V729" s="101">
        <v>3761</v>
      </c>
      <c r="W729" s="101">
        <v>5467</v>
      </c>
      <c r="X729" s="101">
        <f t="shared" si="61"/>
        <v>68866.187399999995</v>
      </c>
      <c r="Y729" s="101">
        <v>30000</v>
      </c>
    </row>
    <row r="730" spans="1:25" ht="11.25" hidden="1" customHeight="1" x14ac:dyDescent="0.3">
      <c r="A730" s="126" t="s">
        <v>184</v>
      </c>
      <c r="B730" s="126">
        <v>31</v>
      </c>
      <c r="C730" s="126">
        <v>18</v>
      </c>
      <c r="D730" s="126" t="str">
        <f t="shared" si="66"/>
        <v>3118</v>
      </c>
      <c r="E730" s="101">
        <v>265</v>
      </c>
      <c r="F730" s="101">
        <v>351</v>
      </c>
      <c r="G730" s="101">
        <v>411</v>
      </c>
      <c r="H730" s="101">
        <v>18622.95</v>
      </c>
      <c r="I730" s="101">
        <v>3077.1370000000006</v>
      </c>
      <c r="J730" s="101">
        <v>2224</v>
      </c>
      <c r="K730" s="101">
        <v>2455</v>
      </c>
      <c r="L730" s="101">
        <v>2759</v>
      </c>
      <c r="M730" s="101">
        <v>126176.88999999998</v>
      </c>
      <c r="N730" s="101">
        <v>26949.857999999997</v>
      </c>
      <c r="O730" s="101">
        <v>1355</v>
      </c>
      <c r="P730" s="101">
        <v>1559</v>
      </c>
      <c r="Q730" s="101">
        <v>6016</v>
      </c>
      <c r="R730" s="101">
        <v>98789.9</v>
      </c>
      <c r="S730" s="101">
        <v>120603.777</v>
      </c>
      <c r="T730" s="169">
        <v>0.8</v>
      </c>
      <c r="U730" s="101">
        <f t="shared" si="62"/>
        <v>1084</v>
      </c>
      <c r="V730" s="101">
        <f t="shared" si="63"/>
        <v>1247.2</v>
      </c>
      <c r="W730" s="101">
        <f t="shared" si="64"/>
        <v>4812.8</v>
      </c>
      <c r="X730" s="101">
        <f t="shared" si="61"/>
        <v>79031.92</v>
      </c>
      <c r="Y730" s="101">
        <f t="shared" si="65"/>
        <v>96483.021600000007</v>
      </c>
    </row>
    <row r="731" spans="1:25" ht="11.25" hidden="1" customHeight="1" x14ac:dyDescent="0.3">
      <c r="A731" s="126" t="s">
        <v>184</v>
      </c>
      <c r="B731" s="126">
        <v>31</v>
      </c>
      <c r="C731" s="126">
        <v>28</v>
      </c>
      <c r="D731" s="126" t="str">
        <f t="shared" si="66"/>
        <v>3128</v>
      </c>
      <c r="E731" s="101">
        <v>327</v>
      </c>
      <c r="F731" s="101">
        <v>2471</v>
      </c>
      <c r="G731" s="101">
        <v>18740</v>
      </c>
      <c r="H731" s="101">
        <v>550511.64</v>
      </c>
      <c r="I731" s="101">
        <v>85075.827999999994</v>
      </c>
      <c r="J731" s="101">
        <v>236</v>
      </c>
      <c r="K731" s="101">
        <v>3586</v>
      </c>
      <c r="L731" s="101">
        <v>26428</v>
      </c>
      <c r="M731" s="101">
        <v>460224.63</v>
      </c>
      <c r="N731" s="101">
        <v>101198.31399999998</v>
      </c>
      <c r="O731" s="101">
        <v>244</v>
      </c>
      <c r="P731" s="101">
        <v>5618</v>
      </c>
      <c r="Q731" s="101">
        <v>37638</v>
      </c>
      <c r="R731" s="101">
        <v>599591.07999999996</v>
      </c>
      <c r="S731" s="101">
        <v>138069.29300000001</v>
      </c>
      <c r="T731" s="169">
        <v>1.02</v>
      </c>
      <c r="U731" s="101">
        <f t="shared" si="62"/>
        <v>248.88</v>
      </c>
      <c r="V731" s="101">
        <f t="shared" si="63"/>
        <v>5730.36</v>
      </c>
      <c r="W731" s="101">
        <f t="shared" si="64"/>
        <v>38390.76</v>
      </c>
      <c r="X731" s="101">
        <f t="shared" si="61"/>
        <v>611582.90159999998</v>
      </c>
      <c r="Y731" s="101">
        <f t="shared" si="65"/>
        <v>140830.67886000001</v>
      </c>
    </row>
    <row r="732" spans="1:25" ht="11.25" hidden="1" customHeight="1" x14ac:dyDescent="0.3">
      <c r="A732" s="126" t="s">
        <v>184</v>
      </c>
      <c r="B732" s="126">
        <v>31</v>
      </c>
      <c r="C732" s="126">
        <v>46</v>
      </c>
      <c r="D732" s="126" t="str">
        <f t="shared" si="66"/>
        <v>3146</v>
      </c>
      <c r="E732" s="101">
        <v>313</v>
      </c>
      <c r="F732" s="101">
        <v>629</v>
      </c>
      <c r="G732" s="101">
        <v>20357</v>
      </c>
      <c r="H732" s="101">
        <v>167081.29999999999</v>
      </c>
      <c r="I732" s="101">
        <v>34989.667000000001</v>
      </c>
      <c r="J732" s="101">
        <v>169</v>
      </c>
      <c r="K732" s="101">
        <v>368</v>
      </c>
      <c r="L732" s="101">
        <v>17090</v>
      </c>
      <c r="M732" s="101">
        <v>320523.02</v>
      </c>
      <c r="N732" s="101">
        <v>66021.244999999995</v>
      </c>
      <c r="O732" s="101">
        <v>124</v>
      </c>
      <c r="P732" s="101">
        <v>260</v>
      </c>
      <c r="Q732" s="101">
        <v>71629</v>
      </c>
      <c r="R732" s="101">
        <v>349460.07</v>
      </c>
      <c r="S732" s="101">
        <v>81285.937000000005</v>
      </c>
      <c r="T732" s="169">
        <v>1.02</v>
      </c>
      <c r="U732" s="101">
        <f t="shared" si="62"/>
        <v>126.48</v>
      </c>
      <c r="V732" s="101">
        <f t="shared" si="63"/>
        <v>265.2</v>
      </c>
      <c r="W732" s="101">
        <f t="shared" si="64"/>
        <v>73061.58</v>
      </c>
      <c r="X732" s="101">
        <f t="shared" si="61"/>
        <v>356449.27140000003</v>
      </c>
      <c r="Y732" s="101">
        <f t="shared" si="65"/>
        <v>82911.655740000002</v>
      </c>
    </row>
    <row r="733" spans="1:25" ht="11.25" hidden="1" customHeight="1" x14ac:dyDescent="0.3">
      <c r="A733" s="126" t="s">
        <v>184</v>
      </c>
      <c r="B733" s="126">
        <v>31</v>
      </c>
      <c r="C733" s="126">
        <v>66</v>
      </c>
      <c r="D733" s="126" t="str">
        <f t="shared" si="66"/>
        <v>3166</v>
      </c>
      <c r="E733" s="101">
        <v>427</v>
      </c>
      <c r="F733" s="101">
        <v>1971</v>
      </c>
      <c r="G733" s="101">
        <v>31909</v>
      </c>
      <c r="H733" s="101">
        <v>176811.63</v>
      </c>
      <c r="I733" s="101">
        <v>105021.67199999999</v>
      </c>
      <c r="J733" s="101">
        <v>283</v>
      </c>
      <c r="K733" s="101">
        <v>1902</v>
      </c>
      <c r="L733" s="101">
        <v>35519</v>
      </c>
      <c r="M733" s="101">
        <v>237915.09000000003</v>
      </c>
      <c r="N733" s="101">
        <v>161981.47399999999</v>
      </c>
      <c r="O733" s="101">
        <v>181</v>
      </c>
      <c r="P733" s="101">
        <v>1011</v>
      </c>
      <c r="Q733" s="101">
        <v>20095</v>
      </c>
      <c r="R733" s="101">
        <v>136717.79</v>
      </c>
      <c r="S733" s="101">
        <v>53731.500999999997</v>
      </c>
      <c r="T733" s="169">
        <v>1.02</v>
      </c>
      <c r="U733" s="101">
        <f t="shared" si="62"/>
        <v>184.62</v>
      </c>
      <c r="V733" s="101">
        <f t="shared" si="63"/>
        <v>1031.22</v>
      </c>
      <c r="W733" s="101">
        <f t="shared" si="64"/>
        <v>20496.900000000001</v>
      </c>
      <c r="X733" s="101">
        <f t="shared" si="61"/>
        <v>139452.1458</v>
      </c>
      <c r="Y733" s="101">
        <f t="shared" si="65"/>
        <v>54806.131020000001</v>
      </c>
    </row>
    <row r="734" spans="1:25" ht="11.25" hidden="1" customHeight="1" x14ac:dyDescent="0.3">
      <c r="A734" s="126" t="s">
        <v>184</v>
      </c>
      <c r="B734" s="126">
        <v>31</v>
      </c>
      <c r="C734" s="126">
        <v>30</v>
      </c>
      <c r="D734" s="126" t="str">
        <f t="shared" si="66"/>
        <v>3130</v>
      </c>
      <c r="E734" s="101">
        <v>254.5</v>
      </c>
      <c r="F734" s="101">
        <v>2942</v>
      </c>
      <c r="G734" s="101">
        <v>15598</v>
      </c>
      <c r="H734" s="101">
        <v>536444.65500000003</v>
      </c>
      <c r="I734" s="101">
        <v>168159.538</v>
      </c>
      <c r="J734" s="101">
        <v>0</v>
      </c>
      <c r="K734" s="101">
        <v>0</v>
      </c>
      <c r="L734" s="101">
        <v>0</v>
      </c>
      <c r="M734" s="101">
        <v>0</v>
      </c>
      <c r="N734" s="101">
        <v>0</v>
      </c>
      <c r="O734" s="101">
        <v>41</v>
      </c>
      <c r="P734" s="101">
        <v>48</v>
      </c>
      <c r="Q734" s="101">
        <v>440</v>
      </c>
      <c r="R734" s="101">
        <v>50186.79</v>
      </c>
      <c r="S734" s="101">
        <v>33962.752</v>
      </c>
      <c r="T734" s="169">
        <v>1.02</v>
      </c>
      <c r="U734" s="101">
        <f t="shared" si="62"/>
        <v>41.82</v>
      </c>
      <c r="V734" s="101">
        <f t="shared" si="63"/>
        <v>48.96</v>
      </c>
      <c r="W734" s="101">
        <f t="shared" si="64"/>
        <v>448.8</v>
      </c>
      <c r="X734" s="101">
        <f t="shared" si="61"/>
        <v>51190.525800000003</v>
      </c>
      <c r="Y734" s="101">
        <f t="shared" si="65"/>
        <v>34642.007040000004</v>
      </c>
    </row>
    <row r="735" spans="1:25" ht="11.25" hidden="1" customHeight="1" x14ac:dyDescent="0.3">
      <c r="A735" s="126" t="s">
        <v>184</v>
      </c>
      <c r="B735" s="126">
        <v>31</v>
      </c>
      <c r="C735" s="126">
        <v>21</v>
      </c>
      <c r="D735" s="126" t="str">
        <f t="shared" si="66"/>
        <v>3121</v>
      </c>
      <c r="E735" s="101">
        <v>943</v>
      </c>
      <c r="F735" s="101">
        <v>4856</v>
      </c>
      <c r="G735" s="101">
        <v>18245</v>
      </c>
      <c r="H735" s="101">
        <v>394826.31000000006</v>
      </c>
      <c r="I735" s="101">
        <v>99765.84199999999</v>
      </c>
      <c r="J735" s="101">
        <v>747</v>
      </c>
      <c r="K735" s="101">
        <v>6469</v>
      </c>
      <c r="L735" s="101">
        <v>66644</v>
      </c>
      <c r="M735" s="101">
        <v>463158.04</v>
      </c>
      <c r="N735" s="101">
        <v>173823.04699999999</v>
      </c>
      <c r="O735" s="101">
        <v>707</v>
      </c>
      <c r="P735" s="101">
        <v>6390</v>
      </c>
      <c r="Q735" s="101">
        <v>34427</v>
      </c>
      <c r="R735" s="101">
        <v>384854.23</v>
      </c>
      <c r="S735" s="101">
        <v>121063.95699999999</v>
      </c>
      <c r="T735" s="169">
        <v>1.02</v>
      </c>
      <c r="U735" s="101">
        <f>O735*T735-12</f>
        <v>709.14</v>
      </c>
      <c r="V735" s="101">
        <f>P735*T735-29</f>
        <v>6488.8</v>
      </c>
      <c r="W735" s="101">
        <f>Q735*T735-4017</f>
        <v>31098.54</v>
      </c>
      <c r="X735" s="101">
        <f>R735*T735-21492</f>
        <v>371059.31459999998</v>
      </c>
      <c r="Y735" s="101">
        <f>S735*T735-25322</f>
        <v>98163.236139999994</v>
      </c>
    </row>
    <row r="736" spans="1:25" ht="11.25" hidden="1" customHeight="1" x14ac:dyDescent="0.3">
      <c r="A736" s="126" t="s">
        <v>184</v>
      </c>
      <c r="B736" s="126">
        <v>31</v>
      </c>
      <c r="C736" s="126">
        <v>71</v>
      </c>
      <c r="D736" s="126" t="str">
        <f t="shared" si="66"/>
        <v>3171</v>
      </c>
      <c r="E736" s="101">
        <v>578.5</v>
      </c>
      <c r="F736" s="101">
        <v>5019</v>
      </c>
      <c r="G736" s="101">
        <v>17544</v>
      </c>
      <c r="H736" s="101">
        <v>128970.78499999999</v>
      </c>
      <c r="I736" s="101">
        <v>63794.404000000002</v>
      </c>
      <c r="J736" s="101">
        <v>614</v>
      </c>
      <c r="K736" s="101">
        <v>3755</v>
      </c>
      <c r="L736" s="101">
        <v>29656</v>
      </c>
      <c r="M736" s="101">
        <v>178890.41999999998</v>
      </c>
      <c r="N736" s="101">
        <v>136956.815</v>
      </c>
      <c r="O736" s="101">
        <v>471</v>
      </c>
      <c r="P736" s="101">
        <v>6102</v>
      </c>
      <c r="Q736" s="101">
        <v>39003</v>
      </c>
      <c r="R736" s="101">
        <v>318184.90000000002</v>
      </c>
      <c r="S736" s="101">
        <v>173510.79500000001</v>
      </c>
      <c r="T736" s="169">
        <v>0.98</v>
      </c>
      <c r="U736" s="101">
        <f t="shared" si="62"/>
        <v>461.58</v>
      </c>
      <c r="V736" s="101">
        <f t="shared" si="63"/>
        <v>5979.96</v>
      </c>
      <c r="W736" s="101">
        <f t="shared" si="64"/>
        <v>38222.94</v>
      </c>
      <c r="X736" s="101">
        <f t="shared" si="61"/>
        <v>311821.20199999999</v>
      </c>
      <c r="Y736" s="101">
        <f t="shared" si="65"/>
        <v>170040.5791</v>
      </c>
    </row>
    <row r="737" spans="1:25" ht="11.25" hidden="1" customHeight="1" x14ac:dyDescent="0.3">
      <c r="A737" s="126" t="s">
        <v>184</v>
      </c>
      <c r="B737" s="126">
        <v>31</v>
      </c>
      <c r="C737" s="126">
        <v>25</v>
      </c>
      <c r="D737" s="126" t="str">
        <f t="shared" si="66"/>
        <v>3125</v>
      </c>
      <c r="E737" s="101">
        <v>961</v>
      </c>
      <c r="F737" s="101">
        <v>7098</v>
      </c>
      <c r="G737" s="101">
        <v>46933</v>
      </c>
      <c r="H737" s="101">
        <v>838554.76</v>
      </c>
      <c r="I737" s="101">
        <v>344471.46699999995</v>
      </c>
      <c r="J737" s="101">
        <v>556</v>
      </c>
      <c r="K737" s="101">
        <v>6778</v>
      </c>
      <c r="L737" s="101">
        <v>33926</v>
      </c>
      <c r="M737" s="101">
        <v>527514.08000000007</v>
      </c>
      <c r="N737" s="101">
        <v>198651.86399999997</v>
      </c>
      <c r="O737" s="101">
        <v>665</v>
      </c>
      <c r="P737" s="101">
        <v>6622</v>
      </c>
      <c r="Q737" s="101">
        <v>26445</v>
      </c>
      <c r="R737" s="101">
        <v>299855.18</v>
      </c>
      <c r="S737" s="101">
        <v>168140.33799999999</v>
      </c>
      <c r="T737" s="169">
        <v>1.02</v>
      </c>
      <c r="U737" s="101">
        <f t="shared" si="62"/>
        <v>678.30000000000007</v>
      </c>
      <c r="V737" s="101">
        <f t="shared" si="63"/>
        <v>6754.4400000000005</v>
      </c>
      <c r="W737" s="101">
        <f t="shared" si="64"/>
        <v>26973.9</v>
      </c>
      <c r="X737" s="101">
        <f t="shared" si="61"/>
        <v>305852.28360000002</v>
      </c>
      <c r="Y737" s="101">
        <f t="shared" si="65"/>
        <v>171503.14476</v>
      </c>
    </row>
    <row r="738" spans="1:25" ht="11.25" hidden="1" customHeight="1" x14ac:dyDescent="0.3">
      <c r="A738" s="126" t="s">
        <v>184</v>
      </c>
      <c r="B738" s="126">
        <v>31</v>
      </c>
      <c r="C738" s="126">
        <v>14</v>
      </c>
      <c r="D738" s="126" t="str">
        <f t="shared" si="66"/>
        <v>3114</v>
      </c>
      <c r="J738" s="101">
        <v>15</v>
      </c>
      <c r="K738" s="101">
        <v>36</v>
      </c>
      <c r="L738" s="101">
        <v>42</v>
      </c>
      <c r="M738" s="101">
        <v>4957.57</v>
      </c>
      <c r="N738" s="101">
        <v>696.45400000000006</v>
      </c>
      <c r="O738" s="101">
        <v>27</v>
      </c>
      <c r="P738" s="101">
        <v>66</v>
      </c>
      <c r="Q738" s="101">
        <v>78</v>
      </c>
      <c r="R738" s="101">
        <v>7732.03</v>
      </c>
      <c r="S738" s="101">
        <v>1077.771</v>
      </c>
      <c r="T738" s="169">
        <v>1.02</v>
      </c>
      <c r="U738" s="101">
        <f t="shared" si="62"/>
        <v>27.54</v>
      </c>
      <c r="V738" s="101">
        <f t="shared" si="63"/>
        <v>67.320000000000007</v>
      </c>
      <c r="W738" s="101">
        <f t="shared" si="64"/>
        <v>79.56</v>
      </c>
      <c r="X738" s="101">
        <f t="shared" si="61"/>
        <v>7886.6705999999995</v>
      </c>
      <c r="Y738" s="101">
        <f t="shared" si="65"/>
        <v>1099.3264199999999</v>
      </c>
    </row>
    <row r="739" spans="1:25" ht="11.25" hidden="1" customHeight="1" x14ac:dyDescent="0.3">
      <c r="A739" s="126" t="s">
        <v>184</v>
      </c>
      <c r="B739" s="126">
        <v>31</v>
      </c>
      <c r="C739" s="126">
        <v>22</v>
      </c>
      <c r="D739" s="126" t="str">
        <f t="shared" si="66"/>
        <v>3122</v>
      </c>
      <c r="J739" s="101">
        <v>51</v>
      </c>
      <c r="K739" s="101">
        <v>53</v>
      </c>
      <c r="L739" s="101">
        <v>450</v>
      </c>
      <c r="M739" s="101">
        <v>17208.310000000001</v>
      </c>
      <c r="N739" s="101">
        <v>13805.638999999999</v>
      </c>
      <c r="O739" s="101">
        <v>7</v>
      </c>
      <c r="P739" s="101">
        <v>7</v>
      </c>
      <c r="Q739" s="101">
        <v>193</v>
      </c>
      <c r="R739" s="101">
        <v>23.51</v>
      </c>
      <c r="S739" s="101">
        <v>399.78500000000003</v>
      </c>
      <c r="T739" s="169">
        <v>1.02</v>
      </c>
      <c r="U739" s="101">
        <f t="shared" si="62"/>
        <v>7.1400000000000006</v>
      </c>
      <c r="V739" s="101">
        <f t="shared" si="63"/>
        <v>7.1400000000000006</v>
      </c>
      <c r="W739" s="101">
        <f t="shared" si="64"/>
        <v>196.86</v>
      </c>
      <c r="X739" s="101">
        <f t="shared" si="61"/>
        <v>23.980200000000004</v>
      </c>
      <c r="Y739" s="101">
        <f t="shared" si="65"/>
        <v>407.78070000000002</v>
      </c>
    </row>
    <row r="740" spans="1:25" ht="11.25" hidden="1" customHeight="1" x14ac:dyDescent="0.3">
      <c r="A740" s="126" t="s">
        <v>184</v>
      </c>
      <c r="B740" s="126">
        <v>31</v>
      </c>
      <c r="C740" s="126">
        <v>26</v>
      </c>
      <c r="D740" s="126" t="str">
        <f t="shared" si="66"/>
        <v>3126</v>
      </c>
      <c r="J740" s="101">
        <v>9</v>
      </c>
      <c r="K740" s="101">
        <v>15</v>
      </c>
      <c r="L740" s="101">
        <v>122</v>
      </c>
      <c r="M740" s="101">
        <v>3569.44</v>
      </c>
      <c r="N740" s="101">
        <v>2088.7060000000001</v>
      </c>
      <c r="O740" s="101">
        <v>0</v>
      </c>
      <c r="P740" s="101">
        <v>0</v>
      </c>
      <c r="Q740" s="101">
        <v>0</v>
      </c>
      <c r="R740" s="101">
        <v>0</v>
      </c>
      <c r="S740" s="101">
        <v>0</v>
      </c>
      <c r="T740" s="169">
        <v>1.02</v>
      </c>
      <c r="U740" s="101">
        <f t="shared" si="62"/>
        <v>0</v>
      </c>
      <c r="V740" s="101">
        <f t="shared" si="63"/>
        <v>0</v>
      </c>
      <c r="W740" s="101">
        <f t="shared" si="64"/>
        <v>0</v>
      </c>
      <c r="X740" s="101">
        <f t="shared" si="61"/>
        <v>0</v>
      </c>
      <c r="Y740" s="101">
        <f t="shared" si="65"/>
        <v>0</v>
      </c>
    </row>
    <row r="741" spans="1:25" ht="11.25" hidden="1" customHeight="1" x14ac:dyDescent="0.3">
      <c r="A741" s="126" t="s">
        <v>184</v>
      </c>
      <c r="B741" s="126">
        <v>31</v>
      </c>
      <c r="C741" s="126">
        <v>32</v>
      </c>
      <c r="D741" s="126" t="str">
        <f t="shared" si="66"/>
        <v>3132</v>
      </c>
      <c r="J741" s="101">
        <v>13</v>
      </c>
      <c r="K741" s="101">
        <v>15</v>
      </c>
      <c r="L741" s="101">
        <v>106</v>
      </c>
      <c r="M741" s="101">
        <v>1014.3</v>
      </c>
      <c r="N741" s="101">
        <v>424.24</v>
      </c>
      <c r="O741" s="101">
        <v>25</v>
      </c>
      <c r="P741" s="101">
        <v>204</v>
      </c>
      <c r="Q741" s="101">
        <v>8493</v>
      </c>
      <c r="R741" s="101">
        <v>45691.92</v>
      </c>
      <c r="S741" s="101">
        <v>73325.157999999996</v>
      </c>
      <c r="T741" s="169">
        <v>1.02</v>
      </c>
      <c r="U741" s="101">
        <f t="shared" si="62"/>
        <v>25.5</v>
      </c>
      <c r="V741" s="101">
        <f t="shared" si="63"/>
        <v>208.08</v>
      </c>
      <c r="W741" s="101">
        <f t="shared" si="64"/>
        <v>8662.86</v>
      </c>
      <c r="X741" s="101">
        <f t="shared" si="61"/>
        <v>46605.758399999999</v>
      </c>
      <c r="Y741" s="101">
        <f t="shared" si="65"/>
        <v>74791.661160000003</v>
      </c>
    </row>
    <row r="742" spans="1:25" ht="11.25" hidden="1" customHeight="1" x14ac:dyDescent="0.3">
      <c r="A742" s="126" t="s">
        <v>184</v>
      </c>
      <c r="B742" s="126">
        <v>31</v>
      </c>
      <c r="C742" s="126">
        <v>43</v>
      </c>
      <c r="D742" s="126" t="str">
        <f t="shared" si="66"/>
        <v>3143</v>
      </c>
      <c r="J742" s="101">
        <v>0</v>
      </c>
      <c r="K742" s="101">
        <v>0</v>
      </c>
      <c r="L742" s="101">
        <v>0</v>
      </c>
      <c r="M742" s="101">
        <v>0</v>
      </c>
      <c r="N742" s="101">
        <v>0</v>
      </c>
      <c r="O742" s="101">
        <v>0</v>
      </c>
      <c r="P742" s="101">
        <v>0</v>
      </c>
      <c r="Q742" s="101">
        <v>0</v>
      </c>
      <c r="R742" s="101">
        <v>0</v>
      </c>
      <c r="S742" s="101">
        <v>0</v>
      </c>
      <c r="T742" s="169">
        <v>1.02</v>
      </c>
      <c r="U742" s="101">
        <f t="shared" si="62"/>
        <v>0</v>
      </c>
      <c r="V742" s="101">
        <f t="shared" si="63"/>
        <v>0</v>
      </c>
      <c r="W742" s="101">
        <f t="shared" si="64"/>
        <v>0</v>
      </c>
      <c r="X742" s="101">
        <f t="shared" si="61"/>
        <v>0</v>
      </c>
      <c r="Y742" s="101">
        <f t="shared" si="65"/>
        <v>0</v>
      </c>
    </row>
    <row r="743" spans="1:25" ht="11.25" hidden="1" customHeight="1" x14ac:dyDescent="0.3">
      <c r="A743" s="126" t="s">
        <v>184</v>
      </c>
      <c r="B743" s="126">
        <v>31</v>
      </c>
      <c r="C743" s="126">
        <v>44</v>
      </c>
      <c r="D743" s="126" t="str">
        <f t="shared" si="66"/>
        <v>3144</v>
      </c>
      <c r="J743" s="101">
        <v>0</v>
      </c>
      <c r="K743" s="101">
        <v>0</v>
      </c>
      <c r="L743" s="101">
        <v>0</v>
      </c>
      <c r="M743" s="101">
        <v>0</v>
      </c>
      <c r="N743" s="101">
        <v>0</v>
      </c>
      <c r="O743" s="101">
        <v>0</v>
      </c>
      <c r="P743" s="101">
        <v>0</v>
      </c>
      <c r="Q743" s="101">
        <v>0</v>
      </c>
      <c r="R743" s="101">
        <v>0</v>
      </c>
      <c r="S743" s="101">
        <v>0</v>
      </c>
      <c r="T743" s="169">
        <v>1.02</v>
      </c>
      <c r="U743" s="101">
        <f t="shared" si="62"/>
        <v>0</v>
      </c>
      <c r="V743" s="101">
        <f t="shared" si="63"/>
        <v>0</v>
      </c>
      <c r="W743" s="101">
        <f t="shared" si="64"/>
        <v>0</v>
      </c>
      <c r="X743" s="101">
        <f t="shared" si="61"/>
        <v>0</v>
      </c>
      <c r="Y743" s="101">
        <f t="shared" si="65"/>
        <v>0</v>
      </c>
    </row>
    <row r="744" spans="1:25" ht="11.25" hidden="1" customHeight="1" x14ac:dyDescent="0.3">
      <c r="A744" s="126" t="s">
        <v>184</v>
      </c>
      <c r="B744" s="126">
        <v>31</v>
      </c>
      <c r="C744" s="126">
        <v>45</v>
      </c>
      <c r="D744" s="126" t="str">
        <f t="shared" si="66"/>
        <v>3145</v>
      </c>
      <c r="J744" s="101">
        <v>0</v>
      </c>
      <c r="K744" s="101">
        <v>0</v>
      </c>
      <c r="L744" s="101">
        <v>0</v>
      </c>
      <c r="M744" s="101">
        <v>0</v>
      </c>
      <c r="N744" s="101">
        <v>0</v>
      </c>
      <c r="O744" s="101">
        <v>0</v>
      </c>
      <c r="P744" s="101">
        <v>0</v>
      </c>
      <c r="Q744" s="101">
        <v>0</v>
      </c>
      <c r="R744" s="101">
        <v>0</v>
      </c>
      <c r="S744" s="101">
        <v>0</v>
      </c>
      <c r="T744" s="169">
        <v>1.02</v>
      </c>
      <c r="U744" s="101">
        <f t="shared" si="62"/>
        <v>0</v>
      </c>
      <c r="V744" s="101">
        <f t="shared" si="63"/>
        <v>0</v>
      </c>
      <c r="W744" s="101">
        <f t="shared" si="64"/>
        <v>0</v>
      </c>
      <c r="X744" s="101">
        <f t="shared" si="61"/>
        <v>0</v>
      </c>
      <c r="Y744" s="101">
        <f t="shared" si="65"/>
        <v>0</v>
      </c>
    </row>
    <row r="745" spans="1:25" ht="11.25" hidden="1" customHeight="1" x14ac:dyDescent="0.3">
      <c r="A745" s="126" t="s">
        <v>184</v>
      </c>
      <c r="B745" s="126">
        <v>31</v>
      </c>
      <c r="C745" s="126">
        <v>47</v>
      </c>
      <c r="D745" s="126" t="str">
        <f t="shared" si="66"/>
        <v>3147</v>
      </c>
      <c r="J745" s="101">
        <v>1</v>
      </c>
      <c r="K745" s="101">
        <v>6</v>
      </c>
      <c r="L745" s="101">
        <v>226</v>
      </c>
      <c r="M745" s="101">
        <v>2851.2</v>
      </c>
      <c r="N745" s="101">
        <v>1436.4</v>
      </c>
      <c r="O745" s="101">
        <v>3</v>
      </c>
      <c r="P745" s="101">
        <v>9</v>
      </c>
      <c r="Q745" s="101">
        <v>616</v>
      </c>
      <c r="R745" s="101">
        <v>14046.8</v>
      </c>
      <c r="S745" s="101">
        <v>3273.3310000000001</v>
      </c>
      <c r="T745" s="169">
        <v>1.02</v>
      </c>
      <c r="U745" s="101">
        <f t="shared" si="62"/>
        <v>3.06</v>
      </c>
      <c r="V745" s="101">
        <f t="shared" si="63"/>
        <v>9.18</v>
      </c>
      <c r="W745" s="101">
        <f t="shared" si="64"/>
        <v>628.32000000000005</v>
      </c>
      <c r="X745" s="101">
        <f t="shared" si="61"/>
        <v>14327.735999999999</v>
      </c>
      <c r="Y745" s="101">
        <f t="shared" si="65"/>
        <v>3338.7976200000003</v>
      </c>
    </row>
    <row r="746" spans="1:25" ht="11.25" hidden="1" customHeight="1" x14ac:dyDescent="0.3">
      <c r="A746" s="126" t="s">
        <v>184</v>
      </c>
      <c r="B746" s="126">
        <v>31</v>
      </c>
      <c r="C746" s="126">
        <v>91</v>
      </c>
      <c r="D746" s="126" t="str">
        <f t="shared" si="66"/>
        <v>3191</v>
      </c>
      <c r="J746" s="101">
        <v>55</v>
      </c>
      <c r="K746" s="101">
        <v>190</v>
      </c>
      <c r="L746" s="101">
        <v>1341</v>
      </c>
      <c r="M746" s="101">
        <v>6462.23</v>
      </c>
      <c r="N746" s="101">
        <v>3087.6840000000002</v>
      </c>
      <c r="O746" s="101">
        <v>42</v>
      </c>
      <c r="P746" s="101">
        <v>131</v>
      </c>
      <c r="Q746" s="101">
        <v>1266</v>
      </c>
      <c r="R746" s="101">
        <v>4140.16</v>
      </c>
      <c r="S746" s="101">
        <v>1390.2639999999999</v>
      </c>
      <c r="T746" s="169">
        <v>1.02</v>
      </c>
      <c r="U746" s="101">
        <f t="shared" si="62"/>
        <v>42.84</v>
      </c>
      <c r="V746" s="101">
        <f t="shared" si="63"/>
        <v>133.62</v>
      </c>
      <c r="W746" s="101">
        <f t="shared" si="64"/>
        <v>1291.32</v>
      </c>
      <c r="X746" s="101">
        <f t="shared" si="61"/>
        <v>4222.9632000000001</v>
      </c>
      <c r="Y746" s="101">
        <f t="shared" si="65"/>
        <v>1418.0692799999999</v>
      </c>
    </row>
    <row r="747" spans="1:25" ht="11.25" hidden="1" customHeight="1" x14ac:dyDescent="0.3">
      <c r="A747" s="126" t="s">
        <v>184</v>
      </c>
      <c r="B747" s="126">
        <v>31</v>
      </c>
      <c r="C747" s="126">
        <v>48</v>
      </c>
      <c r="D747" s="126" t="str">
        <f t="shared" si="66"/>
        <v>3148</v>
      </c>
      <c r="J747" s="101">
        <v>0</v>
      </c>
      <c r="K747" s="101">
        <v>0</v>
      </c>
      <c r="L747" s="101">
        <v>0</v>
      </c>
      <c r="M747" s="101">
        <v>0</v>
      </c>
      <c r="N747" s="101">
        <v>0</v>
      </c>
      <c r="O747" s="101">
        <v>3</v>
      </c>
      <c r="P747" s="101">
        <v>4</v>
      </c>
      <c r="Q747" s="101">
        <v>441</v>
      </c>
      <c r="R747" s="101">
        <v>2320.25</v>
      </c>
      <c r="S747" s="101">
        <v>738.82799999999997</v>
      </c>
      <c r="T747" s="169">
        <v>1.02</v>
      </c>
      <c r="U747" s="101">
        <f t="shared" si="62"/>
        <v>3.06</v>
      </c>
      <c r="V747" s="101">
        <f t="shared" si="63"/>
        <v>4.08</v>
      </c>
      <c r="W747" s="101">
        <f t="shared" si="64"/>
        <v>449.82</v>
      </c>
      <c r="X747" s="101">
        <f t="shared" si="61"/>
        <v>2366.6550000000002</v>
      </c>
      <c r="Y747" s="101">
        <f t="shared" si="65"/>
        <v>753.60455999999999</v>
      </c>
    </row>
    <row r="748" spans="1:25" ht="11.25" hidden="1" customHeight="1" x14ac:dyDescent="0.3">
      <c r="A748" s="126" t="s">
        <v>184</v>
      </c>
      <c r="B748" s="126">
        <v>31</v>
      </c>
      <c r="C748" s="126">
        <v>27</v>
      </c>
      <c r="D748" s="126" t="str">
        <f t="shared" si="66"/>
        <v>3127</v>
      </c>
      <c r="E748" s="101">
        <v>142</v>
      </c>
      <c r="F748" s="101">
        <v>2640</v>
      </c>
      <c r="G748" s="101">
        <v>12178</v>
      </c>
      <c r="H748" s="101">
        <v>136723.56</v>
      </c>
      <c r="I748" s="101">
        <v>35146.112999999998</v>
      </c>
      <c r="J748" s="101">
        <v>102</v>
      </c>
      <c r="K748" s="101">
        <v>1276</v>
      </c>
      <c r="L748" s="101">
        <v>9538</v>
      </c>
      <c r="M748" s="101">
        <v>109389.09000000001</v>
      </c>
      <c r="N748" s="101">
        <v>46811.404000000002</v>
      </c>
      <c r="O748" s="101">
        <v>106</v>
      </c>
      <c r="P748" s="101">
        <v>2353</v>
      </c>
      <c r="Q748" s="101">
        <v>13429</v>
      </c>
      <c r="R748" s="101">
        <v>119809.94</v>
      </c>
      <c r="S748" s="101">
        <v>59340.116000000002</v>
      </c>
      <c r="T748" s="169">
        <v>1.02</v>
      </c>
      <c r="U748" s="101">
        <f t="shared" si="62"/>
        <v>108.12</v>
      </c>
      <c r="V748" s="101">
        <f t="shared" si="63"/>
        <v>2400.06</v>
      </c>
      <c r="W748" s="101">
        <f t="shared" si="64"/>
        <v>13697.58</v>
      </c>
      <c r="X748" s="101">
        <f t="shared" si="61"/>
        <v>122206.1388</v>
      </c>
      <c r="Y748" s="101">
        <f t="shared" si="65"/>
        <v>60526.918320000004</v>
      </c>
    </row>
    <row r="749" spans="1:25" ht="11.25" hidden="1" customHeight="1" x14ac:dyDescent="0.3">
      <c r="A749" s="126" t="s">
        <v>184</v>
      </c>
      <c r="B749" s="126">
        <v>31</v>
      </c>
      <c r="C749" s="126">
        <v>41</v>
      </c>
      <c r="D749" s="126" t="str">
        <f t="shared" si="66"/>
        <v>3141</v>
      </c>
      <c r="O749" s="101">
        <v>3</v>
      </c>
      <c r="P749" s="101">
        <v>4</v>
      </c>
      <c r="Q749" s="101">
        <v>18</v>
      </c>
      <c r="R749" s="101">
        <v>239.4</v>
      </c>
      <c r="S749" s="101">
        <v>116.164</v>
      </c>
      <c r="T749" s="169">
        <v>1.02</v>
      </c>
      <c r="U749" s="101">
        <f t="shared" si="62"/>
        <v>3.06</v>
      </c>
      <c r="V749" s="101">
        <f t="shared" si="63"/>
        <v>4.08</v>
      </c>
      <c r="W749" s="101">
        <f t="shared" si="64"/>
        <v>18.36</v>
      </c>
      <c r="X749" s="101">
        <f t="shared" si="61"/>
        <v>244.18800000000002</v>
      </c>
      <c r="Y749" s="101">
        <f t="shared" si="65"/>
        <v>118.48728</v>
      </c>
    </row>
    <row r="750" spans="1:25" ht="11.25" customHeight="1" x14ac:dyDescent="0.3">
      <c r="A750" s="126" t="s">
        <v>184</v>
      </c>
      <c r="B750" s="126">
        <v>31</v>
      </c>
      <c r="C750" s="126" t="s">
        <v>172</v>
      </c>
      <c r="D750" s="126" t="str">
        <f t="shared" si="66"/>
        <v>31Uml</v>
      </c>
      <c r="J750" s="101">
        <v>387</v>
      </c>
      <c r="K750" s="101">
        <v>387</v>
      </c>
      <c r="L750" s="101">
        <v>84022</v>
      </c>
      <c r="N750" s="101">
        <v>498859</v>
      </c>
      <c r="O750" s="101">
        <v>377</v>
      </c>
      <c r="P750" s="101">
        <v>378</v>
      </c>
      <c r="Q750" s="101">
        <v>88660</v>
      </c>
      <c r="S750" s="101">
        <v>241821</v>
      </c>
      <c r="T750" s="169">
        <v>1.02</v>
      </c>
      <c r="U750" s="101">
        <f t="shared" si="62"/>
        <v>384.54</v>
      </c>
      <c r="V750" s="101">
        <f t="shared" si="63"/>
        <v>385.56</v>
      </c>
      <c r="W750" s="101">
        <f t="shared" si="64"/>
        <v>90433.2</v>
      </c>
      <c r="X750" s="101">
        <f t="shared" si="61"/>
        <v>0</v>
      </c>
      <c r="Y750" s="101">
        <f t="shared" si="65"/>
        <v>246657.42</v>
      </c>
    </row>
    <row r="751" spans="1:25" ht="11.25" hidden="1" customHeight="1" x14ac:dyDescent="0.3">
      <c r="A751" s="126" t="s">
        <v>184</v>
      </c>
      <c r="B751" s="126">
        <v>31</v>
      </c>
      <c r="C751" s="126">
        <v>37</v>
      </c>
      <c r="D751" s="126" t="str">
        <f t="shared" si="66"/>
        <v>3137</v>
      </c>
      <c r="E751" s="101">
        <v>7</v>
      </c>
      <c r="F751" s="101">
        <v>17.5</v>
      </c>
      <c r="G751" s="101">
        <v>0</v>
      </c>
      <c r="H751" s="101">
        <v>5718.3424999999997</v>
      </c>
      <c r="I751" s="101">
        <v>3047.1922500000001</v>
      </c>
      <c r="J751" s="101">
        <v>23</v>
      </c>
      <c r="K751" s="101">
        <v>96</v>
      </c>
      <c r="L751" s="101">
        <v>2880</v>
      </c>
      <c r="M751" s="101">
        <v>21339.88</v>
      </c>
      <c r="N751" s="101">
        <v>14571.491</v>
      </c>
      <c r="O751" s="101">
        <v>35</v>
      </c>
      <c r="P751" s="101">
        <v>180</v>
      </c>
      <c r="Q751" s="101">
        <v>2898</v>
      </c>
      <c r="R751" s="101">
        <v>26543.9</v>
      </c>
      <c r="S751" s="101">
        <v>14711.591</v>
      </c>
      <c r="T751" s="169">
        <v>1.02</v>
      </c>
      <c r="U751" s="101">
        <f t="shared" si="62"/>
        <v>35.700000000000003</v>
      </c>
      <c r="V751" s="101">
        <f t="shared" si="63"/>
        <v>183.6</v>
      </c>
      <c r="W751" s="101">
        <f t="shared" si="64"/>
        <v>2955.96</v>
      </c>
      <c r="X751" s="101">
        <f t="shared" si="61"/>
        <v>27074.778000000002</v>
      </c>
      <c r="Y751" s="101">
        <f t="shared" si="65"/>
        <v>15005.822820000001</v>
      </c>
    </row>
    <row r="752" spans="1:25" ht="11.25" hidden="1" customHeight="1" x14ac:dyDescent="0.3">
      <c r="A752" s="126" t="s">
        <v>184</v>
      </c>
      <c r="B752" s="126">
        <v>32</v>
      </c>
      <c r="C752" s="126">
        <v>12</v>
      </c>
      <c r="D752" s="126" t="str">
        <f t="shared" si="66"/>
        <v>3212</v>
      </c>
      <c r="E752" s="101">
        <v>52</v>
      </c>
      <c r="F752" s="101">
        <v>70</v>
      </c>
      <c r="G752" s="101">
        <v>114</v>
      </c>
      <c r="H752" s="101">
        <v>3184.25</v>
      </c>
      <c r="I752" s="101">
        <v>453.36500000000001</v>
      </c>
      <c r="J752" s="101">
        <v>15</v>
      </c>
      <c r="K752" s="101">
        <v>22</v>
      </c>
      <c r="L752" s="101">
        <v>45</v>
      </c>
      <c r="M752" s="101">
        <v>582.91</v>
      </c>
      <c r="N752" s="101">
        <v>162.24700000000001</v>
      </c>
      <c r="O752" s="101">
        <v>11</v>
      </c>
      <c r="P752" s="101">
        <v>11</v>
      </c>
      <c r="Q752" s="101">
        <v>17</v>
      </c>
      <c r="R752" s="101">
        <v>156.63999999999999</v>
      </c>
      <c r="S752" s="101">
        <v>22.832000000000001</v>
      </c>
      <c r="T752" s="169">
        <v>1.02</v>
      </c>
      <c r="U752" s="101">
        <f t="shared" si="62"/>
        <v>11.22</v>
      </c>
      <c r="V752" s="101">
        <f t="shared" si="63"/>
        <v>11.22</v>
      </c>
      <c r="W752" s="101">
        <f t="shared" si="64"/>
        <v>17.34</v>
      </c>
      <c r="X752" s="101">
        <f t="shared" si="61"/>
        <v>159.77279999999999</v>
      </c>
      <c r="Y752" s="101">
        <f t="shared" si="65"/>
        <v>23.288640000000001</v>
      </c>
    </row>
    <row r="753" spans="1:25" ht="11.25" hidden="1" customHeight="1" x14ac:dyDescent="0.3">
      <c r="A753" s="126" t="s">
        <v>184</v>
      </c>
      <c r="B753" s="126">
        <v>32</v>
      </c>
      <c r="C753" s="126">
        <v>17</v>
      </c>
      <c r="D753" s="126" t="str">
        <f t="shared" si="66"/>
        <v>3217</v>
      </c>
      <c r="E753" s="101">
        <v>2401</v>
      </c>
      <c r="F753" s="101">
        <v>3137</v>
      </c>
      <c r="G753" s="101">
        <v>4166</v>
      </c>
      <c r="H753" s="101">
        <v>156452.59</v>
      </c>
      <c r="I753" s="101">
        <v>29142.767</v>
      </c>
      <c r="J753" s="101">
        <v>1086</v>
      </c>
      <c r="K753" s="101">
        <v>3694</v>
      </c>
      <c r="L753" s="101">
        <v>4547</v>
      </c>
      <c r="M753" s="101">
        <v>80290.91</v>
      </c>
      <c r="N753" s="101">
        <v>14077.194</v>
      </c>
      <c r="O753" s="101">
        <v>1172</v>
      </c>
      <c r="P753" s="101">
        <v>2105</v>
      </c>
      <c r="Q753" s="101">
        <v>2981</v>
      </c>
      <c r="R753" s="101">
        <v>84219.51</v>
      </c>
      <c r="S753" s="101">
        <v>23378.179</v>
      </c>
      <c r="T753" s="169">
        <v>1.02</v>
      </c>
      <c r="U753" s="101">
        <v>1860</v>
      </c>
      <c r="V753" s="101">
        <v>3761</v>
      </c>
      <c r="W753" s="101">
        <v>5467</v>
      </c>
      <c r="X753" s="101">
        <f t="shared" si="61"/>
        <v>85903.900199999989</v>
      </c>
      <c r="Y753" s="101">
        <v>30000</v>
      </c>
    </row>
    <row r="754" spans="1:25" ht="11.25" hidden="1" customHeight="1" x14ac:dyDescent="0.3">
      <c r="A754" s="126" t="s">
        <v>184</v>
      </c>
      <c r="B754" s="126">
        <v>32</v>
      </c>
      <c r="C754" s="126">
        <v>18</v>
      </c>
      <c r="D754" s="126" t="str">
        <f t="shared" si="66"/>
        <v>3218</v>
      </c>
      <c r="E754" s="101">
        <v>343</v>
      </c>
      <c r="F754" s="101">
        <v>425</v>
      </c>
      <c r="G754" s="101">
        <v>615</v>
      </c>
      <c r="H754" s="101">
        <v>21945.199999999997</v>
      </c>
      <c r="I754" s="101">
        <v>3551.4670000000001</v>
      </c>
      <c r="J754" s="101">
        <v>2243</v>
      </c>
      <c r="K754" s="101">
        <v>2432</v>
      </c>
      <c r="L754" s="101">
        <v>2678</v>
      </c>
      <c r="M754" s="101">
        <v>122321.25</v>
      </c>
      <c r="N754" s="101">
        <v>25748.825000000004</v>
      </c>
      <c r="O754" s="101">
        <v>865</v>
      </c>
      <c r="P754" s="101">
        <v>1038</v>
      </c>
      <c r="Q754" s="101">
        <v>7330</v>
      </c>
      <c r="R754" s="101">
        <v>61354.59</v>
      </c>
      <c r="S754" s="101">
        <v>127043.94100000001</v>
      </c>
      <c r="T754" s="169">
        <v>0.8</v>
      </c>
      <c r="U754" s="101">
        <f t="shared" si="62"/>
        <v>692</v>
      </c>
      <c r="V754" s="101">
        <f t="shared" si="63"/>
        <v>830.40000000000009</v>
      </c>
      <c r="W754" s="101">
        <f t="shared" si="64"/>
        <v>5864</v>
      </c>
      <c r="X754" s="101">
        <f t="shared" si="61"/>
        <v>49083.671999999999</v>
      </c>
      <c r="Y754" s="101">
        <f t="shared" si="65"/>
        <v>101635.15280000001</v>
      </c>
    </row>
    <row r="755" spans="1:25" ht="11.25" hidden="1" customHeight="1" x14ac:dyDescent="0.3">
      <c r="A755" s="126" t="s">
        <v>184</v>
      </c>
      <c r="B755" s="126">
        <v>32</v>
      </c>
      <c r="C755" s="126">
        <v>28</v>
      </c>
      <c r="D755" s="126" t="str">
        <f t="shared" si="66"/>
        <v>3228</v>
      </c>
      <c r="E755" s="101">
        <v>320</v>
      </c>
      <c r="F755" s="101">
        <v>3185</v>
      </c>
      <c r="G755" s="101">
        <v>31508</v>
      </c>
      <c r="H755" s="101">
        <v>580618.17000000004</v>
      </c>
      <c r="I755" s="101">
        <v>232339.87900000002</v>
      </c>
      <c r="J755" s="101">
        <v>186</v>
      </c>
      <c r="K755" s="101">
        <v>4497</v>
      </c>
      <c r="L755" s="101">
        <v>38483</v>
      </c>
      <c r="M755" s="101">
        <v>664573.21999999986</v>
      </c>
      <c r="N755" s="101">
        <v>172378.91200000001</v>
      </c>
      <c r="O755" s="101">
        <v>240</v>
      </c>
      <c r="P755" s="101">
        <v>5134</v>
      </c>
      <c r="Q755" s="101">
        <v>37264</v>
      </c>
      <c r="R755" s="101">
        <v>485936.09</v>
      </c>
      <c r="S755" s="101">
        <v>103406.982</v>
      </c>
      <c r="T755" s="169">
        <v>1.02</v>
      </c>
      <c r="U755" s="101">
        <f t="shared" si="62"/>
        <v>244.8</v>
      </c>
      <c r="V755" s="101">
        <f t="shared" si="63"/>
        <v>5236.68</v>
      </c>
      <c r="W755" s="101">
        <f t="shared" si="64"/>
        <v>38009.279999999999</v>
      </c>
      <c r="X755" s="101">
        <f t="shared" si="61"/>
        <v>495654.81180000002</v>
      </c>
      <c r="Y755" s="101">
        <f t="shared" si="65"/>
        <v>105475.12164000001</v>
      </c>
    </row>
    <row r="756" spans="1:25" ht="11.25" hidden="1" customHeight="1" x14ac:dyDescent="0.3">
      <c r="A756" s="126" t="s">
        <v>184</v>
      </c>
      <c r="B756" s="126">
        <v>32</v>
      </c>
      <c r="C756" s="126">
        <v>46</v>
      </c>
      <c r="D756" s="126" t="str">
        <f t="shared" si="66"/>
        <v>3246</v>
      </c>
      <c r="E756" s="101">
        <v>293</v>
      </c>
      <c r="F756" s="101">
        <v>550</v>
      </c>
      <c r="G756" s="101">
        <v>16321</v>
      </c>
      <c r="H756" s="101">
        <v>188163.57</v>
      </c>
      <c r="I756" s="101">
        <v>68404.171000000002</v>
      </c>
      <c r="J756" s="101">
        <v>137</v>
      </c>
      <c r="K756" s="101">
        <v>381</v>
      </c>
      <c r="L756" s="101">
        <v>23692</v>
      </c>
      <c r="M756" s="101">
        <v>351808.96</v>
      </c>
      <c r="N756" s="101">
        <v>150627.79199999999</v>
      </c>
      <c r="O756" s="101">
        <v>146</v>
      </c>
      <c r="P756" s="101">
        <v>353</v>
      </c>
      <c r="Q756" s="101">
        <v>24011</v>
      </c>
      <c r="R756" s="101">
        <v>155932.28</v>
      </c>
      <c r="S756" s="101">
        <v>33435.798000000003</v>
      </c>
      <c r="T756" s="169">
        <v>1.02</v>
      </c>
      <c r="U756" s="101">
        <f t="shared" si="62"/>
        <v>148.92000000000002</v>
      </c>
      <c r="V756" s="101">
        <f t="shared" si="63"/>
        <v>360.06</v>
      </c>
      <c r="W756" s="101">
        <f t="shared" si="64"/>
        <v>24491.22</v>
      </c>
      <c r="X756" s="101">
        <f t="shared" si="61"/>
        <v>159050.92559999999</v>
      </c>
      <c r="Y756" s="101">
        <f t="shared" si="65"/>
        <v>34104.513960000004</v>
      </c>
    </row>
    <row r="757" spans="1:25" ht="11.25" hidden="1" customHeight="1" x14ac:dyDescent="0.3">
      <c r="A757" s="126" t="s">
        <v>184</v>
      </c>
      <c r="B757" s="126">
        <v>32</v>
      </c>
      <c r="C757" s="126">
        <v>48</v>
      </c>
      <c r="D757" s="126" t="str">
        <f t="shared" si="66"/>
        <v>3248</v>
      </c>
      <c r="E757" s="101">
        <v>1</v>
      </c>
      <c r="F757" s="101">
        <v>1</v>
      </c>
      <c r="G757" s="101">
        <v>1</v>
      </c>
      <c r="H757" s="101">
        <v>26.21</v>
      </c>
      <c r="I757" s="101">
        <v>0</v>
      </c>
      <c r="J757" s="101">
        <v>2</v>
      </c>
      <c r="K757" s="101">
        <v>2</v>
      </c>
      <c r="L757" s="101">
        <v>1100</v>
      </c>
      <c r="M757" s="101">
        <v>5579</v>
      </c>
      <c r="N757" s="101">
        <v>2012.3</v>
      </c>
      <c r="O757" s="101">
        <v>0</v>
      </c>
      <c r="P757" s="101">
        <v>0</v>
      </c>
      <c r="Q757" s="101">
        <v>0</v>
      </c>
      <c r="R757" s="101">
        <v>0</v>
      </c>
      <c r="S757" s="101">
        <v>0</v>
      </c>
      <c r="T757" s="169">
        <v>1.02</v>
      </c>
      <c r="U757" s="101">
        <f t="shared" si="62"/>
        <v>0</v>
      </c>
      <c r="V757" s="101">
        <f t="shared" si="63"/>
        <v>0</v>
      </c>
      <c r="W757" s="101">
        <f t="shared" si="64"/>
        <v>0</v>
      </c>
      <c r="X757" s="101">
        <f t="shared" si="61"/>
        <v>0</v>
      </c>
      <c r="Y757" s="101">
        <f t="shared" si="65"/>
        <v>0</v>
      </c>
    </row>
    <row r="758" spans="1:25" ht="11.25" hidden="1" customHeight="1" x14ac:dyDescent="0.3">
      <c r="A758" s="126" t="s">
        <v>184</v>
      </c>
      <c r="B758" s="126">
        <v>32</v>
      </c>
      <c r="C758" s="126">
        <v>66</v>
      </c>
      <c r="D758" s="126" t="str">
        <f t="shared" si="66"/>
        <v>3266</v>
      </c>
      <c r="E758" s="101">
        <v>394</v>
      </c>
      <c r="F758" s="101">
        <v>1751</v>
      </c>
      <c r="G758" s="101">
        <v>20233</v>
      </c>
      <c r="H758" s="101">
        <v>139094.76</v>
      </c>
      <c r="I758" s="101">
        <v>67326.528999999995</v>
      </c>
      <c r="J758" s="101">
        <v>222</v>
      </c>
      <c r="K758" s="101">
        <v>1670</v>
      </c>
      <c r="L758" s="101">
        <v>40678</v>
      </c>
      <c r="M758" s="101">
        <v>204862.64999999997</v>
      </c>
      <c r="N758" s="101">
        <v>142585.12300000002</v>
      </c>
      <c r="O758" s="101">
        <v>174</v>
      </c>
      <c r="P758" s="101">
        <v>1158</v>
      </c>
      <c r="Q758" s="101">
        <v>20006</v>
      </c>
      <c r="R758" s="101">
        <v>104775.55</v>
      </c>
      <c r="S758" s="101">
        <v>43754.099000000002</v>
      </c>
      <c r="T758" s="169">
        <v>1.02</v>
      </c>
      <c r="U758" s="101">
        <f t="shared" si="62"/>
        <v>177.48</v>
      </c>
      <c r="V758" s="101">
        <f t="shared" si="63"/>
        <v>1181.1600000000001</v>
      </c>
      <c r="W758" s="101">
        <f t="shared" si="64"/>
        <v>20406.12</v>
      </c>
      <c r="X758" s="101">
        <f t="shared" si="61"/>
        <v>106871.061</v>
      </c>
      <c r="Y758" s="101">
        <f t="shared" si="65"/>
        <v>44629.180980000005</v>
      </c>
    </row>
    <row r="759" spans="1:25" ht="11.25" hidden="1" customHeight="1" x14ac:dyDescent="0.3">
      <c r="A759" s="126" t="s">
        <v>184</v>
      </c>
      <c r="B759" s="126">
        <v>32</v>
      </c>
      <c r="C759" s="126">
        <v>30</v>
      </c>
      <c r="D759" s="126" t="str">
        <f t="shared" si="66"/>
        <v>3230</v>
      </c>
      <c r="E759" s="101">
        <v>277.5</v>
      </c>
      <c r="F759" s="101">
        <v>4333</v>
      </c>
      <c r="G759" s="101">
        <v>15281.5</v>
      </c>
      <c r="H759" s="101">
        <v>324869.41000000003</v>
      </c>
      <c r="I759" s="101">
        <v>86101.292999999991</v>
      </c>
      <c r="J759" s="101">
        <v>0</v>
      </c>
      <c r="K759" s="101">
        <v>0</v>
      </c>
      <c r="L759" s="101">
        <v>0</v>
      </c>
      <c r="M759" s="101">
        <v>0</v>
      </c>
      <c r="N759" s="101">
        <v>0</v>
      </c>
      <c r="O759" s="101">
        <v>67</v>
      </c>
      <c r="P759" s="101">
        <v>68</v>
      </c>
      <c r="Q759" s="101">
        <v>821</v>
      </c>
      <c r="R759" s="101">
        <v>97044.35</v>
      </c>
      <c r="S759" s="101">
        <v>66998.645999999993</v>
      </c>
      <c r="T759" s="169">
        <v>1.02</v>
      </c>
      <c r="U759" s="101">
        <f t="shared" si="62"/>
        <v>68.34</v>
      </c>
      <c r="V759" s="101">
        <f t="shared" si="63"/>
        <v>69.36</v>
      </c>
      <c r="W759" s="101">
        <f t="shared" si="64"/>
        <v>837.42</v>
      </c>
      <c r="X759" s="101">
        <f t="shared" si="61"/>
        <v>98985.237000000008</v>
      </c>
      <c r="Y759" s="101">
        <f t="shared" si="65"/>
        <v>68338.618919999994</v>
      </c>
    </row>
    <row r="760" spans="1:25" ht="11.25" hidden="1" customHeight="1" x14ac:dyDescent="0.3">
      <c r="A760" s="126" t="s">
        <v>184</v>
      </c>
      <c r="B760" s="126">
        <v>32</v>
      </c>
      <c r="C760" s="126">
        <v>21</v>
      </c>
      <c r="D760" s="126" t="str">
        <f t="shared" si="66"/>
        <v>3221</v>
      </c>
      <c r="E760" s="101">
        <v>1051.5</v>
      </c>
      <c r="F760" s="101">
        <v>5351</v>
      </c>
      <c r="G760" s="101">
        <v>27973.5</v>
      </c>
      <c r="H760" s="101">
        <v>468678.48500000004</v>
      </c>
      <c r="I760" s="101">
        <v>118741.70600000001</v>
      </c>
      <c r="J760" s="101">
        <v>1616</v>
      </c>
      <c r="K760" s="101">
        <v>14237</v>
      </c>
      <c r="L760" s="101">
        <v>56899</v>
      </c>
      <c r="M760" s="101">
        <v>1034522.07</v>
      </c>
      <c r="N760" s="101">
        <v>317636.41899999999</v>
      </c>
      <c r="O760" s="101">
        <v>634</v>
      </c>
      <c r="P760" s="101">
        <v>5850</v>
      </c>
      <c r="Q760" s="101">
        <v>36969</v>
      </c>
      <c r="R760" s="101">
        <v>395216.17</v>
      </c>
      <c r="S760" s="101">
        <v>140098.03099999999</v>
      </c>
      <c r="T760" s="169">
        <v>1.02</v>
      </c>
      <c r="U760" s="101">
        <f>O760*T760-14</f>
        <v>632.68000000000006</v>
      </c>
      <c r="V760" s="101">
        <f>P760*T760-37</f>
        <v>5930</v>
      </c>
      <c r="W760" s="101">
        <f>Q760*T760-4995</f>
        <v>32713.379999999997</v>
      </c>
      <c r="X760" s="101">
        <f>R760*T760-26620</f>
        <v>376500.49339999998</v>
      </c>
      <c r="Y760" s="101">
        <f>S760*T760-40043</f>
        <v>102856.99161999999</v>
      </c>
    </row>
    <row r="761" spans="1:25" ht="11.25" hidden="1" customHeight="1" x14ac:dyDescent="0.3">
      <c r="A761" s="126" t="s">
        <v>184</v>
      </c>
      <c r="B761" s="126">
        <v>32</v>
      </c>
      <c r="C761" s="126">
        <v>71</v>
      </c>
      <c r="D761" s="126" t="str">
        <f t="shared" si="66"/>
        <v>3271</v>
      </c>
      <c r="E761" s="101">
        <v>814</v>
      </c>
      <c r="F761" s="101">
        <v>6362.5</v>
      </c>
      <c r="G761" s="101">
        <v>23884.5</v>
      </c>
      <c r="H761" s="101">
        <v>197539.96</v>
      </c>
      <c r="I761" s="101">
        <v>90406.8315</v>
      </c>
      <c r="J761" s="101">
        <v>528</v>
      </c>
      <c r="K761" s="101">
        <v>7853</v>
      </c>
      <c r="L761" s="101">
        <v>18755</v>
      </c>
      <c r="M761" s="101">
        <v>131297.82999999999</v>
      </c>
      <c r="N761" s="101">
        <v>86038.736999999994</v>
      </c>
      <c r="O761" s="101">
        <v>272</v>
      </c>
      <c r="P761" s="101">
        <v>3620</v>
      </c>
      <c r="Q761" s="101">
        <v>16031</v>
      </c>
      <c r="R761" s="101">
        <v>105703.61</v>
      </c>
      <c r="S761" s="101">
        <v>62396.453000000001</v>
      </c>
      <c r="T761" s="169">
        <v>0.98</v>
      </c>
      <c r="U761" s="101">
        <f t="shared" si="62"/>
        <v>266.56</v>
      </c>
      <c r="V761" s="101">
        <f t="shared" si="63"/>
        <v>3547.6</v>
      </c>
      <c r="W761" s="101">
        <f t="shared" si="64"/>
        <v>15710.38</v>
      </c>
      <c r="X761" s="101">
        <f t="shared" si="61"/>
        <v>103589.53780000001</v>
      </c>
      <c r="Y761" s="101">
        <f t="shared" si="65"/>
        <v>61148.523939999999</v>
      </c>
    </row>
    <row r="762" spans="1:25" ht="11.25" hidden="1" customHeight="1" x14ac:dyDescent="0.3">
      <c r="A762" s="126" t="s">
        <v>184</v>
      </c>
      <c r="B762" s="126">
        <v>32</v>
      </c>
      <c r="C762" s="126">
        <v>25</v>
      </c>
      <c r="D762" s="126" t="str">
        <f t="shared" si="66"/>
        <v>3225</v>
      </c>
      <c r="E762" s="101">
        <v>1137</v>
      </c>
      <c r="F762" s="101">
        <v>8828</v>
      </c>
      <c r="G762" s="101">
        <v>50914</v>
      </c>
      <c r="H762" s="101">
        <v>483900.14999999997</v>
      </c>
      <c r="I762" s="101">
        <v>190096.05000000002</v>
      </c>
      <c r="J762" s="101">
        <v>534</v>
      </c>
      <c r="K762" s="101">
        <v>6736</v>
      </c>
      <c r="L762" s="101">
        <v>38275</v>
      </c>
      <c r="M762" s="101">
        <v>510037.14</v>
      </c>
      <c r="N762" s="101">
        <v>233095.74900000001</v>
      </c>
      <c r="O762" s="101">
        <v>517</v>
      </c>
      <c r="P762" s="101">
        <v>4913</v>
      </c>
      <c r="Q762" s="101">
        <v>19989</v>
      </c>
      <c r="R762" s="101">
        <v>152283.38</v>
      </c>
      <c r="S762" s="101">
        <v>83869.119999999995</v>
      </c>
      <c r="T762" s="169">
        <v>1.02</v>
      </c>
      <c r="U762" s="101">
        <f t="shared" si="62"/>
        <v>527.34</v>
      </c>
      <c r="V762" s="101">
        <f t="shared" si="63"/>
        <v>5011.26</v>
      </c>
      <c r="W762" s="101">
        <f t="shared" si="64"/>
        <v>20388.78</v>
      </c>
      <c r="X762" s="101">
        <f t="shared" si="61"/>
        <v>155329.04760000002</v>
      </c>
      <c r="Y762" s="101">
        <f t="shared" si="65"/>
        <v>85546.502399999998</v>
      </c>
    </row>
    <row r="763" spans="1:25" ht="11.25" hidden="1" customHeight="1" x14ac:dyDescent="0.3">
      <c r="A763" s="126" t="s">
        <v>184</v>
      </c>
      <c r="B763" s="126">
        <v>32</v>
      </c>
      <c r="C763" s="126">
        <v>14</v>
      </c>
      <c r="D763" s="126" t="str">
        <f t="shared" si="66"/>
        <v>3214</v>
      </c>
      <c r="J763" s="101">
        <v>17</v>
      </c>
      <c r="K763" s="101">
        <v>57</v>
      </c>
      <c r="L763" s="101">
        <v>67</v>
      </c>
      <c r="M763" s="101">
        <v>5522.37</v>
      </c>
      <c r="N763" s="101">
        <v>776.32299999999998</v>
      </c>
      <c r="O763" s="101">
        <v>45</v>
      </c>
      <c r="P763" s="101">
        <v>105</v>
      </c>
      <c r="Q763" s="101">
        <v>153</v>
      </c>
      <c r="R763" s="101">
        <v>13320.36</v>
      </c>
      <c r="S763" s="101">
        <v>1860.279</v>
      </c>
      <c r="T763" s="169">
        <v>1.02</v>
      </c>
      <c r="U763" s="101">
        <f t="shared" si="62"/>
        <v>45.9</v>
      </c>
      <c r="V763" s="101">
        <f t="shared" si="63"/>
        <v>107.10000000000001</v>
      </c>
      <c r="W763" s="101">
        <f t="shared" si="64"/>
        <v>156.06</v>
      </c>
      <c r="X763" s="101">
        <f t="shared" si="61"/>
        <v>13586.7672</v>
      </c>
      <c r="Y763" s="101">
        <f t="shared" si="65"/>
        <v>1897.4845800000001</v>
      </c>
    </row>
    <row r="764" spans="1:25" ht="11.25" hidden="1" customHeight="1" x14ac:dyDescent="0.3">
      <c r="A764" s="126" t="s">
        <v>184</v>
      </c>
      <c r="B764" s="126">
        <v>32</v>
      </c>
      <c r="C764" s="126">
        <v>22</v>
      </c>
      <c r="D764" s="126" t="str">
        <f t="shared" si="66"/>
        <v>3222</v>
      </c>
      <c r="J764" s="101">
        <v>11</v>
      </c>
      <c r="K764" s="101">
        <v>42</v>
      </c>
      <c r="L764" s="101">
        <v>214</v>
      </c>
      <c r="M764" s="101">
        <v>1651.11</v>
      </c>
      <c r="N764" s="101">
        <v>992.65499999999997</v>
      </c>
      <c r="O764" s="101">
        <v>0</v>
      </c>
      <c r="P764" s="101">
        <v>0</v>
      </c>
      <c r="Q764" s="101">
        <v>0</v>
      </c>
      <c r="R764" s="101">
        <v>0</v>
      </c>
      <c r="S764" s="101">
        <v>0</v>
      </c>
      <c r="T764" s="169">
        <v>1.02</v>
      </c>
      <c r="U764" s="101">
        <f t="shared" si="62"/>
        <v>0</v>
      </c>
      <c r="V764" s="101">
        <f t="shared" si="63"/>
        <v>0</v>
      </c>
      <c r="W764" s="101">
        <f t="shared" si="64"/>
        <v>0</v>
      </c>
      <c r="X764" s="101">
        <f t="shared" si="61"/>
        <v>0</v>
      </c>
      <c r="Y764" s="101">
        <f t="shared" si="65"/>
        <v>0</v>
      </c>
    </row>
    <row r="765" spans="1:25" ht="11.25" hidden="1" customHeight="1" x14ac:dyDescent="0.3">
      <c r="A765" s="126" t="s">
        <v>184</v>
      </c>
      <c r="B765" s="126">
        <v>32</v>
      </c>
      <c r="C765" s="126">
        <v>26</v>
      </c>
      <c r="D765" s="126" t="str">
        <f t="shared" si="66"/>
        <v>3226</v>
      </c>
      <c r="J765" s="101">
        <v>9</v>
      </c>
      <c r="K765" s="101">
        <v>15</v>
      </c>
      <c r="L765" s="101">
        <v>174</v>
      </c>
      <c r="M765" s="101">
        <v>5133.6499999999996</v>
      </c>
      <c r="N765" s="101">
        <v>1721.902</v>
      </c>
      <c r="O765" s="101">
        <v>1</v>
      </c>
      <c r="P765" s="101">
        <v>6</v>
      </c>
      <c r="Q765" s="101">
        <v>66</v>
      </c>
      <c r="R765" s="101">
        <v>2067.8000000000002</v>
      </c>
      <c r="S765" s="101">
        <v>1180.884</v>
      </c>
      <c r="T765" s="169">
        <v>1.02</v>
      </c>
      <c r="U765" s="101">
        <f t="shared" si="62"/>
        <v>1.02</v>
      </c>
      <c r="V765" s="101">
        <f t="shared" si="63"/>
        <v>6.12</v>
      </c>
      <c r="W765" s="101">
        <f t="shared" si="64"/>
        <v>67.320000000000007</v>
      </c>
      <c r="X765" s="101">
        <f t="shared" si="61"/>
        <v>2109.1560000000004</v>
      </c>
      <c r="Y765" s="101">
        <f t="shared" si="65"/>
        <v>1204.5016800000001</v>
      </c>
    </row>
    <row r="766" spans="1:25" ht="11.25" hidden="1" customHeight="1" x14ac:dyDescent="0.3">
      <c r="A766" s="126" t="s">
        <v>184</v>
      </c>
      <c r="B766" s="126">
        <v>32</v>
      </c>
      <c r="C766" s="126">
        <v>32</v>
      </c>
      <c r="D766" s="126" t="str">
        <f t="shared" si="66"/>
        <v>3232</v>
      </c>
      <c r="J766" s="101">
        <v>28</v>
      </c>
      <c r="K766" s="101">
        <v>37</v>
      </c>
      <c r="L766" s="101">
        <v>5650</v>
      </c>
      <c r="M766" s="101">
        <v>2902.18</v>
      </c>
      <c r="N766" s="101">
        <v>13642.883</v>
      </c>
      <c r="O766" s="101">
        <v>26</v>
      </c>
      <c r="P766" s="101">
        <v>192</v>
      </c>
      <c r="Q766" s="101">
        <v>2291</v>
      </c>
      <c r="R766" s="101">
        <v>27213.03</v>
      </c>
      <c r="S766" s="101">
        <v>4998.7740000000003</v>
      </c>
      <c r="T766" s="169">
        <v>1.02</v>
      </c>
      <c r="U766" s="101">
        <f t="shared" si="62"/>
        <v>26.52</v>
      </c>
      <c r="V766" s="101">
        <f t="shared" si="63"/>
        <v>195.84</v>
      </c>
      <c r="W766" s="101">
        <f t="shared" si="64"/>
        <v>2336.8200000000002</v>
      </c>
      <c r="X766" s="101">
        <f t="shared" si="61"/>
        <v>27757.2906</v>
      </c>
      <c r="Y766" s="101">
        <f t="shared" si="65"/>
        <v>5098.7494800000004</v>
      </c>
    </row>
    <row r="767" spans="1:25" ht="11.25" hidden="1" customHeight="1" x14ac:dyDescent="0.3">
      <c r="A767" s="126" t="s">
        <v>184</v>
      </c>
      <c r="B767" s="126">
        <v>32</v>
      </c>
      <c r="C767" s="126">
        <v>43</v>
      </c>
      <c r="D767" s="126" t="str">
        <f t="shared" si="66"/>
        <v>3243</v>
      </c>
      <c r="J767" s="101">
        <v>0</v>
      </c>
      <c r="K767" s="101">
        <v>0</v>
      </c>
      <c r="L767" s="101">
        <v>0</v>
      </c>
      <c r="M767" s="101">
        <v>0</v>
      </c>
      <c r="N767" s="101">
        <v>0</v>
      </c>
      <c r="O767" s="101">
        <v>0</v>
      </c>
      <c r="P767" s="101">
        <v>0</v>
      </c>
      <c r="Q767" s="101">
        <v>0</v>
      </c>
      <c r="R767" s="101">
        <v>0</v>
      </c>
      <c r="S767" s="101">
        <v>0</v>
      </c>
      <c r="T767" s="169">
        <v>1.02</v>
      </c>
      <c r="U767" s="101">
        <f t="shared" si="62"/>
        <v>0</v>
      </c>
      <c r="V767" s="101">
        <f t="shared" si="63"/>
        <v>0</v>
      </c>
      <c r="W767" s="101">
        <f t="shared" si="64"/>
        <v>0</v>
      </c>
      <c r="X767" s="101">
        <f t="shared" si="61"/>
        <v>0</v>
      </c>
      <c r="Y767" s="101">
        <f t="shared" si="65"/>
        <v>0</v>
      </c>
    </row>
    <row r="768" spans="1:25" ht="11.25" hidden="1" customHeight="1" x14ac:dyDescent="0.3">
      <c r="A768" s="126" t="s">
        <v>184</v>
      </c>
      <c r="B768" s="126">
        <v>32</v>
      </c>
      <c r="C768" s="126">
        <v>44</v>
      </c>
      <c r="D768" s="126" t="str">
        <f t="shared" si="66"/>
        <v>3244</v>
      </c>
      <c r="J768" s="101">
        <v>0</v>
      </c>
      <c r="K768" s="101">
        <v>0</v>
      </c>
      <c r="L768" s="101">
        <v>0</v>
      </c>
      <c r="M768" s="101">
        <v>0</v>
      </c>
      <c r="N768" s="101">
        <v>0</v>
      </c>
      <c r="O768" s="101">
        <v>0</v>
      </c>
      <c r="P768" s="101">
        <v>0</v>
      </c>
      <c r="Q768" s="101">
        <v>0</v>
      </c>
      <c r="R768" s="101">
        <v>0</v>
      </c>
      <c r="S768" s="101">
        <v>0</v>
      </c>
      <c r="T768" s="169">
        <v>1.02</v>
      </c>
      <c r="U768" s="101">
        <f t="shared" si="62"/>
        <v>0</v>
      </c>
      <c r="V768" s="101">
        <f t="shared" si="63"/>
        <v>0</v>
      </c>
      <c r="W768" s="101">
        <f t="shared" si="64"/>
        <v>0</v>
      </c>
      <c r="X768" s="101">
        <f t="shared" si="61"/>
        <v>0</v>
      </c>
      <c r="Y768" s="101">
        <f t="shared" si="65"/>
        <v>0</v>
      </c>
    </row>
    <row r="769" spans="1:25" ht="11.25" hidden="1" customHeight="1" x14ac:dyDescent="0.3">
      <c r="A769" s="126" t="s">
        <v>184</v>
      </c>
      <c r="B769" s="126">
        <v>32</v>
      </c>
      <c r="C769" s="126">
        <v>45</v>
      </c>
      <c r="D769" s="126" t="str">
        <f t="shared" si="66"/>
        <v>3245</v>
      </c>
      <c r="J769" s="101">
        <v>0</v>
      </c>
      <c r="K769" s="101">
        <v>0</v>
      </c>
      <c r="L769" s="101">
        <v>0</v>
      </c>
      <c r="M769" s="101">
        <v>0</v>
      </c>
      <c r="N769" s="101">
        <v>0</v>
      </c>
      <c r="O769" s="101">
        <v>0</v>
      </c>
      <c r="P769" s="101">
        <v>0</v>
      </c>
      <c r="Q769" s="101">
        <v>0</v>
      </c>
      <c r="R769" s="101">
        <v>0</v>
      </c>
      <c r="S769" s="101">
        <v>0</v>
      </c>
      <c r="T769" s="169">
        <v>1.02</v>
      </c>
      <c r="U769" s="101">
        <f t="shared" si="62"/>
        <v>0</v>
      </c>
      <c r="V769" s="101">
        <f t="shared" si="63"/>
        <v>0</v>
      </c>
      <c r="W769" s="101">
        <f t="shared" si="64"/>
        <v>0</v>
      </c>
      <c r="X769" s="101">
        <f t="shared" si="61"/>
        <v>0</v>
      </c>
      <c r="Y769" s="101">
        <f t="shared" si="65"/>
        <v>0</v>
      </c>
    </row>
    <row r="770" spans="1:25" ht="11.25" hidden="1" customHeight="1" x14ac:dyDescent="0.3">
      <c r="A770" s="126" t="s">
        <v>184</v>
      </c>
      <c r="B770" s="126">
        <v>32</v>
      </c>
      <c r="C770" s="126">
        <v>47</v>
      </c>
      <c r="D770" s="126" t="str">
        <f t="shared" si="66"/>
        <v>3247</v>
      </c>
      <c r="J770" s="101">
        <v>1</v>
      </c>
      <c r="K770" s="101">
        <v>1</v>
      </c>
      <c r="L770" s="101">
        <v>1</v>
      </c>
      <c r="M770" s="101">
        <v>0</v>
      </c>
      <c r="N770" s="101">
        <v>0.434</v>
      </c>
      <c r="O770" s="101">
        <v>3</v>
      </c>
      <c r="P770" s="101">
        <v>3</v>
      </c>
      <c r="Q770" s="101">
        <v>182</v>
      </c>
      <c r="R770" s="101">
        <v>2956.7</v>
      </c>
      <c r="S770" s="101">
        <v>773.49599999999998</v>
      </c>
      <c r="T770" s="169">
        <v>1.02</v>
      </c>
      <c r="U770" s="101">
        <f t="shared" si="62"/>
        <v>3.06</v>
      </c>
      <c r="V770" s="101">
        <f t="shared" si="63"/>
        <v>3.06</v>
      </c>
      <c r="W770" s="101">
        <f t="shared" si="64"/>
        <v>185.64000000000001</v>
      </c>
      <c r="X770" s="101">
        <f t="shared" si="61"/>
        <v>3015.8339999999998</v>
      </c>
      <c r="Y770" s="101">
        <f t="shared" si="65"/>
        <v>788.96591999999998</v>
      </c>
    </row>
    <row r="771" spans="1:25" ht="11.25" hidden="1" customHeight="1" x14ac:dyDescent="0.3">
      <c r="A771" s="126" t="s">
        <v>184</v>
      </c>
      <c r="B771" s="126">
        <v>32</v>
      </c>
      <c r="C771" s="126">
        <v>91</v>
      </c>
      <c r="D771" s="126" t="str">
        <f t="shared" si="66"/>
        <v>3291</v>
      </c>
      <c r="J771" s="101">
        <v>47</v>
      </c>
      <c r="K771" s="101">
        <v>238</v>
      </c>
      <c r="L771" s="101">
        <v>1397</v>
      </c>
      <c r="M771" s="101">
        <v>8824.880000000001</v>
      </c>
      <c r="N771" s="101">
        <v>5339.9589999999998</v>
      </c>
      <c r="O771" s="101">
        <v>43</v>
      </c>
      <c r="P771" s="101">
        <v>211</v>
      </c>
      <c r="Q771" s="101">
        <v>2426</v>
      </c>
      <c r="R771" s="101">
        <v>11098.79</v>
      </c>
      <c r="S771" s="101">
        <v>4087.9189999999999</v>
      </c>
      <c r="T771" s="169">
        <v>1.02</v>
      </c>
      <c r="U771" s="101">
        <f t="shared" si="62"/>
        <v>43.86</v>
      </c>
      <c r="V771" s="101">
        <f t="shared" si="63"/>
        <v>215.22</v>
      </c>
      <c r="W771" s="101">
        <f t="shared" si="64"/>
        <v>2474.52</v>
      </c>
      <c r="X771" s="101">
        <f t="shared" si="61"/>
        <v>11320.765800000001</v>
      </c>
      <c r="Y771" s="101">
        <f t="shared" si="65"/>
        <v>4169.6773800000001</v>
      </c>
    </row>
    <row r="772" spans="1:25" ht="11.25" hidden="1" customHeight="1" x14ac:dyDescent="0.3">
      <c r="A772" s="126" t="s">
        <v>184</v>
      </c>
      <c r="B772" s="126">
        <v>32</v>
      </c>
      <c r="C772" s="126">
        <v>27</v>
      </c>
      <c r="D772" s="126" t="str">
        <f t="shared" si="66"/>
        <v>3227</v>
      </c>
      <c r="E772" s="101">
        <v>125</v>
      </c>
      <c r="F772" s="101">
        <v>1398</v>
      </c>
      <c r="G772" s="101">
        <v>5893</v>
      </c>
      <c r="H772" s="101">
        <v>66652.450000000012</v>
      </c>
      <c r="I772" s="101">
        <v>18113.546000000002</v>
      </c>
      <c r="J772" s="101">
        <v>104</v>
      </c>
      <c r="K772" s="101">
        <v>2238</v>
      </c>
      <c r="L772" s="101">
        <v>7484</v>
      </c>
      <c r="M772" s="101">
        <v>75334.98</v>
      </c>
      <c r="N772" s="101">
        <v>31318.082000000002</v>
      </c>
      <c r="O772" s="101">
        <v>101</v>
      </c>
      <c r="P772" s="101">
        <v>1910</v>
      </c>
      <c r="Q772" s="101">
        <v>12912</v>
      </c>
      <c r="R772" s="101">
        <v>113865.19</v>
      </c>
      <c r="S772" s="101">
        <v>42306.317000000003</v>
      </c>
      <c r="T772" s="169">
        <v>1.02</v>
      </c>
      <c r="U772" s="101">
        <f t="shared" si="62"/>
        <v>103.02</v>
      </c>
      <c r="V772" s="101">
        <f t="shared" si="63"/>
        <v>1948.2</v>
      </c>
      <c r="W772" s="101">
        <f t="shared" si="64"/>
        <v>13170.24</v>
      </c>
      <c r="X772" s="101">
        <f t="shared" si="61"/>
        <v>116142.49380000001</v>
      </c>
      <c r="Y772" s="101">
        <f t="shared" si="65"/>
        <v>43152.443340000005</v>
      </c>
    </row>
    <row r="773" spans="1:25" ht="11.25" hidden="1" customHeight="1" x14ac:dyDescent="0.3">
      <c r="A773" s="126" t="s">
        <v>184</v>
      </c>
      <c r="B773" s="126">
        <v>32</v>
      </c>
      <c r="C773" s="126">
        <v>34</v>
      </c>
      <c r="D773" s="126" t="str">
        <f t="shared" si="66"/>
        <v>3234</v>
      </c>
      <c r="O773" s="101">
        <v>1</v>
      </c>
      <c r="P773" s="101">
        <v>1</v>
      </c>
      <c r="Q773" s="101">
        <v>100</v>
      </c>
      <c r="R773" s="101">
        <v>821.01</v>
      </c>
      <c r="S773" s="101">
        <v>58.65</v>
      </c>
      <c r="T773" s="169">
        <v>1.02</v>
      </c>
      <c r="U773" s="101">
        <f t="shared" si="62"/>
        <v>1.02</v>
      </c>
      <c r="V773" s="101">
        <f t="shared" si="63"/>
        <v>1.02</v>
      </c>
      <c r="W773" s="101">
        <f t="shared" si="64"/>
        <v>102</v>
      </c>
      <c r="X773" s="101">
        <f t="shared" si="61"/>
        <v>837.43020000000001</v>
      </c>
      <c r="Y773" s="101">
        <f t="shared" si="65"/>
        <v>59.823</v>
      </c>
    </row>
    <row r="774" spans="1:25" ht="11.25" customHeight="1" x14ac:dyDescent="0.3">
      <c r="A774" s="126" t="s">
        <v>184</v>
      </c>
      <c r="B774" s="126">
        <v>32</v>
      </c>
      <c r="C774" s="126" t="s">
        <v>172</v>
      </c>
      <c r="D774" s="126" t="str">
        <f t="shared" si="66"/>
        <v>32Uml</v>
      </c>
      <c r="J774" s="101">
        <v>404</v>
      </c>
      <c r="K774" s="101">
        <v>404</v>
      </c>
      <c r="L774" s="101">
        <v>77936</v>
      </c>
      <c r="N774" s="101">
        <v>582779</v>
      </c>
      <c r="O774" s="101">
        <v>196</v>
      </c>
      <c r="P774" s="101">
        <v>209</v>
      </c>
      <c r="Q774" s="101">
        <v>50947</v>
      </c>
      <c r="S774" s="101">
        <v>280138</v>
      </c>
      <c r="T774" s="169">
        <v>1.02</v>
      </c>
      <c r="U774" s="101">
        <f t="shared" si="62"/>
        <v>199.92000000000002</v>
      </c>
      <c r="V774" s="101">
        <f t="shared" si="63"/>
        <v>213.18</v>
      </c>
      <c r="W774" s="101">
        <f t="shared" si="64"/>
        <v>51965.94</v>
      </c>
      <c r="X774" s="101">
        <f t="shared" ref="X774:X837" si="67">R774*T774</f>
        <v>0</v>
      </c>
      <c r="Y774" s="101">
        <f t="shared" si="65"/>
        <v>285740.76</v>
      </c>
    </row>
    <row r="775" spans="1:25" ht="11.25" hidden="1" customHeight="1" x14ac:dyDescent="0.3">
      <c r="A775" s="126" t="s">
        <v>184</v>
      </c>
      <c r="B775" s="126">
        <v>32</v>
      </c>
      <c r="C775" s="126">
        <v>37</v>
      </c>
      <c r="D775" s="126" t="str">
        <f t="shared" si="66"/>
        <v>3237</v>
      </c>
      <c r="E775" s="101">
        <v>7.5</v>
      </c>
      <c r="F775" s="101">
        <v>23.25</v>
      </c>
      <c r="G775" s="101">
        <v>842.25</v>
      </c>
      <c r="H775" s="101">
        <v>5314.2574999999997</v>
      </c>
      <c r="I775" s="101">
        <v>2793.3119999999999</v>
      </c>
      <c r="J775" s="101">
        <v>22</v>
      </c>
      <c r="K775" s="101">
        <v>100</v>
      </c>
      <c r="L775" s="101">
        <v>1818</v>
      </c>
      <c r="M775" s="101">
        <v>10404.959999999999</v>
      </c>
      <c r="N775" s="101">
        <v>4934.4669999999996</v>
      </c>
      <c r="O775" s="101">
        <v>35</v>
      </c>
      <c r="P775" s="101">
        <v>134</v>
      </c>
      <c r="Q775" s="101">
        <v>4936</v>
      </c>
      <c r="R775" s="101">
        <v>17491.13</v>
      </c>
      <c r="S775" s="101">
        <v>7705.6549999999997</v>
      </c>
      <c r="T775" s="169">
        <v>1.02</v>
      </c>
      <c r="U775" s="101">
        <f t="shared" si="62"/>
        <v>35.700000000000003</v>
      </c>
      <c r="V775" s="101">
        <f t="shared" si="63"/>
        <v>136.68</v>
      </c>
      <c r="W775" s="101">
        <f t="shared" si="64"/>
        <v>5034.72</v>
      </c>
      <c r="X775" s="101">
        <f t="shared" si="67"/>
        <v>17840.952600000001</v>
      </c>
      <c r="Y775" s="101">
        <f t="shared" si="65"/>
        <v>7859.7681000000002</v>
      </c>
    </row>
    <row r="776" spans="1:25" ht="11.25" hidden="1" customHeight="1" x14ac:dyDescent="0.3">
      <c r="A776" s="126" t="s">
        <v>184</v>
      </c>
      <c r="B776" s="126">
        <v>33</v>
      </c>
      <c r="C776" s="126">
        <v>12</v>
      </c>
      <c r="D776" s="126" t="str">
        <f t="shared" si="66"/>
        <v>3312</v>
      </c>
      <c r="E776" s="101">
        <v>35</v>
      </c>
      <c r="F776" s="101">
        <v>43</v>
      </c>
      <c r="G776" s="101">
        <v>69</v>
      </c>
      <c r="H776" s="101">
        <v>1276.3700000000001</v>
      </c>
      <c r="I776" s="101">
        <v>495.61599999999999</v>
      </c>
      <c r="J776" s="101">
        <v>23</v>
      </c>
      <c r="K776" s="101">
        <v>45</v>
      </c>
      <c r="L776" s="101">
        <v>77</v>
      </c>
      <c r="M776" s="101">
        <v>1722</v>
      </c>
      <c r="N776" s="101">
        <v>340</v>
      </c>
      <c r="O776" s="101">
        <v>13</v>
      </c>
      <c r="P776" s="101">
        <v>27</v>
      </c>
      <c r="Q776" s="101">
        <v>59</v>
      </c>
      <c r="R776" s="101">
        <v>661.69</v>
      </c>
      <c r="S776" s="101">
        <v>97.301000000000002</v>
      </c>
      <c r="T776" s="169">
        <v>1.02</v>
      </c>
      <c r="U776" s="101">
        <f t="shared" ref="U776:U839" si="68">O776*T776</f>
        <v>13.26</v>
      </c>
      <c r="V776" s="101">
        <f t="shared" ref="V776:V839" si="69">P776*T776</f>
        <v>27.54</v>
      </c>
      <c r="W776" s="101">
        <f t="shared" ref="W776:W839" si="70">Q776*T776</f>
        <v>60.18</v>
      </c>
      <c r="X776" s="101">
        <f t="shared" si="67"/>
        <v>674.92380000000003</v>
      </c>
      <c r="Y776" s="101">
        <f t="shared" ref="Y776:Y839" si="71">S776*T776</f>
        <v>99.247020000000006</v>
      </c>
    </row>
    <row r="777" spans="1:25" ht="11.25" hidden="1" customHeight="1" x14ac:dyDescent="0.3">
      <c r="A777" s="126" t="s">
        <v>184</v>
      </c>
      <c r="B777" s="126">
        <v>33</v>
      </c>
      <c r="C777" s="126">
        <v>14</v>
      </c>
      <c r="D777" s="126" t="str">
        <f t="shared" si="66"/>
        <v>3314</v>
      </c>
      <c r="E777" s="101">
        <v>2</v>
      </c>
      <c r="F777" s="101">
        <v>4</v>
      </c>
      <c r="G777" s="101">
        <v>5</v>
      </c>
      <c r="H777" s="101">
        <v>950.95</v>
      </c>
      <c r="I777" s="101">
        <v>200.01</v>
      </c>
      <c r="J777" s="101">
        <v>15</v>
      </c>
      <c r="K777" s="101">
        <v>35</v>
      </c>
      <c r="L777" s="101">
        <v>47</v>
      </c>
      <c r="M777" s="101">
        <v>5909</v>
      </c>
      <c r="N777" s="101">
        <v>1064</v>
      </c>
      <c r="O777" s="101">
        <v>31</v>
      </c>
      <c r="P777" s="101">
        <v>40</v>
      </c>
      <c r="Q777" s="101">
        <v>57</v>
      </c>
      <c r="R777" s="101">
        <v>3870.91</v>
      </c>
      <c r="S777" s="101">
        <v>426.76799999999997</v>
      </c>
      <c r="T777" s="169">
        <v>1.02</v>
      </c>
      <c r="U777" s="101">
        <f t="shared" si="68"/>
        <v>31.62</v>
      </c>
      <c r="V777" s="101">
        <f t="shared" si="69"/>
        <v>40.799999999999997</v>
      </c>
      <c r="W777" s="101">
        <f t="shared" si="70"/>
        <v>58.14</v>
      </c>
      <c r="X777" s="101">
        <f t="shared" si="67"/>
        <v>3948.3281999999999</v>
      </c>
      <c r="Y777" s="101">
        <f t="shared" si="71"/>
        <v>435.30336</v>
      </c>
    </row>
    <row r="778" spans="1:25" ht="11.25" hidden="1" customHeight="1" x14ac:dyDescent="0.3">
      <c r="A778" s="126" t="s">
        <v>184</v>
      </c>
      <c r="B778" s="126">
        <v>33</v>
      </c>
      <c r="C778" s="126">
        <v>17</v>
      </c>
      <c r="D778" s="126" t="str">
        <f t="shared" si="66"/>
        <v>3317</v>
      </c>
      <c r="E778" s="101">
        <v>2269</v>
      </c>
      <c r="F778" s="101">
        <v>3011</v>
      </c>
      <c r="G778" s="101">
        <v>3781</v>
      </c>
      <c r="H778" s="101">
        <v>149367.78</v>
      </c>
      <c r="I778" s="101">
        <v>25416.653000000002</v>
      </c>
      <c r="J778" s="101">
        <v>871</v>
      </c>
      <c r="K778" s="101">
        <v>3053</v>
      </c>
      <c r="L778" s="101">
        <v>3736</v>
      </c>
      <c r="M778" s="101">
        <v>68245</v>
      </c>
      <c r="N778" s="101">
        <v>10931</v>
      </c>
      <c r="O778" s="101">
        <v>1187</v>
      </c>
      <c r="P778" s="101">
        <v>1904</v>
      </c>
      <c r="Q778" s="101">
        <v>3313</v>
      </c>
      <c r="R778" s="101">
        <v>109142.96</v>
      </c>
      <c r="S778" s="101">
        <v>28275.843000000001</v>
      </c>
      <c r="T778" s="169">
        <v>1.02</v>
      </c>
      <c r="U778" s="101">
        <v>1860</v>
      </c>
      <c r="V778" s="101">
        <v>3761</v>
      </c>
      <c r="W778" s="101">
        <v>5467</v>
      </c>
      <c r="X778" s="101">
        <f t="shared" si="67"/>
        <v>111325.81920000001</v>
      </c>
      <c r="Y778" s="101">
        <v>30000</v>
      </c>
    </row>
    <row r="779" spans="1:25" ht="11.25" hidden="1" customHeight="1" x14ac:dyDescent="0.3">
      <c r="A779" s="126" t="s">
        <v>184</v>
      </c>
      <c r="B779" s="126">
        <v>33</v>
      </c>
      <c r="C779" s="126">
        <v>18</v>
      </c>
      <c r="D779" s="126" t="str">
        <f t="shared" si="66"/>
        <v>3318</v>
      </c>
      <c r="E779" s="101">
        <v>261</v>
      </c>
      <c r="F779" s="101">
        <v>358</v>
      </c>
      <c r="G779" s="101">
        <v>486</v>
      </c>
      <c r="H779" s="101">
        <v>18234.68</v>
      </c>
      <c r="I779" s="101">
        <v>2814.8119999999999</v>
      </c>
      <c r="J779" s="101">
        <v>2085</v>
      </c>
      <c r="K779" s="101">
        <v>2218</v>
      </c>
      <c r="L779" s="101">
        <v>2506</v>
      </c>
      <c r="M779" s="101">
        <v>116537</v>
      </c>
      <c r="N779" s="101">
        <v>25333</v>
      </c>
      <c r="O779" s="101">
        <v>1653</v>
      </c>
      <c r="P779" s="101">
        <v>1910</v>
      </c>
      <c r="Q779" s="101">
        <v>6469</v>
      </c>
      <c r="R779" s="101">
        <v>96498.75</v>
      </c>
      <c r="S779" s="101">
        <v>201433.845</v>
      </c>
      <c r="T779" s="169">
        <v>0.8</v>
      </c>
      <c r="U779" s="101">
        <f t="shared" si="68"/>
        <v>1322.4</v>
      </c>
      <c r="V779" s="101">
        <f t="shared" si="69"/>
        <v>1528</v>
      </c>
      <c r="W779" s="101">
        <f t="shared" si="70"/>
        <v>5175.2000000000007</v>
      </c>
      <c r="X779" s="101">
        <f t="shared" si="67"/>
        <v>77199</v>
      </c>
      <c r="Y779" s="101">
        <f t="shared" si="71"/>
        <v>161147.076</v>
      </c>
    </row>
    <row r="780" spans="1:25" ht="11.25" hidden="1" customHeight="1" x14ac:dyDescent="0.3">
      <c r="A780" s="126" t="s">
        <v>184</v>
      </c>
      <c r="B780" s="126">
        <v>33</v>
      </c>
      <c r="C780" s="126">
        <v>28</v>
      </c>
      <c r="D780" s="126" t="str">
        <f t="shared" si="66"/>
        <v>3328</v>
      </c>
      <c r="E780" s="101">
        <v>291</v>
      </c>
      <c r="F780" s="101">
        <v>2616</v>
      </c>
      <c r="G780" s="101">
        <v>26884</v>
      </c>
      <c r="H780" s="101">
        <v>708601.03</v>
      </c>
      <c r="I780" s="101">
        <v>144586.49800000002</v>
      </c>
      <c r="J780" s="101">
        <v>235</v>
      </c>
      <c r="K780" s="101">
        <v>4214</v>
      </c>
      <c r="L780" s="101">
        <v>28956</v>
      </c>
      <c r="M780" s="101">
        <v>482799</v>
      </c>
      <c r="N780" s="101">
        <v>110119</v>
      </c>
      <c r="O780" s="101">
        <v>214</v>
      </c>
      <c r="P780" s="101">
        <v>2065</v>
      </c>
      <c r="Q780" s="101">
        <v>9021</v>
      </c>
      <c r="R780" s="101">
        <v>191570.63</v>
      </c>
      <c r="S780" s="101">
        <v>46171.724999999999</v>
      </c>
      <c r="T780" s="169">
        <v>1.02</v>
      </c>
      <c r="U780" s="101">
        <f t="shared" si="68"/>
        <v>218.28</v>
      </c>
      <c r="V780" s="101">
        <f t="shared" si="69"/>
        <v>2106.3000000000002</v>
      </c>
      <c r="W780" s="101">
        <f t="shared" si="70"/>
        <v>9201.42</v>
      </c>
      <c r="X780" s="101">
        <f t="shared" si="67"/>
        <v>195402.04260000002</v>
      </c>
      <c r="Y780" s="101">
        <f t="shared" si="71"/>
        <v>47095.159500000002</v>
      </c>
    </row>
    <row r="781" spans="1:25" ht="11.25" hidden="1" customHeight="1" x14ac:dyDescent="0.3">
      <c r="A781" s="126" t="s">
        <v>184</v>
      </c>
      <c r="B781" s="126">
        <v>33</v>
      </c>
      <c r="C781" s="126">
        <v>46</v>
      </c>
      <c r="D781" s="126" t="str">
        <f t="shared" si="66"/>
        <v>3346</v>
      </c>
      <c r="E781" s="101">
        <v>405</v>
      </c>
      <c r="F781" s="101">
        <v>1183</v>
      </c>
      <c r="G781" s="101">
        <v>16098</v>
      </c>
      <c r="H781" s="101">
        <v>184689.81</v>
      </c>
      <c r="I781" s="101">
        <v>79955.540000000008</v>
      </c>
      <c r="J781" s="101">
        <v>194</v>
      </c>
      <c r="K781" s="101">
        <v>414</v>
      </c>
      <c r="L781" s="101">
        <v>32566</v>
      </c>
      <c r="M781" s="101">
        <v>339355</v>
      </c>
      <c r="N781" s="101">
        <v>117711</v>
      </c>
      <c r="O781" s="101">
        <v>111</v>
      </c>
      <c r="P781" s="101">
        <v>284</v>
      </c>
      <c r="Q781" s="101">
        <v>10742</v>
      </c>
      <c r="R781" s="101">
        <v>283228.49</v>
      </c>
      <c r="S781" s="101">
        <v>80545.868000000002</v>
      </c>
      <c r="T781" s="169">
        <v>1.02</v>
      </c>
      <c r="U781" s="101">
        <f t="shared" si="68"/>
        <v>113.22</v>
      </c>
      <c r="V781" s="101">
        <f t="shared" si="69"/>
        <v>289.68</v>
      </c>
      <c r="W781" s="101">
        <f t="shared" si="70"/>
        <v>10956.84</v>
      </c>
      <c r="X781" s="101">
        <f t="shared" si="67"/>
        <v>288893.05979999999</v>
      </c>
      <c r="Y781" s="101">
        <f t="shared" si="71"/>
        <v>82156.785360000009</v>
      </c>
    </row>
    <row r="782" spans="1:25" ht="11.25" hidden="1" customHeight="1" x14ac:dyDescent="0.3">
      <c r="A782" s="126" t="s">
        <v>184</v>
      </c>
      <c r="B782" s="126">
        <v>33</v>
      </c>
      <c r="C782" s="126">
        <v>47</v>
      </c>
      <c r="D782" s="126" t="str">
        <f t="shared" si="66"/>
        <v>3347</v>
      </c>
      <c r="E782" s="101">
        <v>1</v>
      </c>
      <c r="F782" s="101">
        <v>1</v>
      </c>
      <c r="G782" s="101">
        <v>1</v>
      </c>
      <c r="H782" s="101">
        <v>5.95</v>
      </c>
      <c r="I782" s="101">
        <v>0.61399999999999999</v>
      </c>
      <c r="J782" s="101">
        <v>0</v>
      </c>
      <c r="K782" s="101">
        <v>0</v>
      </c>
      <c r="L782" s="101">
        <v>0</v>
      </c>
      <c r="M782" s="101">
        <v>0</v>
      </c>
      <c r="N782" s="101">
        <v>0</v>
      </c>
      <c r="O782" s="101">
        <v>3</v>
      </c>
      <c r="P782" s="101">
        <v>5</v>
      </c>
      <c r="Q782" s="101">
        <v>204</v>
      </c>
      <c r="R782" s="101">
        <v>2742.24</v>
      </c>
      <c r="S782" s="101">
        <v>989.06200000000001</v>
      </c>
      <c r="T782" s="169">
        <v>1.02</v>
      </c>
      <c r="U782" s="101">
        <f t="shared" si="68"/>
        <v>3.06</v>
      </c>
      <c r="V782" s="101">
        <f t="shared" si="69"/>
        <v>5.0999999999999996</v>
      </c>
      <c r="W782" s="101">
        <f t="shared" si="70"/>
        <v>208.08</v>
      </c>
      <c r="X782" s="101">
        <f t="shared" si="67"/>
        <v>2797.0847999999996</v>
      </c>
      <c r="Y782" s="101">
        <f t="shared" si="71"/>
        <v>1008.84324</v>
      </c>
    </row>
    <row r="783" spans="1:25" ht="11.25" hidden="1" customHeight="1" x14ac:dyDescent="0.3">
      <c r="A783" s="126" t="s">
        <v>184</v>
      </c>
      <c r="B783" s="126">
        <v>33</v>
      </c>
      <c r="C783" s="126">
        <v>66</v>
      </c>
      <c r="D783" s="126" t="str">
        <f t="shared" si="66"/>
        <v>3366</v>
      </c>
      <c r="E783" s="101">
        <v>388</v>
      </c>
      <c r="F783" s="101">
        <v>1773</v>
      </c>
      <c r="G783" s="101">
        <v>25955</v>
      </c>
      <c r="H783" s="101">
        <v>208804.68000000002</v>
      </c>
      <c r="I783" s="101">
        <v>108322.826</v>
      </c>
      <c r="J783" s="101">
        <v>219</v>
      </c>
      <c r="K783" s="101">
        <v>1442</v>
      </c>
      <c r="L783" s="101">
        <v>30860</v>
      </c>
      <c r="M783" s="101">
        <v>214157</v>
      </c>
      <c r="N783" s="101">
        <v>137285</v>
      </c>
      <c r="O783" s="101">
        <v>164</v>
      </c>
      <c r="P783" s="101">
        <v>1749</v>
      </c>
      <c r="Q783" s="101">
        <v>28716</v>
      </c>
      <c r="R783" s="101">
        <v>179113.46</v>
      </c>
      <c r="S783" s="101">
        <v>84959.474000000002</v>
      </c>
      <c r="T783" s="169">
        <v>1.02</v>
      </c>
      <c r="U783" s="101">
        <f t="shared" si="68"/>
        <v>167.28</v>
      </c>
      <c r="V783" s="101">
        <f t="shared" si="69"/>
        <v>1783.98</v>
      </c>
      <c r="W783" s="101">
        <f t="shared" si="70"/>
        <v>29290.32</v>
      </c>
      <c r="X783" s="101">
        <f t="shared" si="67"/>
        <v>182695.7292</v>
      </c>
      <c r="Y783" s="101">
        <f t="shared" si="71"/>
        <v>86658.663480000003</v>
      </c>
    </row>
    <row r="784" spans="1:25" ht="11.25" hidden="1" customHeight="1" x14ac:dyDescent="0.3">
      <c r="A784" s="126" t="s">
        <v>184</v>
      </c>
      <c r="B784" s="126">
        <v>33</v>
      </c>
      <c r="C784" s="126">
        <v>30</v>
      </c>
      <c r="D784" s="126" t="str">
        <f t="shared" si="66"/>
        <v>3330</v>
      </c>
      <c r="E784" s="101">
        <v>287.5</v>
      </c>
      <c r="F784" s="101">
        <v>4942.5</v>
      </c>
      <c r="G784" s="101">
        <v>22157.5</v>
      </c>
      <c r="H784" s="101">
        <v>516751.74500000005</v>
      </c>
      <c r="I784" s="101">
        <v>188375.78099999999</v>
      </c>
      <c r="J784" s="101">
        <v>0</v>
      </c>
      <c r="K784" s="101">
        <v>0</v>
      </c>
      <c r="L784" s="101">
        <v>0</v>
      </c>
      <c r="M784" s="101">
        <v>0</v>
      </c>
      <c r="N784" s="101">
        <v>0</v>
      </c>
      <c r="O784" s="101">
        <v>71</v>
      </c>
      <c r="P784" s="101">
        <v>75</v>
      </c>
      <c r="Q784" s="101">
        <v>392</v>
      </c>
      <c r="R784" s="101">
        <v>44297.64</v>
      </c>
      <c r="S784" s="101">
        <v>30177.373</v>
      </c>
      <c r="T784" s="169">
        <v>1.02</v>
      </c>
      <c r="U784" s="101">
        <f t="shared" si="68"/>
        <v>72.42</v>
      </c>
      <c r="V784" s="101">
        <f t="shared" si="69"/>
        <v>76.5</v>
      </c>
      <c r="W784" s="101">
        <f t="shared" si="70"/>
        <v>399.84000000000003</v>
      </c>
      <c r="X784" s="101">
        <f t="shared" si="67"/>
        <v>45183.592799999999</v>
      </c>
      <c r="Y784" s="101">
        <f t="shared" si="71"/>
        <v>30780.920460000001</v>
      </c>
    </row>
    <row r="785" spans="1:25" ht="11.25" hidden="1" customHeight="1" x14ac:dyDescent="0.3">
      <c r="A785" s="126" t="s">
        <v>184</v>
      </c>
      <c r="B785" s="126">
        <v>33</v>
      </c>
      <c r="C785" s="126">
        <v>21</v>
      </c>
      <c r="D785" s="126" t="str">
        <f t="shared" si="66"/>
        <v>3321</v>
      </c>
      <c r="E785" s="101">
        <v>801.5</v>
      </c>
      <c r="F785" s="101">
        <v>5406</v>
      </c>
      <c r="G785" s="101">
        <v>23611.5</v>
      </c>
      <c r="H785" s="101">
        <v>381212.4</v>
      </c>
      <c r="I785" s="101">
        <v>95359.756499999989</v>
      </c>
      <c r="J785" s="101">
        <v>897</v>
      </c>
      <c r="K785" s="101">
        <v>7412</v>
      </c>
      <c r="L785" s="101">
        <v>42397</v>
      </c>
      <c r="M785" s="101">
        <v>498195.45999999996</v>
      </c>
      <c r="N785" s="101">
        <v>177313.62400000001</v>
      </c>
      <c r="O785" s="101">
        <v>1068</v>
      </c>
      <c r="P785" s="101">
        <v>11222</v>
      </c>
      <c r="Q785" s="101">
        <v>49612</v>
      </c>
      <c r="R785" s="101">
        <v>890082.62</v>
      </c>
      <c r="S785" s="101">
        <v>267901.33799999999</v>
      </c>
      <c r="T785" s="169">
        <v>1.02</v>
      </c>
      <c r="U785" s="101">
        <f>O785*T785-8</f>
        <v>1081.3600000000001</v>
      </c>
      <c r="V785" s="101">
        <f>P785*T785-47</f>
        <v>11399.44</v>
      </c>
      <c r="W785" s="101">
        <f>Q785*T785-4230</f>
        <v>46374.239999999998</v>
      </c>
      <c r="X785" s="101">
        <f>R785*T785-26384</f>
        <v>881500.27240000002</v>
      </c>
      <c r="Y785" s="101">
        <f>S785*T785-14719</f>
        <v>258540.36475999997</v>
      </c>
    </row>
    <row r="786" spans="1:25" ht="11.25" hidden="1" customHeight="1" x14ac:dyDescent="0.3">
      <c r="A786" s="126" t="s">
        <v>184</v>
      </c>
      <c r="B786" s="126">
        <v>33</v>
      </c>
      <c r="C786" s="126">
        <v>71</v>
      </c>
      <c r="D786" s="126" t="str">
        <f t="shared" si="66"/>
        <v>3371</v>
      </c>
      <c r="E786" s="101">
        <v>555</v>
      </c>
      <c r="F786" s="101">
        <v>4256</v>
      </c>
      <c r="G786" s="101">
        <v>18664.5</v>
      </c>
      <c r="H786" s="101">
        <v>98747.31</v>
      </c>
      <c r="I786" s="101">
        <v>50816.758000000002</v>
      </c>
      <c r="J786" s="101">
        <v>416</v>
      </c>
      <c r="K786" s="101">
        <v>4452</v>
      </c>
      <c r="L786" s="101">
        <v>9892</v>
      </c>
      <c r="M786" s="101">
        <v>77689</v>
      </c>
      <c r="N786" s="101">
        <v>44634</v>
      </c>
      <c r="O786" s="101">
        <v>292</v>
      </c>
      <c r="P786" s="101">
        <v>4648</v>
      </c>
      <c r="Q786" s="101">
        <v>18908</v>
      </c>
      <c r="R786" s="101">
        <v>126236.3</v>
      </c>
      <c r="S786" s="101">
        <v>72578.027000000002</v>
      </c>
      <c r="T786" s="169">
        <v>0.98</v>
      </c>
      <c r="U786" s="101">
        <f t="shared" si="68"/>
        <v>286.15999999999997</v>
      </c>
      <c r="V786" s="101">
        <f t="shared" si="69"/>
        <v>4555.04</v>
      </c>
      <c r="W786" s="101">
        <f t="shared" si="70"/>
        <v>18529.84</v>
      </c>
      <c r="X786" s="101">
        <f t="shared" si="67"/>
        <v>123711.57400000001</v>
      </c>
      <c r="Y786" s="101">
        <f t="shared" si="71"/>
        <v>71126.466459999996</v>
      </c>
    </row>
    <row r="787" spans="1:25" ht="11.25" hidden="1" customHeight="1" x14ac:dyDescent="0.3">
      <c r="A787" s="126" t="s">
        <v>184</v>
      </c>
      <c r="B787" s="126">
        <v>33</v>
      </c>
      <c r="C787" s="126">
        <v>25</v>
      </c>
      <c r="D787" s="126" t="str">
        <f t="shared" si="66"/>
        <v>3325</v>
      </c>
      <c r="E787" s="101">
        <v>1173</v>
      </c>
      <c r="F787" s="101">
        <v>11833</v>
      </c>
      <c r="G787" s="101">
        <v>49753</v>
      </c>
      <c r="H787" s="101">
        <v>635845.02999999991</v>
      </c>
      <c r="I787" s="101">
        <v>273814.103</v>
      </c>
      <c r="J787" s="101">
        <v>619</v>
      </c>
      <c r="K787" s="101">
        <v>7792</v>
      </c>
      <c r="L787" s="101">
        <v>27122</v>
      </c>
      <c r="M787" s="101">
        <v>459088</v>
      </c>
      <c r="N787" s="101">
        <v>172903</v>
      </c>
      <c r="O787" s="101">
        <v>431</v>
      </c>
      <c r="P787" s="101">
        <v>3292</v>
      </c>
      <c r="Q787" s="101">
        <v>29072</v>
      </c>
      <c r="R787" s="101">
        <v>253225.04</v>
      </c>
      <c r="S787" s="101">
        <v>169337.476</v>
      </c>
      <c r="T787" s="169">
        <v>1.02</v>
      </c>
      <c r="U787" s="101">
        <f t="shared" si="68"/>
        <v>439.62</v>
      </c>
      <c r="V787" s="101">
        <f t="shared" si="69"/>
        <v>3357.84</v>
      </c>
      <c r="W787" s="101">
        <f t="shared" si="70"/>
        <v>29653.440000000002</v>
      </c>
      <c r="X787" s="101">
        <f t="shared" si="67"/>
        <v>258289.54080000002</v>
      </c>
      <c r="Y787" s="101">
        <f t="shared" si="71"/>
        <v>172724.22552000001</v>
      </c>
    </row>
    <row r="788" spans="1:25" ht="11.25" hidden="1" customHeight="1" x14ac:dyDescent="0.3">
      <c r="A788" s="126" t="s">
        <v>184</v>
      </c>
      <c r="B788" s="126">
        <v>33</v>
      </c>
      <c r="C788" s="126">
        <v>22</v>
      </c>
      <c r="D788" s="126" t="str">
        <f t="shared" si="66"/>
        <v>3322</v>
      </c>
      <c r="J788" s="101">
        <v>17</v>
      </c>
      <c r="K788" s="101">
        <v>68</v>
      </c>
      <c r="L788" s="101">
        <v>488</v>
      </c>
      <c r="M788" s="101">
        <v>7333</v>
      </c>
      <c r="N788" s="101">
        <v>3026</v>
      </c>
      <c r="O788" s="101">
        <v>7</v>
      </c>
      <c r="P788" s="101">
        <v>7</v>
      </c>
      <c r="Q788" s="101">
        <v>93</v>
      </c>
      <c r="R788" s="101">
        <v>1785.28</v>
      </c>
      <c r="S788" s="101">
        <v>703.07299999999998</v>
      </c>
      <c r="T788" s="169">
        <v>1.02</v>
      </c>
      <c r="U788" s="101">
        <f t="shared" si="68"/>
        <v>7.1400000000000006</v>
      </c>
      <c r="V788" s="101">
        <f t="shared" si="69"/>
        <v>7.1400000000000006</v>
      </c>
      <c r="W788" s="101">
        <f t="shared" si="70"/>
        <v>94.86</v>
      </c>
      <c r="X788" s="101">
        <f t="shared" si="67"/>
        <v>1820.9856</v>
      </c>
      <c r="Y788" s="101">
        <f t="shared" si="71"/>
        <v>717.13445999999999</v>
      </c>
    </row>
    <row r="789" spans="1:25" ht="11.25" hidden="1" customHeight="1" x14ac:dyDescent="0.3">
      <c r="A789" s="126" t="s">
        <v>184</v>
      </c>
      <c r="B789" s="126">
        <v>33</v>
      </c>
      <c r="C789" s="126">
        <v>26</v>
      </c>
      <c r="D789" s="126" t="str">
        <f t="shared" si="66"/>
        <v>3326</v>
      </c>
      <c r="J789" s="101">
        <v>5</v>
      </c>
      <c r="K789" s="101">
        <v>12</v>
      </c>
      <c r="L789" s="101">
        <v>65</v>
      </c>
      <c r="M789" s="101">
        <v>1323</v>
      </c>
      <c r="N789" s="101">
        <v>465</v>
      </c>
      <c r="O789" s="101">
        <v>0</v>
      </c>
      <c r="P789" s="101">
        <v>0</v>
      </c>
      <c r="Q789" s="101">
        <v>0</v>
      </c>
      <c r="R789" s="101">
        <v>0</v>
      </c>
      <c r="S789" s="101">
        <v>0</v>
      </c>
      <c r="T789" s="169">
        <v>1.02</v>
      </c>
      <c r="U789" s="101">
        <f t="shared" si="68"/>
        <v>0</v>
      </c>
      <c r="V789" s="101">
        <f t="shared" si="69"/>
        <v>0</v>
      </c>
      <c r="W789" s="101">
        <f t="shared" si="70"/>
        <v>0</v>
      </c>
      <c r="X789" s="101">
        <f t="shared" si="67"/>
        <v>0</v>
      </c>
      <c r="Y789" s="101">
        <f t="shared" si="71"/>
        <v>0</v>
      </c>
    </row>
    <row r="790" spans="1:25" ht="11.25" hidden="1" customHeight="1" x14ac:dyDescent="0.3">
      <c r="A790" s="126" t="s">
        <v>184</v>
      </c>
      <c r="B790" s="126">
        <v>33</v>
      </c>
      <c r="C790" s="126">
        <v>32</v>
      </c>
      <c r="D790" s="126" t="str">
        <f t="shared" si="66"/>
        <v>3332</v>
      </c>
      <c r="J790" s="101">
        <v>27</v>
      </c>
      <c r="K790" s="101">
        <v>29</v>
      </c>
      <c r="L790" s="101">
        <v>512</v>
      </c>
      <c r="M790" s="101">
        <v>289</v>
      </c>
      <c r="N790" s="101">
        <v>1712</v>
      </c>
      <c r="O790" s="101">
        <v>26</v>
      </c>
      <c r="P790" s="101">
        <v>64</v>
      </c>
      <c r="Q790" s="101">
        <v>3134</v>
      </c>
      <c r="R790" s="101">
        <v>14948.57</v>
      </c>
      <c r="S790" s="101">
        <v>75934.929000000004</v>
      </c>
      <c r="T790" s="169">
        <v>1.02</v>
      </c>
      <c r="U790" s="101">
        <f t="shared" si="68"/>
        <v>26.52</v>
      </c>
      <c r="V790" s="101">
        <f t="shared" si="69"/>
        <v>65.28</v>
      </c>
      <c r="W790" s="101">
        <f t="shared" si="70"/>
        <v>3196.68</v>
      </c>
      <c r="X790" s="101">
        <f t="shared" si="67"/>
        <v>15247.5414</v>
      </c>
      <c r="Y790" s="101">
        <f t="shared" si="71"/>
        <v>77453.62758</v>
      </c>
    </row>
    <row r="791" spans="1:25" ht="11.25" hidden="1" customHeight="1" x14ac:dyDescent="0.3">
      <c r="A791" s="126" t="s">
        <v>184</v>
      </c>
      <c r="B791" s="126">
        <v>33</v>
      </c>
      <c r="C791" s="126">
        <v>43</v>
      </c>
      <c r="D791" s="126" t="str">
        <f t="shared" si="66"/>
        <v>3343</v>
      </c>
      <c r="J791" s="101">
        <v>0</v>
      </c>
      <c r="K791" s="101">
        <v>0</v>
      </c>
      <c r="L791" s="101">
        <v>0</v>
      </c>
      <c r="M791" s="101">
        <v>0</v>
      </c>
      <c r="N791" s="101">
        <v>0</v>
      </c>
      <c r="O791" s="101">
        <v>0</v>
      </c>
      <c r="P791" s="101">
        <v>0</v>
      </c>
      <c r="Q791" s="101">
        <v>0</v>
      </c>
      <c r="R791" s="101">
        <v>0</v>
      </c>
      <c r="S791" s="101">
        <v>0</v>
      </c>
      <c r="T791" s="169">
        <v>1.02</v>
      </c>
      <c r="U791" s="101">
        <f t="shared" si="68"/>
        <v>0</v>
      </c>
      <c r="V791" s="101">
        <f t="shared" si="69"/>
        <v>0</v>
      </c>
      <c r="W791" s="101">
        <f t="shared" si="70"/>
        <v>0</v>
      </c>
      <c r="X791" s="101">
        <f t="shared" si="67"/>
        <v>0</v>
      </c>
      <c r="Y791" s="101">
        <f t="shared" si="71"/>
        <v>0</v>
      </c>
    </row>
    <row r="792" spans="1:25" ht="11.25" hidden="1" customHeight="1" x14ac:dyDescent="0.3">
      <c r="A792" s="126" t="s">
        <v>184</v>
      </c>
      <c r="B792" s="126">
        <v>33</v>
      </c>
      <c r="C792" s="126">
        <v>44</v>
      </c>
      <c r="D792" s="126" t="str">
        <f t="shared" si="66"/>
        <v>3344</v>
      </c>
      <c r="J792" s="101">
        <v>0</v>
      </c>
      <c r="K792" s="101">
        <v>0</v>
      </c>
      <c r="L792" s="101">
        <v>0</v>
      </c>
      <c r="M792" s="101">
        <v>0</v>
      </c>
      <c r="N792" s="101">
        <v>0</v>
      </c>
      <c r="O792" s="101">
        <v>0</v>
      </c>
      <c r="P792" s="101">
        <v>0</v>
      </c>
      <c r="Q792" s="101">
        <v>0</v>
      </c>
      <c r="R792" s="101">
        <v>0</v>
      </c>
      <c r="S792" s="101">
        <v>0</v>
      </c>
      <c r="T792" s="169">
        <v>1.02</v>
      </c>
      <c r="U792" s="101">
        <f t="shared" si="68"/>
        <v>0</v>
      </c>
      <c r="V792" s="101">
        <f t="shared" si="69"/>
        <v>0</v>
      </c>
      <c r="W792" s="101">
        <f t="shared" si="70"/>
        <v>0</v>
      </c>
      <c r="X792" s="101">
        <f t="shared" si="67"/>
        <v>0</v>
      </c>
      <c r="Y792" s="101">
        <f t="shared" si="71"/>
        <v>0</v>
      </c>
    </row>
    <row r="793" spans="1:25" ht="11.25" hidden="1" customHeight="1" x14ac:dyDescent="0.3">
      <c r="A793" s="126" t="s">
        <v>184</v>
      </c>
      <c r="B793" s="126">
        <v>33</v>
      </c>
      <c r="C793" s="126">
        <v>45</v>
      </c>
      <c r="D793" s="126" t="str">
        <f t="shared" si="66"/>
        <v>3345</v>
      </c>
      <c r="J793" s="101">
        <v>0</v>
      </c>
      <c r="K793" s="101">
        <v>0</v>
      </c>
      <c r="L793" s="101">
        <v>0</v>
      </c>
      <c r="M793" s="101">
        <v>0</v>
      </c>
      <c r="N793" s="101">
        <v>0</v>
      </c>
      <c r="O793" s="101">
        <v>0</v>
      </c>
      <c r="P793" s="101">
        <v>0</v>
      </c>
      <c r="Q793" s="101">
        <v>0</v>
      </c>
      <c r="R793" s="101">
        <v>0</v>
      </c>
      <c r="S793" s="101">
        <v>0</v>
      </c>
      <c r="T793" s="169">
        <v>1.02</v>
      </c>
      <c r="U793" s="101">
        <f t="shared" si="68"/>
        <v>0</v>
      </c>
      <c r="V793" s="101">
        <f t="shared" si="69"/>
        <v>0</v>
      </c>
      <c r="W793" s="101">
        <f t="shared" si="70"/>
        <v>0</v>
      </c>
      <c r="X793" s="101">
        <f t="shared" si="67"/>
        <v>0</v>
      </c>
      <c r="Y793" s="101">
        <f t="shared" si="71"/>
        <v>0</v>
      </c>
    </row>
    <row r="794" spans="1:25" ht="11.25" hidden="1" customHeight="1" x14ac:dyDescent="0.3">
      <c r="A794" s="126" t="s">
        <v>184</v>
      </c>
      <c r="B794" s="126">
        <v>33</v>
      </c>
      <c r="C794" s="126">
        <v>48</v>
      </c>
      <c r="D794" s="126" t="str">
        <f t="shared" si="66"/>
        <v>3348</v>
      </c>
      <c r="J794" s="101">
        <v>0</v>
      </c>
      <c r="K794" s="101">
        <v>0</v>
      </c>
      <c r="L794" s="101">
        <v>0</v>
      </c>
      <c r="M794" s="101">
        <v>0</v>
      </c>
      <c r="N794" s="101">
        <v>0</v>
      </c>
      <c r="O794" s="101">
        <v>0</v>
      </c>
      <c r="P794" s="101">
        <v>0</v>
      </c>
      <c r="Q794" s="101">
        <v>0</v>
      </c>
      <c r="R794" s="101">
        <v>0</v>
      </c>
      <c r="S794" s="101">
        <v>0</v>
      </c>
      <c r="T794" s="169">
        <v>1.02</v>
      </c>
      <c r="U794" s="101">
        <f t="shared" si="68"/>
        <v>0</v>
      </c>
      <c r="V794" s="101">
        <f t="shared" si="69"/>
        <v>0</v>
      </c>
      <c r="W794" s="101">
        <f t="shared" si="70"/>
        <v>0</v>
      </c>
      <c r="X794" s="101">
        <f t="shared" si="67"/>
        <v>0</v>
      </c>
      <c r="Y794" s="101">
        <f t="shared" si="71"/>
        <v>0</v>
      </c>
    </row>
    <row r="795" spans="1:25" ht="11.25" hidden="1" customHeight="1" x14ac:dyDescent="0.3">
      <c r="A795" s="126" t="s">
        <v>184</v>
      </c>
      <c r="B795" s="126">
        <v>33</v>
      </c>
      <c r="C795" s="126">
        <v>91</v>
      </c>
      <c r="D795" s="126" t="str">
        <f t="shared" si="66"/>
        <v>3391</v>
      </c>
      <c r="J795" s="101">
        <v>30</v>
      </c>
      <c r="K795" s="101">
        <v>154</v>
      </c>
      <c r="L795" s="101">
        <v>557</v>
      </c>
      <c r="M795" s="101">
        <v>3664</v>
      </c>
      <c r="N795" s="101">
        <v>2958</v>
      </c>
      <c r="O795" s="101">
        <v>40</v>
      </c>
      <c r="P795" s="101">
        <v>159</v>
      </c>
      <c r="Q795" s="101">
        <v>428</v>
      </c>
      <c r="R795" s="101">
        <v>4895.51</v>
      </c>
      <c r="S795" s="101">
        <v>2736.8510000000001</v>
      </c>
      <c r="T795" s="169">
        <v>1.02</v>
      </c>
      <c r="U795" s="101">
        <f t="shared" si="68"/>
        <v>40.799999999999997</v>
      </c>
      <c r="V795" s="101">
        <f t="shared" si="69"/>
        <v>162.18</v>
      </c>
      <c r="W795" s="101">
        <f t="shared" si="70"/>
        <v>436.56</v>
      </c>
      <c r="X795" s="101">
        <f t="shared" si="67"/>
        <v>4993.4202000000005</v>
      </c>
      <c r="Y795" s="101">
        <f t="shared" si="71"/>
        <v>2791.5880200000001</v>
      </c>
    </row>
    <row r="796" spans="1:25" ht="11.25" hidden="1" customHeight="1" x14ac:dyDescent="0.3">
      <c r="A796" s="126" t="s">
        <v>184</v>
      </c>
      <c r="B796" s="126">
        <v>33</v>
      </c>
      <c r="C796" s="126">
        <v>27</v>
      </c>
      <c r="D796" s="126" t="str">
        <f t="shared" si="66"/>
        <v>3327</v>
      </c>
      <c r="E796" s="101">
        <v>73</v>
      </c>
      <c r="F796" s="101">
        <v>780</v>
      </c>
      <c r="G796" s="101">
        <v>4560</v>
      </c>
      <c r="H796" s="101">
        <v>48117.560000000005</v>
      </c>
      <c r="I796" s="101">
        <v>17307.965000000004</v>
      </c>
      <c r="J796" s="101">
        <v>123</v>
      </c>
      <c r="K796" s="101">
        <v>2573</v>
      </c>
      <c r="L796" s="101">
        <v>11667</v>
      </c>
      <c r="M796" s="101">
        <v>127640</v>
      </c>
      <c r="N796" s="101">
        <v>48816</v>
      </c>
      <c r="O796" s="101">
        <v>84</v>
      </c>
      <c r="P796" s="101">
        <v>2031</v>
      </c>
      <c r="Q796" s="101">
        <v>13568</v>
      </c>
      <c r="R796" s="101">
        <v>103833.17</v>
      </c>
      <c r="S796" s="101">
        <v>42434.457999999999</v>
      </c>
      <c r="T796" s="169">
        <v>1.02</v>
      </c>
      <c r="U796" s="101">
        <f t="shared" si="68"/>
        <v>85.68</v>
      </c>
      <c r="V796" s="101">
        <f t="shared" si="69"/>
        <v>2071.62</v>
      </c>
      <c r="W796" s="101">
        <f t="shared" si="70"/>
        <v>13839.36</v>
      </c>
      <c r="X796" s="101">
        <f t="shared" si="67"/>
        <v>105909.8334</v>
      </c>
      <c r="Y796" s="101">
        <f t="shared" si="71"/>
        <v>43283.14716</v>
      </c>
    </row>
    <row r="797" spans="1:25" ht="11.25" customHeight="1" x14ac:dyDescent="0.3">
      <c r="A797" s="126" t="s">
        <v>184</v>
      </c>
      <c r="B797" s="126">
        <v>33</v>
      </c>
      <c r="C797" s="126" t="s">
        <v>172</v>
      </c>
      <c r="D797" s="126" t="str">
        <f t="shared" si="66"/>
        <v>33Uml</v>
      </c>
      <c r="J797" s="101">
        <v>164</v>
      </c>
      <c r="K797" s="101">
        <v>173</v>
      </c>
      <c r="L797" s="101">
        <v>58724</v>
      </c>
      <c r="N797" s="101">
        <v>316741</v>
      </c>
      <c r="O797" s="101">
        <v>197</v>
      </c>
      <c r="P797" s="101">
        <v>203</v>
      </c>
      <c r="Q797" s="101">
        <v>35010</v>
      </c>
      <c r="S797" s="101">
        <v>237852</v>
      </c>
      <c r="T797" s="169">
        <v>1.02</v>
      </c>
      <c r="U797" s="101">
        <f t="shared" si="68"/>
        <v>200.94</v>
      </c>
      <c r="V797" s="101">
        <f t="shared" si="69"/>
        <v>207.06</v>
      </c>
      <c r="W797" s="101">
        <f t="shared" si="70"/>
        <v>35710.199999999997</v>
      </c>
      <c r="X797" s="101">
        <f t="shared" si="67"/>
        <v>0</v>
      </c>
      <c r="Y797" s="101">
        <f t="shared" si="71"/>
        <v>242609.04</v>
      </c>
    </row>
    <row r="798" spans="1:25" ht="11.25" hidden="1" customHeight="1" x14ac:dyDescent="0.3">
      <c r="A798" s="126" t="s">
        <v>184</v>
      </c>
      <c r="B798" s="126">
        <v>33</v>
      </c>
      <c r="C798" s="126">
        <v>37</v>
      </c>
      <c r="D798" s="126" t="str">
        <f t="shared" si="66"/>
        <v>3337</v>
      </c>
      <c r="E798" s="101">
        <v>6.5</v>
      </c>
      <c r="F798" s="101">
        <v>16</v>
      </c>
      <c r="G798" s="101">
        <v>0</v>
      </c>
      <c r="H798" s="101">
        <v>5442.875</v>
      </c>
      <c r="I798" s="101">
        <v>7291.5437499999998</v>
      </c>
      <c r="J798" s="101">
        <v>19</v>
      </c>
      <c r="K798" s="101">
        <v>74</v>
      </c>
      <c r="L798" s="101">
        <v>1386</v>
      </c>
      <c r="M798" s="101">
        <v>8959</v>
      </c>
      <c r="N798" s="101">
        <v>3687</v>
      </c>
      <c r="O798" s="101">
        <v>38</v>
      </c>
      <c r="P798" s="101">
        <v>114</v>
      </c>
      <c r="Q798" s="101">
        <v>1823</v>
      </c>
      <c r="R798" s="101">
        <v>16766.060000000001</v>
      </c>
      <c r="S798" s="101">
        <v>9117.5139999999992</v>
      </c>
      <c r="T798" s="169">
        <v>1.02</v>
      </c>
      <c r="U798" s="101">
        <f t="shared" si="68"/>
        <v>38.76</v>
      </c>
      <c r="V798" s="101">
        <f t="shared" si="69"/>
        <v>116.28</v>
      </c>
      <c r="W798" s="101">
        <f t="shared" si="70"/>
        <v>1859.46</v>
      </c>
      <c r="X798" s="101">
        <f t="shared" si="67"/>
        <v>17101.381200000003</v>
      </c>
      <c r="Y798" s="101">
        <f t="shared" si="71"/>
        <v>9299.8642799999998</v>
      </c>
    </row>
    <row r="799" spans="1:25" ht="11.25" hidden="1" customHeight="1" x14ac:dyDescent="0.3">
      <c r="A799" s="126" t="s">
        <v>184</v>
      </c>
      <c r="B799" s="126">
        <v>34</v>
      </c>
      <c r="C799" s="126">
        <v>12</v>
      </c>
      <c r="D799" s="126" t="str">
        <f t="shared" si="66"/>
        <v>3412</v>
      </c>
      <c r="E799" s="101">
        <v>57</v>
      </c>
      <c r="F799" s="101">
        <v>73</v>
      </c>
      <c r="G799" s="101">
        <v>112</v>
      </c>
      <c r="H799" s="101">
        <v>1703.8600000000001</v>
      </c>
      <c r="I799" s="101">
        <v>604.65100000000007</v>
      </c>
      <c r="J799" s="101">
        <v>22</v>
      </c>
      <c r="K799" s="101">
        <v>42</v>
      </c>
      <c r="L799" s="101">
        <v>65</v>
      </c>
      <c r="M799" s="101">
        <v>1671.9199999999998</v>
      </c>
      <c r="N799" s="101">
        <v>327</v>
      </c>
      <c r="O799" s="101">
        <v>9</v>
      </c>
      <c r="P799" s="101">
        <v>15</v>
      </c>
      <c r="Q799" s="101">
        <v>17</v>
      </c>
      <c r="R799" s="101">
        <v>947.40999999999985</v>
      </c>
      <c r="S799" s="101">
        <v>179.614</v>
      </c>
      <c r="T799" s="169">
        <v>1.02</v>
      </c>
      <c r="U799" s="101">
        <f t="shared" si="68"/>
        <v>9.18</v>
      </c>
      <c r="V799" s="101">
        <f t="shared" si="69"/>
        <v>15.3</v>
      </c>
      <c r="W799" s="101">
        <f t="shared" si="70"/>
        <v>17.34</v>
      </c>
      <c r="X799" s="101">
        <f t="shared" si="67"/>
        <v>966.3581999999999</v>
      </c>
      <c r="Y799" s="101">
        <f t="shared" si="71"/>
        <v>183.20628000000002</v>
      </c>
    </row>
    <row r="800" spans="1:25" ht="11.25" hidden="1" customHeight="1" x14ac:dyDescent="0.3">
      <c r="A800" s="126" t="s">
        <v>184</v>
      </c>
      <c r="B800" s="126">
        <v>34</v>
      </c>
      <c r="C800" s="126">
        <v>17</v>
      </c>
      <c r="D800" s="126" t="str">
        <f t="shared" si="66"/>
        <v>3417</v>
      </c>
      <c r="E800" s="101">
        <v>2096</v>
      </c>
      <c r="F800" s="101">
        <v>2858</v>
      </c>
      <c r="G800" s="101">
        <v>3826</v>
      </c>
      <c r="H800" s="101">
        <v>141735.6</v>
      </c>
      <c r="I800" s="101">
        <v>25881.127</v>
      </c>
      <c r="J800" s="101">
        <v>889</v>
      </c>
      <c r="K800" s="101">
        <v>3034</v>
      </c>
      <c r="L800" s="101">
        <v>3716</v>
      </c>
      <c r="M800" s="101">
        <v>67675.649999999994</v>
      </c>
      <c r="N800" s="101">
        <v>10460.467999999999</v>
      </c>
      <c r="O800" s="101">
        <v>1091</v>
      </c>
      <c r="P800" s="101">
        <v>1791</v>
      </c>
      <c r="Q800" s="101">
        <v>2530</v>
      </c>
      <c r="R800" s="101">
        <v>87476.400000000009</v>
      </c>
      <c r="S800" s="101">
        <v>24695.67</v>
      </c>
      <c r="T800" s="169">
        <v>1.02</v>
      </c>
      <c r="U800" s="101">
        <v>1860</v>
      </c>
      <c r="V800" s="101">
        <v>3761</v>
      </c>
      <c r="W800" s="101">
        <v>5467</v>
      </c>
      <c r="X800" s="101">
        <f t="shared" si="67"/>
        <v>89225.928000000014</v>
      </c>
      <c r="Y800" s="101">
        <v>30000</v>
      </c>
    </row>
    <row r="801" spans="1:25" ht="11.25" hidden="1" customHeight="1" x14ac:dyDescent="0.3">
      <c r="A801" s="126" t="s">
        <v>184</v>
      </c>
      <c r="B801" s="126">
        <v>34</v>
      </c>
      <c r="C801" s="126">
        <v>18</v>
      </c>
      <c r="D801" s="126" t="str">
        <f t="shared" si="66"/>
        <v>3418</v>
      </c>
      <c r="E801" s="101">
        <v>268</v>
      </c>
      <c r="F801" s="101">
        <v>405</v>
      </c>
      <c r="G801" s="101">
        <v>575</v>
      </c>
      <c r="H801" s="101">
        <v>21683.3</v>
      </c>
      <c r="I801" s="101">
        <v>3245.3580000000002</v>
      </c>
      <c r="J801" s="101">
        <v>2225</v>
      </c>
      <c r="K801" s="101">
        <v>2403</v>
      </c>
      <c r="L801" s="101">
        <v>2708</v>
      </c>
      <c r="M801" s="101">
        <v>129164.10999999999</v>
      </c>
      <c r="N801" s="101">
        <v>26879.853999999999</v>
      </c>
      <c r="O801" s="101">
        <v>1148</v>
      </c>
      <c r="P801" s="101">
        <v>1284</v>
      </c>
      <c r="Q801" s="101">
        <v>2461</v>
      </c>
      <c r="R801" s="101">
        <v>67445.69</v>
      </c>
      <c r="S801" s="101">
        <v>57200.285999999993</v>
      </c>
      <c r="T801" s="169">
        <v>0.8</v>
      </c>
      <c r="U801" s="101">
        <f t="shared" si="68"/>
        <v>918.40000000000009</v>
      </c>
      <c r="V801" s="101">
        <f t="shared" si="69"/>
        <v>1027.2</v>
      </c>
      <c r="W801" s="101">
        <f t="shared" si="70"/>
        <v>1968.8000000000002</v>
      </c>
      <c r="X801" s="101">
        <f t="shared" si="67"/>
        <v>53956.552000000003</v>
      </c>
      <c r="Y801" s="101">
        <f t="shared" si="71"/>
        <v>45760.228799999997</v>
      </c>
    </row>
    <row r="802" spans="1:25" ht="11.25" hidden="1" customHeight="1" x14ac:dyDescent="0.3">
      <c r="A802" s="126" t="s">
        <v>184</v>
      </c>
      <c r="B802" s="126">
        <v>34</v>
      </c>
      <c r="C802" s="126">
        <v>28</v>
      </c>
      <c r="D802" s="126" t="str">
        <f t="shared" si="66"/>
        <v>3428</v>
      </c>
      <c r="E802" s="101">
        <v>303</v>
      </c>
      <c r="F802" s="101">
        <v>3038</v>
      </c>
      <c r="G802" s="101">
        <v>25566</v>
      </c>
      <c r="H802" s="101">
        <v>649394.93000000005</v>
      </c>
      <c r="I802" s="101">
        <v>156146.149</v>
      </c>
      <c r="J802" s="101">
        <v>220</v>
      </c>
      <c r="K802" s="101">
        <v>3475</v>
      </c>
      <c r="L802" s="101">
        <v>23218</v>
      </c>
      <c r="M802" s="101">
        <v>502807.41000000003</v>
      </c>
      <c r="N802" s="101">
        <v>146611.041</v>
      </c>
      <c r="O802" s="101">
        <v>282</v>
      </c>
      <c r="P802" s="101">
        <v>5608</v>
      </c>
      <c r="Q802" s="101">
        <v>35753</v>
      </c>
      <c r="R802" s="101">
        <v>881729.08</v>
      </c>
      <c r="S802" s="101">
        <v>238405.72899999999</v>
      </c>
      <c r="T802" s="169">
        <v>1.02</v>
      </c>
      <c r="U802" s="101">
        <f t="shared" si="68"/>
        <v>287.64</v>
      </c>
      <c r="V802" s="101">
        <f t="shared" si="69"/>
        <v>5720.16</v>
      </c>
      <c r="W802" s="101">
        <f t="shared" si="70"/>
        <v>36468.06</v>
      </c>
      <c r="X802" s="101">
        <f t="shared" si="67"/>
        <v>899363.66159999999</v>
      </c>
      <c r="Y802" s="101">
        <f t="shared" si="71"/>
        <v>243173.84357999999</v>
      </c>
    </row>
    <row r="803" spans="1:25" ht="11.25" hidden="1" customHeight="1" x14ac:dyDescent="0.3">
      <c r="A803" s="126" t="s">
        <v>184</v>
      </c>
      <c r="B803" s="126">
        <v>34</v>
      </c>
      <c r="C803" s="126">
        <v>46</v>
      </c>
      <c r="D803" s="126" t="str">
        <f t="shared" si="66"/>
        <v>3446</v>
      </c>
      <c r="E803" s="101">
        <v>323</v>
      </c>
      <c r="F803" s="101">
        <v>707</v>
      </c>
      <c r="G803" s="101">
        <v>28878</v>
      </c>
      <c r="H803" s="101">
        <v>274126.90000000002</v>
      </c>
      <c r="I803" s="101">
        <v>76684.106</v>
      </c>
      <c r="J803" s="101">
        <v>132</v>
      </c>
      <c r="K803" s="101">
        <v>246</v>
      </c>
      <c r="L803" s="101">
        <v>19373</v>
      </c>
      <c r="M803" s="101">
        <v>232920.76</v>
      </c>
      <c r="N803" s="101">
        <v>54184.438999999998</v>
      </c>
      <c r="O803" s="101">
        <v>125</v>
      </c>
      <c r="P803" s="101">
        <v>300</v>
      </c>
      <c r="Q803" s="101">
        <v>20727</v>
      </c>
      <c r="R803" s="101">
        <v>431690.91000000003</v>
      </c>
      <c r="S803" s="101">
        <v>223995.28099999999</v>
      </c>
      <c r="T803" s="169">
        <v>1.02</v>
      </c>
      <c r="U803" s="101">
        <f t="shared" si="68"/>
        <v>127.5</v>
      </c>
      <c r="V803" s="101">
        <f t="shared" si="69"/>
        <v>306</v>
      </c>
      <c r="W803" s="101">
        <f t="shared" si="70"/>
        <v>21141.54</v>
      </c>
      <c r="X803" s="101">
        <f t="shared" si="67"/>
        <v>440324.72820000001</v>
      </c>
      <c r="Y803" s="101">
        <f t="shared" si="71"/>
        <v>228475.18661999999</v>
      </c>
    </row>
    <row r="804" spans="1:25" ht="11.25" hidden="1" customHeight="1" x14ac:dyDescent="0.3">
      <c r="A804" s="126" t="s">
        <v>184</v>
      </c>
      <c r="B804" s="126">
        <v>34</v>
      </c>
      <c r="C804" s="126">
        <v>48</v>
      </c>
      <c r="D804" s="126" t="str">
        <f t="shared" si="66"/>
        <v>3448</v>
      </c>
      <c r="E804" s="101">
        <v>2</v>
      </c>
      <c r="F804" s="101">
        <v>2</v>
      </c>
      <c r="G804" s="101">
        <v>594</v>
      </c>
      <c r="H804" s="101">
        <v>1673.32</v>
      </c>
      <c r="I804" s="101">
        <v>316.06099999999998</v>
      </c>
      <c r="J804" s="101">
        <v>0</v>
      </c>
      <c r="K804" s="101">
        <v>0</v>
      </c>
      <c r="L804" s="101">
        <v>0</v>
      </c>
      <c r="M804" s="101">
        <v>0</v>
      </c>
      <c r="N804" s="101">
        <v>0</v>
      </c>
      <c r="O804" s="101">
        <v>0</v>
      </c>
      <c r="P804" s="101">
        <v>0</v>
      </c>
      <c r="Q804" s="101">
        <v>0</v>
      </c>
      <c r="R804" s="101">
        <v>0</v>
      </c>
      <c r="S804" s="101">
        <v>0</v>
      </c>
      <c r="T804" s="169">
        <v>1.02</v>
      </c>
      <c r="U804" s="101">
        <f t="shared" si="68"/>
        <v>0</v>
      </c>
      <c r="V804" s="101">
        <f t="shared" si="69"/>
        <v>0</v>
      </c>
      <c r="W804" s="101">
        <f t="shared" si="70"/>
        <v>0</v>
      </c>
      <c r="X804" s="101">
        <f t="shared" si="67"/>
        <v>0</v>
      </c>
      <c r="Y804" s="101">
        <f t="shared" si="71"/>
        <v>0</v>
      </c>
    </row>
    <row r="805" spans="1:25" ht="11.25" hidden="1" customHeight="1" x14ac:dyDescent="0.3">
      <c r="A805" s="126" t="s">
        <v>184</v>
      </c>
      <c r="B805" s="126">
        <v>34</v>
      </c>
      <c r="C805" s="126">
        <v>66</v>
      </c>
      <c r="D805" s="126" t="str">
        <f t="shared" si="66"/>
        <v>3466</v>
      </c>
      <c r="E805" s="101">
        <v>495</v>
      </c>
      <c r="F805" s="101">
        <v>1866</v>
      </c>
      <c r="G805" s="101">
        <v>47431</v>
      </c>
      <c r="H805" s="101">
        <v>218424.90000000002</v>
      </c>
      <c r="I805" s="101">
        <v>124833.777</v>
      </c>
      <c r="J805" s="101">
        <v>199</v>
      </c>
      <c r="K805" s="101">
        <v>1485</v>
      </c>
      <c r="L805" s="101">
        <v>39322</v>
      </c>
      <c r="M805" s="101">
        <v>209987.39</v>
      </c>
      <c r="N805" s="101">
        <v>115813.36500000002</v>
      </c>
      <c r="O805" s="101">
        <v>205</v>
      </c>
      <c r="P805" s="101">
        <v>1319</v>
      </c>
      <c r="Q805" s="101">
        <v>33077</v>
      </c>
      <c r="R805" s="101">
        <v>194302.75</v>
      </c>
      <c r="S805" s="101">
        <v>92982.120999999999</v>
      </c>
      <c r="T805" s="169">
        <v>1.02</v>
      </c>
      <c r="U805" s="101">
        <f t="shared" si="68"/>
        <v>209.1</v>
      </c>
      <c r="V805" s="101">
        <f t="shared" si="69"/>
        <v>1345.38</v>
      </c>
      <c r="W805" s="101">
        <f t="shared" si="70"/>
        <v>33738.54</v>
      </c>
      <c r="X805" s="101">
        <f t="shared" si="67"/>
        <v>198188.80499999999</v>
      </c>
      <c r="Y805" s="101">
        <f t="shared" si="71"/>
        <v>94841.763420000003</v>
      </c>
    </row>
    <row r="806" spans="1:25" ht="11.25" hidden="1" customHeight="1" x14ac:dyDescent="0.3">
      <c r="A806" s="126" t="s">
        <v>184</v>
      </c>
      <c r="B806" s="126">
        <v>34</v>
      </c>
      <c r="C806" s="126">
        <v>30</v>
      </c>
      <c r="D806" s="126" t="str">
        <f t="shared" si="66"/>
        <v>3430</v>
      </c>
      <c r="E806" s="101">
        <v>250</v>
      </c>
      <c r="F806" s="101">
        <v>3403</v>
      </c>
      <c r="G806" s="101">
        <v>14745</v>
      </c>
      <c r="H806" s="101">
        <v>438222.15500000003</v>
      </c>
      <c r="I806" s="101">
        <v>146297.40950000001</v>
      </c>
      <c r="J806" s="101">
        <v>0</v>
      </c>
      <c r="K806" s="101">
        <v>0</v>
      </c>
      <c r="L806" s="101">
        <v>0</v>
      </c>
      <c r="M806" s="101">
        <v>0</v>
      </c>
      <c r="N806" s="101">
        <v>0</v>
      </c>
      <c r="O806" s="101">
        <v>46</v>
      </c>
      <c r="P806" s="101">
        <v>48</v>
      </c>
      <c r="Q806" s="101">
        <v>490</v>
      </c>
      <c r="R806" s="101">
        <v>57065.98</v>
      </c>
      <c r="S806" s="101">
        <v>39339.258000000002</v>
      </c>
      <c r="T806" s="169">
        <v>1.02</v>
      </c>
      <c r="U806" s="101">
        <f t="shared" si="68"/>
        <v>46.92</v>
      </c>
      <c r="V806" s="101">
        <f t="shared" si="69"/>
        <v>48.96</v>
      </c>
      <c r="W806" s="101">
        <f t="shared" si="70"/>
        <v>499.8</v>
      </c>
      <c r="X806" s="101">
        <f t="shared" si="67"/>
        <v>58207.299600000006</v>
      </c>
      <c r="Y806" s="101">
        <f t="shared" si="71"/>
        <v>40126.043160000001</v>
      </c>
    </row>
    <row r="807" spans="1:25" ht="11.25" hidden="1" customHeight="1" x14ac:dyDescent="0.3">
      <c r="A807" s="126" t="s">
        <v>184</v>
      </c>
      <c r="B807" s="126">
        <v>34</v>
      </c>
      <c r="C807" s="126">
        <v>21</v>
      </c>
      <c r="D807" s="126" t="str">
        <f t="shared" si="66"/>
        <v>3421</v>
      </c>
      <c r="E807" s="101">
        <v>848.5</v>
      </c>
      <c r="F807" s="101">
        <v>4459.5</v>
      </c>
      <c r="G807" s="101">
        <v>66434.5</v>
      </c>
      <c r="H807" s="101">
        <v>319846.44499999995</v>
      </c>
      <c r="I807" s="101">
        <v>98225.042999999991</v>
      </c>
      <c r="J807" s="101">
        <v>1343</v>
      </c>
      <c r="K807" s="101">
        <v>9162</v>
      </c>
      <c r="L807" s="101">
        <v>42824</v>
      </c>
      <c r="M807" s="101">
        <v>570490.19999999995</v>
      </c>
      <c r="N807" s="101">
        <v>166739.47500000001</v>
      </c>
      <c r="O807" s="101">
        <v>725</v>
      </c>
      <c r="P807" s="101">
        <v>5774</v>
      </c>
      <c r="Q807" s="101">
        <v>28110</v>
      </c>
      <c r="R807" s="101">
        <v>483841.83</v>
      </c>
      <c r="S807" s="101">
        <v>149869.64799999999</v>
      </c>
      <c r="T807" s="169">
        <v>1.02</v>
      </c>
      <c r="U807" s="101">
        <f>O807*T807-3</f>
        <v>736.5</v>
      </c>
      <c r="V807" s="101">
        <f>P807*T807-19</f>
        <v>5870.4800000000005</v>
      </c>
      <c r="W807" s="101">
        <f>Q807*T807-2586</f>
        <v>26086.2</v>
      </c>
      <c r="X807" s="101">
        <f>R807*T807-18859</f>
        <v>474659.6666</v>
      </c>
      <c r="Y807" s="101">
        <f>S807*T807-9616</f>
        <v>143251.04095999998</v>
      </c>
    </row>
    <row r="808" spans="1:25" ht="11.25" hidden="1" customHeight="1" x14ac:dyDescent="0.3">
      <c r="A808" s="126" t="s">
        <v>184</v>
      </c>
      <c r="B808" s="126">
        <v>34</v>
      </c>
      <c r="C808" s="126">
        <v>71</v>
      </c>
      <c r="D808" s="126" t="str">
        <f t="shared" si="66"/>
        <v>3471</v>
      </c>
      <c r="E808" s="101">
        <v>569</v>
      </c>
      <c r="F808" s="101">
        <v>4582.5</v>
      </c>
      <c r="G808" s="101">
        <v>16606</v>
      </c>
      <c r="H808" s="101">
        <v>119958.51</v>
      </c>
      <c r="I808" s="101">
        <v>67170.712</v>
      </c>
      <c r="J808" s="101">
        <v>527</v>
      </c>
      <c r="K808" s="101">
        <v>4568</v>
      </c>
      <c r="L808" s="101">
        <v>13594</v>
      </c>
      <c r="M808" s="101">
        <v>105815.96999999999</v>
      </c>
      <c r="N808" s="101">
        <v>62101.971999999994</v>
      </c>
      <c r="O808" s="101">
        <v>480</v>
      </c>
      <c r="P808" s="101">
        <v>6447</v>
      </c>
      <c r="Q808" s="101">
        <v>28372</v>
      </c>
      <c r="R808" s="101">
        <v>200190.59</v>
      </c>
      <c r="S808" s="101">
        <v>142471.962</v>
      </c>
      <c r="T808" s="169">
        <v>0.98</v>
      </c>
      <c r="U808" s="101">
        <f t="shared" si="68"/>
        <v>470.4</v>
      </c>
      <c r="V808" s="101">
        <f t="shared" si="69"/>
        <v>6318.0599999999995</v>
      </c>
      <c r="W808" s="101">
        <f t="shared" si="70"/>
        <v>27804.560000000001</v>
      </c>
      <c r="X808" s="101">
        <f t="shared" si="67"/>
        <v>196186.7782</v>
      </c>
      <c r="Y808" s="101">
        <f t="shared" si="71"/>
        <v>139622.52275999999</v>
      </c>
    </row>
    <row r="809" spans="1:25" ht="11.25" hidden="1" customHeight="1" x14ac:dyDescent="0.3">
      <c r="A809" s="126" t="s">
        <v>184</v>
      </c>
      <c r="B809" s="126">
        <v>34</v>
      </c>
      <c r="C809" s="126">
        <v>25</v>
      </c>
      <c r="D809" s="126" t="str">
        <f t="shared" si="66"/>
        <v>3425</v>
      </c>
      <c r="E809" s="101">
        <v>1252</v>
      </c>
      <c r="F809" s="101">
        <v>7512</v>
      </c>
      <c r="G809" s="101">
        <v>44242</v>
      </c>
      <c r="H809" s="101">
        <v>521733.1700000001</v>
      </c>
      <c r="I809" s="101">
        <v>250498.848</v>
      </c>
      <c r="J809" s="101">
        <v>697</v>
      </c>
      <c r="K809" s="101">
        <v>7463</v>
      </c>
      <c r="L809" s="101">
        <v>36863</v>
      </c>
      <c r="M809" s="101">
        <v>519368.49000000005</v>
      </c>
      <c r="N809" s="101">
        <v>204956.96799999999</v>
      </c>
      <c r="O809" s="101">
        <v>644</v>
      </c>
      <c r="P809" s="101">
        <v>7085</v>
      </c>
      <c r="Q809" s="101">
        <v>52855</v>
      </c>
      <c r="R809" s="101">
        <v>578155.78999999992</v>
      </c>
      <c r="S809" s="101">
        <v>259556.88500000001</v>
      </c>
      <c r="T809" s="169">
        <v>1.02</v>
      </c>
      <c r="U809" s="101">
        <f t="shared" si="68"/>
        <v>656.88</v>
      </c>
      <c r="V809" s="101">
        <f t="shared" si="69"/>
        <v>7226.7</v>
      </c>
      <c r="W809" s="101">
        <f t="shared" si="70"/>
        <v>53912.1</v>
      </c>
      <c r="X809" s="101">
        <f t="shared" si="67"/>
        <v>589718.90579999995</v>
      </c>
      <c r="Y809" s="101">
        <f t="shared" si="71"/>
        <v>264748.02270000003</v>
      </c>
    </row>
    <row r="810" spans="1:25" ht="11.25" hidden="1" customHeight="1" x14ac:dyDescent="0.3">
      <c r="A810" s="126" t="s">
        <v>184</v>
      </c>
      <c r="B810" s="126">
        <v>34</v>
      </c>
      <c r="C810" s="126">
        <v>14</v>
      </c>
      <c r="D810" s="126" t="str">
        <f t="shared" si="66"/>
        <v>3414</v>
      </c>
      <c r="J810" s="101">
        <v>19</v>
      </c>
      <c r="K810" s="101">
        <v>38</v>
      </c>
      <c r="L810" s="101">
        <v>41</v>
      </c>
      <c r="M810" s="101">
        <v>4099.42</v>
      </c>
      <c r="N810" s="101">
        <v>662.94399999999996</v>
      </c>
      <c r="O810" s="101">
        <v>37</v>
      </c>
      <c r="P810" s="101">
        <v>54</v>
      </c>
      <c r="Q810" s="101">
        <v>77</v>
      </c>
      <c r="R810" s="101">
        <v>4524.93</v>
      </c>
      <c r="S810" s="101">
        <v>661.88900000000001</v>
      </c>
      <c r="T810" s="169">
        <v>1.02</v>
      </c>
      <c r="U810" s="101">
        <f t="shared" si="68"/>
        <v>37.74</v>
      </c>
      <c r="V810" s="101">
        <f t="shared" si="69"/>
        <v>55.08</v>
      </c>
      <c r="W810" s="101">
        <f t="shared" si="70"/>
        <v>78.540000000000006</v>
      </c>
      <c r="X810" s="101">
        <f t="shared" si="67"/>
        <v>4615.4286000000002</v>
      </c>
      <c r="Y810" s="101">
        <f t="shared" si="71"/>
        <v>675.12678000000005</v>
      </c>
    </row>
    <row r="811" spans="1:25" ht="11.25" hidden="1" customHeight="1" x14ac:dyDescent="0.3">
      <c r="A811" s="126" t="s">
        <v>184</v>
      </c>
      <c r="B811" s="126">
        <v>34</v>
      </c>
      <c r="C811" s="126">
        <v>22</v>
      </c>
      <c r="D811" s="126" t="str">
        <f t="shared" si="66"/>
        <v>3422</v>
      </c>
      <c r="J811" s="101">
        <v>21</v>
      </c>
      <c r="K811" s="101">
        <v>26</v>
      </c>
      <c r="L811" s="101">
        <v>146</v>
      </c>
      <c r="M811" s="101">
        <v>2632.76</v>
      </c>
      <c r="N811" s="101">
        <v>1952.74</v>
      </c>
      <c r="O811" s="101">
        <v>4</v>
      </c>
      <c r="P811" s="101">
        <v>7</v>
      </c>
      <c r="Q811" s="101">
        <v>306</v>
      </c>
      <c r="R811" s="101">
        <v>698.02</v>
      </c>
      <c r="S811" s="101">
        <v>795.1930000000001</v>
      </c>
      <c r="T811" s="169">
        <v>1.02</v>
      </c>
      <c r="U811" s="101">
        <f t="shared" si="68"/>
        <v>4.08</v>
      </c>
      <c r="V811" s="101">
        <f t="shared" si="69"/>
        <v>7.1400000000000006</v>
      </c>
      <c r="W811" s="101">
        <f t="shared" si="70"/>
        <v>312.12</v>
      </c>
      <c r="X811" s="101">
        <f t="shared" si="67"/>
        <v>711.98040000000003</v>
      </c>
      <c r="Y811" s="101">
        <f t="shared" si="71"/>
        <v>811.09686000000011</v>
      </c>
    </row>
    <row r="812" spans="1:25" ht="11.25" hidden="1" customHeight="1" x14ac:dyDescent="0.3">
      <c r="A812" s="126" t="s">
        <v>184</v>
      </c>
      <c r="B812" s="126">
        <v>34</v>
      </c>
      <c r="C812" s="126">
        <v>26</v>
      </c>
      <c r="D812" s="126" t="str">
        <f t="shared" si="66"/>
        <v>3426</v>
      </c>
      <c r="J812" s="101">
        <v>2</v>
      </c>
      <c r="K812" s="101">
        <v>12</v>
      </c>
      <c r="L812" s="101">
        <v>77</v>
      </c>
      <c r="M812" s="101">
        <v>1096.31</v>
      </c>
      <c r="N812" s="101">
        <v>329.75099999999998</v>
      </c>
      <c r="O812" s="101">
        <v>0</v>
      </c>
      <c r="P812" s="101">
        <v>0</v>
      </c>
      <c r="Q812" s="101">
        <v>0</v>
      </c>
      <c r="R812" s="101">
        <v>0</v>
      </c>
      <c r="S812" s="101">
        <v>0</v>
      </c>
      <c r="T812" s="169">
        <v>1.02</v>
      </c>
      <c r="U812" s="101">
        <f t="shared" si="68"/>
        <v>0</v>
      </c>
      <c r="V812" s="101">
        <f t="shared" si="69"/>
        <v>0</v>
      </c>
      <c r="W812" s="101">
        <f t="shared" si="70"/>
        <v>0</v>
      </c>
      <c r="X812" s="101">
        <f t="shared" si="67"/>
        <v>0</v>
      </c>
      <c r="Y812" s="101">
        <f t="shared" si="71"/>
        <v>0</v>
      </c>
    </row>
    <row r="813" spans="1:25" ht="11.25" hidden="1" customHeight="1" x14ac:dyDescent="0.3">
      <c r="A813" s="126" t="s">
        <v>184</v>
      </c>
      <c r="B813" s="126">
        <v>34</v>
      </c>
      <c r="C813" s="126">
        <v>32</v>
      </c>
      <c r="D813" s="126" t="str">
        <f t="shared" si="66"/>
        <v>3432</v>
      </c>
      <c r="J813" s="101">
        <v>11</v>
      </c>
      <c r="K813" s="101">
        <v>13</v>
      </c>
      <c r="L813" s="101">
        <v>242</v>
      </c>
      <c r="M813" s="101">
        <v>7278.35</v>
      </c>
      <c r="N813" s="101">
        <v>1873.2280000000001</v>
      </c>
      <c r="O813" s="101">
        <v>27</v>
      </c>
      <c r="P813" s="101">
        <v>59</v>
      </c>
      <c r="Q813" s="101">
        <v>819</v>
      </c>
      <c r="R813" s="101">
        <v>10754.050000000001</v>
      </c>
      <c r="S813" s="101">
        <v>3094.2919999999999</v>
      </c>
      <c r="T813" s="169">
        <v>1.02</v>
      </c>
      <c r="U813" s="101">
        <f t="shared" si="68"/>
        <v>27.54</v>
      </c>
      <c r="V813" s="101">
        <f t="shared" si="69"/>
        <v>60.18</v>
      </c>
      <c r="W813" s="101">
        <f t="shared" si="70"/>
        <v>835.38</v>
      </c>
      <c r="X813" s="101">
        <f t="shared" si="67"/>
        <v>10969.131000000001</v>
      </c>
      <c r="Y813" s="101">
        <f t="shared" si="71"/>
        <v>3156.1778399999998</v>
      </c>
    </row>
    <row r="814" spans="1:25" ht="11.25" hidden="1" customHeight="1" x14ac:dyDescent="0.3">
      <c r="A814" s="126" t="s">
        <v>184</v>
      </c>
      <c r="B814" s="126">
        <v>34</v>
      </c>
      <c r="C814" s="126">
        <v>41</v>
      </c>
      <c r="D814" s="126" t="str">
        <f t="shared" si="66"/>
        <v>3441</v>
      </c>
      <c r="J814" s="101">
        <v>1</v>
      </c>
      <c r="K814" s="101">
        <v>15</v>
      </c>
      <c r="L814" s="101">
        <v>43</v>
      </c>
      <c r="M814" s="101">
        <v>266.38</v>
      </c>
      <c r="N814" s="101">
        <v>60.005000000000003</v>
      </c>
      <c r="O814" s="101">
        <v>1</v>
      </c>
      <c r="P814" s="101">
        <v>2</v>
      </c>
      <c r="Q814" s="101">
        <v>8</v>
      </c>
      <c r="R814" s="101">
        <v>106.4</v>
      </c>
      <c r="S814" s="101">
        <v>31.419</v>
      </c>
      <c r="T814" s="169">
        <v>1.02</v>
      </c>
      <c r="U814" s="101">
        <f t="shared" si="68"/>
        <v>1.02</v>
      </c>
      <c r="V814" s="101">
        <f t="shared" si="69"/>
        <v>2.04</v>
      </c>
      <c r="W814" s="101">
        <f t="shared" si="70"/>
        <v>8.16</v>
      </c>
      <c r="X814" s="101">
        <f t="shared" si="67"/>
        <v>108.52800000000001</v>
      </c>
      <c r="Y814" s="101">
        <f t="shared" si="71"/>
        <v>32.047380000000004</v>
      </c>
    </row>
    <row r="815" spans="1:25" ht="11.25" hidden="1" customHeight="1" x14ac:dyDescent="0.3">
      <c r="A815" s="126" t="s">
        <v>184</v>
      </c>
      <c r="B815" s="126">
        <v>34</v>
      </c>
      <c r="C815" s="126">
        <v>43</v>
      </c>
      <c r="D815" s="126" t="str">
        <f t="shared" si="66"/>
        <v>3443</v>
      </c>
      <c r="J815" s="101">
        <v>0</v>
      </c>
      <c r="K815" s="101">
        <v>0</v>
      </c>
      <c r="L815" s="101">
        <v>0</v>
      </c>
      <c r="M815" s="101">
        <v>0</v>
      </c>
      <c r="N815" s="101">
        <v>0</v>
      </c>
      <c r="O815" s="101">
        <v>6</v>
      </c>
      <c r="P815" s="101">
        <v>8</v>
      </c>
      <c r="Q815" s="101">
        <v>16</v>
      </c>
      <c r="R815" s="101">
        <v>0</v>
      </c>
      <c r="S815" s="101">
        <v>97.932000000000002</v>
      </c>
      <c r="T815" s="169">
        <v>1.02</v>
      </c>
      <c r="U815" s="101">
        <f t="shared" si="68"/>
        <v>6.12</v>
      </c>
      <c r="V815" s="101">
        <f t="shared" si="69"/>
        <v>8.16</v>
      </c>
      <c r="W815" s="101">
        <f t="shared" si="70"/>
        <v>16.32</v>
      </c>
      <c r="X815" s="101">
        <f t="shared" si="67"/>
        <v>0</v>
      </c>
      <c r="Y815" s="101">
        <f t="shared" si="71"/>
        <v>99.890640000000005</v>
      </c>
    </row>
    <row r="816" spans="1:25" ht="11.25" hidden="1" customHeight="1" x14ac:dyDescent="0.3">
      <c r="A816" s="126" t="s">
        <v>184</v>
      </c>
      <c r="B816" s="126">
        <v>34</v>
      </c>
      <c r="C816" s="126">
        <v>44</v>
      </c>
      <c r="D816" s="126" t="str">
        <f t="shared" si="66"/>
        <v>3444</v>
      </c>
      <c r="J816" s="101">
        <v>0</v>
      </c>
      <c r="K816" s="101">
        <v>0</v>
      </c>
      <c r="L816" s="101">
        <v>0</v>
      </c>
      <c r="M816" s="101">
        <v>0</v>
      </c>
      <c r="N816" s="101">
        <v>0</v>
      </c>
      <c r="O816" s="101">
        <v>0</v>
      </c>
      <c r="P816" s="101">
        <v>0</v>
      </c>
      <c r="Q816" s="101">
        <v>0</v>
      </c>
      <c r="R816" s="101">
        <v>0</v>
      </c>
      <c r="S816" s="101">
        <v>0</v>
      </c>
      <c r="T816" s="169">
        <v>1.02</v>
      </c>
      <c r="U816" s="101">
        <f t="shared" si="68"/>
        <v>0</v>
      </c>
      <c r="V816" s="101">
        <f t="shared" si="69"/>
        <v>0</v>
      </c>
      <c r="W816" s="101">
        <f t="shared" si="70"/>
        <v>0</v>
      </c>
      <c r="X816" s="101">
        <f t="shared" si="67"/>
        <v>0</v>
      </c>
      <c r="Y816" s="101">
        <f t="shared" si="71"/>
        <v>0</v>
      </c>
    </row>
    <row r="817" spans="1:25" ht="11.25" hidden="1" customHeight="1" x14ac:dyDescent="0.3">
      <c r="A817" s="126" t="s">
        <v>184</v>
      </c>
      <c r="B817" s="126">
        <v>34</v>
      </c>
      <c r="C817" s="126">
        <v>45</v>
      </c>
      <c r="D817" s="126" t="str">
        <f t="shared" si="66"/>
        <v>3445</v>
      </c>
      <c r="J817" s="101">
        <v>0</v>
      </c>
      <c r="K817" s="101">
        <v>0</v>
      </c>
      <c r="L817" s="101">
        <v>0</v>
      </c>
      <c r="M817" s="101">
        <v>0</v>
      </c>
      <c r="N817" s="101">
        <v>0</v>
      </c>
      <c r="O817" s="101">
        <v>0</v>
      </c>
      <c r="P817" s="101">
        <v>0</v>
      </c>
      <c r="Q817" s="101">
        <v>0</v>
      </c>
      <c r="R817" s="101">
        <v>0</v>
      </c>
      <c r="S817" s="101">
        <v>0</v>
      </c>
      <c r="T817" s="169">
        <v>1.02</v>
      </c>
      <c r="U817" s="101">
        <f t="shared" si="68"/>
        <v>0</v>
      </c>
      <c r="V817" s="101">
        <f t="shared" si="69"/>
        <v>0</v>
      </c>
      <c r="W817" s="101">
        <f t="shared" si="70"/>
        <v>0</v>
      </c>
      <c r="X817" s="101">
        <f t="shared" si="67"/>
        <v>0</v>
      </c>
      <c r="Y817" s="101">
        <f t="shared" si="71"/>
        <v>0</v>
      </c>
    </row>
    <row r="818" spans="1:25" ht="11.25" hidden="1" customHeight="1" x14ac:dyDescent="0.3">
      <c r="A818" s="126" t="s">
        <v>184</v>
      </c>
      <c r="B818" s="126">
        <v>34</v>
      </c>
      <c r="C818" s="126">
        <v>47</v>
      </c>
      <c r="D818" s="126" t="str">
        <f t="shared" si="66"/>
        <v>3447</v>
      </c>
      <c r="J818" s="101">
        <v>0</v>
      </c>
      <c r="K818" s="101">
        <v>0</v>
      </c>
      <c r="L818" s="101">
        <v>0</v>
      </c>
      <c r="M818" s="101">
        <v>0</v>
      </c>
      <c r="N818" s="101">
        <v>0</v>
      </c>
      <c r="O818" s="101">
        <v>8</v>
      </c>
      <c r="P818" s="101">
        <v>20</v>
      </c>
      <c r="Q818" s="101">
        <v>2472</v>
      </c>
      <c r="R818" s="101">
        <v>66252.399999999994</v>
      </c>
      <c r="S818" s="101">
        <v>41434.974999999999</v>
      </c>
      <c r="T818" s="169">
        <v>1.02</v>
      </c>
      <c r="U818" s="101">
        <f t="shared" si="68"/>
        <v>8.16</v>
      </c>
      <c r="V818" s="101">
        <f t="shared" si="69"/>
        <v>20.399999999999999</v>
      </c>
      <c r="W818" s="101">
        <f t="shared" si="70"/>
        <v>2521.44</v>
      </c>
      <c r="X818" s="101">
        <f t="shared" si="67"/>
        <v>67577.447999999989</v>
      </c>
      <c r="Y818" s="101">
        <f t="shared" si="71"/>
        <v>42263.674500000001</v>
      </c>
    </row>
    <row r="819" spans="1:25" ht="11.25" hidden="1" customHeight="1" x14ac:dyDescent="0.3">
      <c r="A819" s="126" t="s">
        <v>184</v>
      </c>
      <c r="B819" s="126">
        <v>34</v>
      </c>
      <c r="C819" s="126">
        <v>91</v>
      </c>
      <c r="D819" s="126" t="str">
        <f t="shared" si="66"/>
        <v>3491</v>
      </c>
      <c r="J819" s="101">
        <v>34</v>
      </c>
      <c r="K819" s="101">
        <v>154</v>
      </c>
      <c r="L819" s="101">
        <v>927</v>
      </c>
      <c r="M819" s="101">
        <v>6074.13</v>
      </c>
      <c r="N819" s="101">
        <v>3105.8939999999998</v>
      </c>
      <c r="O819" s="101">
        <v>38</v>
      </c>
      <c r="P819" s="101">
        <v>152</v>
      </c>
      <c r="Q819" s="101">
        <v>2952</v>
      </c>
      <c r="R819" s="101">
        <v>3860.85</v>
      </c>
      <c r="S819" s="101">
        <v>3033.7689999999998</v>
      </c>
      <c r="T819" s="169">
        <v>1.02</v>
      </c>
      <c r="U819" s="101">
        <f t="shared" si="68"/>
        <v>38.76</v>
      </c>
      <c r="V819" s="101">
        <f t="shared" si="69"/>
        <v>155.04</v>
      </c>
      <c r="W819" s="101">
        <f t="shared" si="70"/>
        <v>3011.04</v>
      </c>
      <c r="X819" s="101">
        <f t="shared" si="67"/>
        <v>3938.067</v>
      </c>
      <c r="Y819" s="101">
        <f t="shared" si="71"/>
        <v>3094.4443799999999</v>
      </c>
    </row>
    <row r="820" spans="1:25" ht="11.25" hidden="1" customHeight="1" x14ac:dyDescent="0.3">
      <c r="A820" s="126" t="s">
        <v>184</v>
      </c>
      <c r="B820" s="126">
        <v>34</v>
      </c>
      <c r="C820" s="126">
        <v>27</v>
      </c>
      <c r="D820" s="126" t="str">
        <f t="shared" si="66"/>
        <v>3427</v>
      </c>
      <c r="E820" s="101">
        <v>52</v>
      </c>
      <c r="F820" s="101">
        <v>1182</v>
      </c>
      <c r="G820" s="101">
        <v>4612</v>
      </c>
      <c r="H820" s="101">
        <v>58157.420000000006</v>
      </c>
      <c r="I820" s="101">
        <v>16252.290999999999</v>
      </c>
      <c r="J820" s="101">
        <v>105</v>
      </c>
      <c r="K820" s="101">
        <v>2059</v>
      </c>
      <c r="L820" s="101">
        <v>9478</v>
      </c>
      <c r="M820" s="101">
        <v>97706.52</v>
      </c>
      <c r="N820" s="101">
        <v>36518.921000000002</v>
      </c>
      <c r="O820" s="101">
        <v>106</v>
      </c>
      <c r="P820" s="101">
        <v>2536</v>
      </c>
      <c r="Q820" s="101">
        <v>18689</v>
      </c>
      <c r="R820" s="101">
        <v>158100.82</v>
      </c>
      <c r="S820" s="101">
        <v>71414.843000000008</v>
      </c>
      <c r="T820" s="169">
        <v>1.02</v>
      </c>
      <c r="U820" s="101">
        <f t="shared" si="68"/>
        <v>108.12</v>
      </c>
      <c r="V820" s="101">
        <f t="shared" si="69"/>
        <v>2586.7200000000003</v>
      </c>
      <c r="W820" s="101">
        <f t="shared" si="70"/>
        <v>19062.78</v>
      </c>
      <c r="X820" s="101">
        <f t="shared" si="67"/>
        <v>161262.8364</v>
      </c>
      <c r="Y820" s="101">
        <f t="shared" si="71"/>
        <v>72843.13986000001</v>
      </c>
    </row>
    <row r="821" spans="1:25" ht="11.25" customHeight="1" x14ac:dyDescent="0.3">
      <c r="A821" s="126" t="s">
        <v>184</v>
      </c>
      <c r="B821" s="126">
        <v>34</v>
      </c>
      <c r="C821" s="126" t="s">
        <v>172</v>
      </c>
      <c r="D821" s="126" t="str">
        <f t="shared" si="66"/>
        <v>34Uml</v>
      </c>
      <c r="J821" s="101">
        <v>249</v>
      </c>
      <c r="K821" s="101">
        <v>300</v>
      </c>
      <c r="L821" s="101">
        <v>136718</v>
      </c>
      <c r="N821" s="101">
        <v>321852</v>
      </c>
      <c r="O821" s="101">
        <v>513</v>
      </c>
      <c r="P821" s="101">
        <v>515</v>
      </c>
      <c r="Q821" s="101">
        <v>170848</v>
      </c>
      <c r="S821" s="101">
        <v>414864</v>
      </c>
      <c r="T821" s="169">
        <v>1.02</v>
      </c>
      <c r="U821" s="101">
        <f t="shared" si="68"/>
        <v>523.26</v>
      </c>
      <c r="V821" s="101">
        <f t="shared" si="69"/>
        <v>525.29999999999995</v>
      </c>
      <c r="W821" s="101">
        <f t="shared" si="70"/>
        <v>174264.95999999999</v>
      </c>
      <c r="X821" s="101">
        <f t="shared" si="67"/>
        <v>0</v>
      </c>
      <c r="Y821" s="101">
        <f t="shared" si="71"/>
        <v>423161.28</v>
      </c>
    </row>
    <row r="822" spans="1:25" ht="11.25" hidden="1" customHeight="1" x14ac:dyDescent="0.3">
      <c r="A822" s="126" t="s">
        <v>184</v>
      </c>
      <c r="B822" s="126">
        <v>34</v>
      </c>
      <c r="C822" s="126">
        <v>37</v>
      </c>
      <c r="D822" s="126" t="str">
        <f t="shared" si="66"/>
        <v>3437</v>
      </c>
      <c r="E822" s="101">
        <v>5.25</v>
      </c>
      <c r="F822" s="101">
        <v>12.5</v>
      </c>
      <c r="G822" s="101">
        <v>977.75</v>
      </c>
      <c r="H822" s="101">
        <v>3235.41</v>
      </c>
      <c r="I822" s="101">
        <v>2942.6042499999999</v>
      </c>
      <c r="J822" s="101">
        <v>31</v>
      </c>
      <c r="K822" s="101">
        <v>111</v>
      </c>
      <c r="L822" s="101">
        <v>3974</v>
      </c>
      <c r="M822" s="101">
        <v>58361.47</v>
      </c>
      <c r="N822" s="101">
        <v>49417.167999999998</v>
      </c>
      <c r="O822" s="101">
        <v>23</v>
      </c>
      <c r="P822" s="101">
        <v>118</v>
      </c>
      <c r="Q822" s="101">
        <v>1489</v>
      </c>
      <c r="R822" s="101">
        <v>26032.63</v>
      </c>
      <c r="S822" s="101">
        <v>11556.806</v>
      </c>
      <c r="T822" s="169">
        <v>1.02</v>
      </c>
      <c r="U822" s="101">
        <f t="shared" si="68"/>
        <v>23.46</v>
      </c>
      <c r="V822" s="101">
        <f t="shared" si="69"/>
        <v>120.36</v>
      </c>
      <c r="W822" s="101">
        <f t="shared" si="70"/>
        <v>1518.78</v>
      </c>
      <c r="X822" s="101">
        <f t="shared" si="67"/>
        <v>26553.282600000002</v>
      </c>
      <c r="Y822" s="101">
        <f t="shared" si="71"/>
        <v>11787.942120000002</v>
      </c>
    </row>
    <row r="823" spans="1:25" ht="11.25" hidden="1" customHeight="1" x14ac:dyDescent="0.3">
      <c r="A823" s="126" t="s">
        <v>184</v>
      </c>
      <c r="B823" s="126">
        <v>35</v>
      </c>
      <c r="C823" s="126">
        <v>12</v>
      </c>
      <c r="D823" s="126" t="str">
        <f t="shared" si="66"/>
        <v>3512</v>
      </c>
      <c r="E823" s="101">
        <v>46</v>
      </c>
      <c r="F823" s="101">
        <v>58</v>
      </c>
      <c r="G823" s="101">
        <v>103</v>
      </c>
      <c r="H823" s="101">
        <v>1416.1</v>
      </c>
      <c r="I823" s="101">
        <v>604.74499999999989</v>
      </c>
      <c r="J823" s="101">
        <v>16</v>
      </c>
      <c r="K823" s="101">
        <v>29</v>
      </c>
      <c r="L823" s="101">
        <v>44</v>
      </c>
      <c r="M823" s="101">
        <v>660.23</v>
      </c>
      <c r="N823" s="101">
        <v>123.202</v>
      </c>
      <c r="O823" s="101">
        <v>13</v>
      </c>
      <c r="P823" s="101">
        <v>23</v>
      </c>
      <c r="Q823" s="101">
        <v>25</v>
      </c>
      <c r="R823" s="101">
        <v>460.12</v>
      </c>
      <c r="S823" s="101">
        <v>164.79500000000002</v>
      </c>
      <c r="T823" s="169">
        <v>1.02</v>
      </c>
      <c r="U823" s="101">
        <f t="shared" si="68"/>
        <v>13.26</v>
      </c>
      <c r="V823" s="101">
        <f t="shared" si="69"/>
        <v>23.46</v>
      </c>
      <c r="W823" s="101">
        <f t="shared" si="70"/>
        <v>25.5</v>
      </c>
      <c r="X823" s="101">
        <f t="shared" si="67"/>
        <v>469.32240000000002</v>
      </c>
      <c r="Y823" s="101">
        <f t="shared" si="71"/>
        <v>168.09090000000003</v>
      </c>
    </row>
    <row r="824" spans="1:25" ht="11.25" hidden="1" customHeight="1" x14ac:dyDescent="0.3">
      <c r="A824" s="126" t="s">
        <v>184</v>
      </c>
      <c r="B824" s="126">
        <v>35</v>
      </c>
      <c r="C824" s="126">
        <v>17</v>
      </c>
      <c r="D824" s="126" t="str">
        <f t="shared" si="66"/>
        <v>3517</v>
      </c>
      <c r="E824" s="101">
        <v>2537</v>
      </c>
      <c r="F824" s="101">
        <v>3430</v>
      </c>
      <c r="G824" s="101">
        <v>4516</v>
      </c>
      <c r="H824" s="101">
        <v>156057.79</v>
      </c>
      <c r="I824" s="101">
        <v>30700.689999999995</v>
      </c>
      <c r="J824" s="101">
        <v>944</v>
      </c>
      <c r="K824" s="101">
        <v>3372</v>
      </c>
      <c r="L824" s="101">
        <v>4345</v>
      </c>
      <c r="M824" s="101">
        <v>72610.41</v>
      </c>
      <c r="N824" s="101">
        <v>11612.317999999999</v>
      </c>
      <c r="O824" s="101">
        <v>960</v>
      </c>
      <c r="P824" s="101">
        <v>1546</v>
      </c>
      <c r="Q824" s="101">
        <v>2283</v>
      </c>
      <c r="R824" s="101">
        <v>76836.89</v>
      </c>
      <c r="S824" s="101">
        <v>22335.062000000002</v>
      </c>
      <c r="T824" s="169">
        <v>1.02</v>
      </c>
      <c r="U824" s="101">
        <v>1860</v>
      </c>
      <c r="V824" s="101">
        <v>3761</v>
      </c>
      <c r="W824" s="101">
        <v>5467</v>
      </c>
      <c r="X824" s="101">
        <f t="shared" si="67"/>
        <v>78373.627800000002</v>
      </c>
      <c r="Y824" s="101">
        <v>30000</v>
      </c>
    </row>
    <row r="825" spans="1:25" ht="11.25" hidden="1" customHeight="1" x14ac:dyDescent="0.3">
      <c r="A825" s="126" t="s">
        <v>184</v>
      </c>
      <c r="B825" s="126">
        <v>35</v>
      </c>
      <c r="C825" s="126">
        <v>18</v>
      </c>
      <c r="D825" s="126" t="str">
        <f t="shared" si="66"/>
        <v>3518</v>
      </c>
      <c r="E825" s="101">
        <v>249</v>
      </c>
      <c r="F825" s="101">
        <v>345</v>
      </c>
      <c r="G825" s="101">
        <v>555</v>
      </c>
      <c r="H825" s="101">
        <v>17914.949999999997</v>
      </c>
      <c r="I825" s="101">
        <v>2643.6909999999998</v>
      </c>
      <c r="J825" s="101">
        <v>2608</v>
      </c>
      <c r="K825" s="101">
        <v>2885</v>
      </c>
      <c r="L825" s="101">
        <v>3231</v>
      </c>
      <c r="M825" s="101">
        <v>146859.95000000001</v>
      </c>
      <c r="N825" s="101">
        <v>30325.061000000002</v>
      </c>
      <c r="O825" s="101">
        <v>1115</v>
      </c>
      <c r="P825" s="101">
        <v>1272</v>
      </c>
      <c r="Q825" s="101">
        <v>1470</v>
      </c>
      <c r="R825" s="101">
        <v>75866.73000000001</v>
      </c>
      <c r="S825" s="101">
        <v>18849.593000000001</v>
      </c>
      <c r="T825" s="169">
        <v>0.8</v>
      </c>
      <c r="U825" s="101">
        <f t="shared" si="68"/>
        <v>892</v>
      </c>
      <c r="V825" s="101">
        <f t="shared" si="69"/>
        <v>1017.6</v>
      </c>
      <c r="W825" s="101">
        <f t="shared" si="70"/>
        <v>1176</v>
      </c>
      <c r="X825" s="101">
        <f t="shared" si="67"/>
        <v>60693.384000000013</v>
      </c>
      <c r="Y825" s="101">
        <f t="shared" si="71"/>
        <v>15079.674400000002</v>
      </c>
    </row>
    <row r="826" spans="1:25" ht="11.25" hidden="1" customHeight="1" x14ac:dyDescent="0.3">
      <c r="A826" s="126" t="s">
        <v>184</v>
      </c>
      <c r="B826" s="126">
        <v>35</v>
      </c>
      <c r="C826" s="126">
        <v>28</v>
      </c>
      <c r="D826" s="126" t="str">
        <f t="shared" si="66"/>
        <v>3528</v>
      </c>
      <c r="E826" s="101">
        <v>324</v>
      </c>
      <c r="F826" s="101">
        <v>2681</v>
      </c>
      <c r="G826" s="101">
        <v>30133</v>
      </c>
      <c r="H826" s="101">
        <v>772763.19</v>
      </c>
      <c r="I826" s="101">
        <v>177604.29399999999</v>
      </c>
      <c r="J826" s="101">
        <v>246</v>
      </c>
      <c r="K826" s="101">
        <v>4066</v>
      </c>
      <c r="L826" s="101">
        <v>48719</v>
      </c>
      <c r="M826" s="101">
        <v>719291.58</v>
      </c>
      <c r="N826" s="101">
        <v>464753.42</v>
      </c>
      <c r="O826" s="101">
        <v>229</v>
      </c>
      <c r="P826" s="101">
        <v>5756</v>
      </c>
      <c r="Q826" s="101">
        <v>37195</v>
      </c>
      <c r="R826" s="101">
        <v>666800.8600000001</v>
      </c>
      <c r="S826" s="101">
        <v>170042.35</v>
      </c>
      <c r="T826" s="169">
        <v>1.02</v>
      </c>
      <c r="U826" s="101">
        <f t="shared" si="68"/>
        <v>233.58</v>
      </c>
      <c r="V826" s="101">
        <f t="shared" si="69"/>
        <v>5871.12</v>
      </c>
      <c r="W826" s="101">
        <f t="shared" si="70"/>
        <v>37938.9</v>
      </c>
      <c r="X826" s="101">
        <f t="shared" si="67"/>
        <v>680136.8772000001</v>
      </c>
      <c r="Y826" s="101">
        <f t="shared" si="71"/>
        <v>173443.19700000001</v>
      </c>
    </row>
    <row r="827" spans="1:25" ht="11.25" hidden="1" customHeight="1" x14ac:dyDescent="0.3">
      <c r="A827" s="126" t="s">
        <v>184</v>
      </c>
      <c r="B827" s="126">
        <v>35</v>
      </c>
      <c r="C827" s="126">
        <v>46</v>
      </c>
      <c r="D827" s="126" t="str">
        <f t="shared" si="66"/>
        <v>3546</v>
      </c>
      <c r="E827" s="101">
        <v>298</v>
      </c>
      <c r="F827" s="101">
        <v>614</v>
      </c>
      <c r="G827" s="101">
        <v>19127</v>
      </c>
      <c r="H827" s="101">
        <v>271248.76</v>
      </c>
      <c r="I827" s="101">
        <v>64210.231</v>
      </c>
      <c r="J827" s="101">
        <v>180</v>
      </c>
      <c r="K827" s="101">
        <v>429</v>
      </c>
      <c r="L827" s="101">
        <v>30767</v>
      </c>
      <c r="M827" s="101">
        <v>339523.56</v>
      </c>
      <c r="N827" s="101">
        <v>68795.498000000007</v>
      </c>
      <c r="O827" s="101">
        <v>151</v>
      </c>
      <c r="P827" s="101">
        <v>303</v>
      </c>
      <c r="Q827" s="101">
        <v>48612</v>
      </c>
      <c r="R827" s="101">
        <v>567515.45999999985</v>
      </c>
      <c r="S827" s="101">
        <v>151349.51600000003</v>
      </c>
      <c r="T827" s="169">
        <v>1.02</v>
      </c>
      <c r="U827" s="101">
        <f t="shared" si="68"/>
        <v>154.02000000000001</v>
      </c>
      <c r="V827" s="101">
        <f t="shared" si="69"/>
        <v>309.06</v>
      </c>
      <c r="W827" s="101">
        <f t="shared" si="70"/>
        <v>49584.24</v>
      </c>
      <c r="X827" s="101">
        <f t="shared" si="67"/>
        <v>578865.76919999986</v>
      </c>
      <c r="Y827" s="101">
        <f t="shared" si="71"/>
        <v>154376.50632000004</v>
      </c>
    </row>
    <row r="828" spans="1:25" ht="11.25" hidden="1" customHeight="1" x14ac:dyDescent="0.3">
      <c r="A828" s="126" t="s">
        <v>184</v>
      </c>
      <c r="B828" s="126">
        <v>35</v>
      </c>
      <c r="C828" s="126">
        <v>47</v>
      </c>
      <c r="D828" s="126" t="str">
        <f t="shared" si="66"/>
        <v>3547</v>
      </c>
      <c r="E828" s="101">
        <v>1</v>
      </c>
      <c r="F828" s="101">
        <v>2</v>
      </c>
      <c r="G828" s="101">
        <v>2</v>
      </c>
      <c r="H828" s="101">
        <v>0</v>
      </c>
      <c r="I828" s="101">
        <v>0</v>
      </c>
      <c r="J828" s="101">
        <v>2</v>
      </c>
      <c r="K828" s="101">
        <v>3</v>
      </c>
      <c r="L828" s="101">
        <v>151</v>
      </c>
      <c r="M828" s="101">
        <v>1818.45</v>
      </c>
      <c r="N828" s="101">
        <v>117.512</v>
      </c>
      <c r="O828" s="101">
        <v>3</v>
      </c>
      <c r="P828" s="101">
        <v>4</v>
      </c>
      <c r="Q828" s="101">
        <v>1418</v>
      </c>
      <c r="R828" s="101">
        <v>10191.700000000001</v>
      </c>
      <c r="S828" s="101">
        <v>6078.7219999999998</v>
      </c>
      <c r="T828" s="169">
        <v>1.02</v>
      </c>
      <c r="U828" s="101">
        <f t="shared" si="68"/>
        <v>3.06</v>
      </c>
      <c r="V828" s="101">
        <f t="shared" si="69"/>
        <v>4.08</v>
      </c>
      <c r="W828" s="101">
        <f t="shared" si="70"/>
        <v>1446.3600000000001</v>
      </c>
      <c r="X828" s="101">
        <f t="shared" si="67"/>
        <v>10395.534000000001</v>
      </c>
      <c r="Y828" s="101">
        <f t="shared" si="71"/>
        <v>6200.2964400000001</v>
      </c>
    </row>
    <row r="829" spans="1:25" ht="11.25" hidden="1" customHeight="1" x14ac:dyDescent="0.3">
      <c r="A829" s="126" t="s">
        <v>184</v>
      </c>
      <c r="B829" s="126">
        <v>35</v>
      </c>
      <c r="C829" s="126">
        <v>48</v>
      </c>
      <c r="D829" s="126" t="str">
        <f t="shared" si="66"/>
        <v>3548</v>
      </c>
      <c r="E829" s="101">
        <v>2</v>
      </c>
      <c r="F829" s="101">
        <v>2</v>
      </c>
      <c r="G829" s="101">
        <v>400</v>
      </c>
      <c r="H829" s="101">
        <v>1678</v>
      </c>
      <c r="I829" s="101">
        <v>112.33199999999999</v>
      </c>
      <c r="J829" s="101">
        <v>1</v>
      </c>
      <c r="K829" s="101">
        <v>1</v>
      </c>
      <c r="L829" s="101">
        <v>100</v>
      </c>
      <c r="M829" s="101">
        <v>1119</v>
      </c>
      <c r="N829" s="101">
        <v>744.8</v>
      </c>
      <c r="O829" s="101">
        <v>0</v>
      </c>
      <c r="P829" s="101">
        <v>0</v>
      </c>
      <c r="Q829" s="101">
        <v>0</v>
      </c>
      <c r="R829" s="101">
        <v>0</v>
      </c>
      <c r="S829" s="101">
        <v>0</v>
      </c>
      <c r="T829" s="169">
        <v>1.02</v>
      </c>
      <c r="U829" s="101">
        <f t="shared" si="68"/>
        <v>0</v>
      </c>
      <c r="V829" s="101">
        <f t="shared" si="69"/>
        <v>0</v>
      </c>
      <c r="W829" s="101">
        <f t="shared" si="70"/>
        <v>0</v>
      </c>
      <c r="X829" s="101">
        <f t="shared" si="67"/>
        <v>0</v>
      </c>
      <c r="Y829" s="101">
        <f t="shared" si="71"/>
        <v>0</v>
      </c>
    </row>
    <row r="830" spans="1:25" ht="11.25" hidden="1" customHeight="1" x14ac:dyDescent="0.3">
      <c r="A830" s="126" t="s">
        <v>184</v>
      </c>
      <c r="B830" s="126">
        <v>35</v>
      </c>
      <c r="C830" s="126">
        <v>66</v>
      </c>
      <c r="D830" s="126" t="str">
        <f t="shared" si="66"/>
        <v>3566</v>
      </c>
      <c r="E830" s="101">
        <v>585</v>
      </c>
      <c r="F830" s="101">
        <v>1898</v>
      </c>
      <c r="G830" s="101">
        <v>31372</v>
      </c>
      <c r="H830" s="101">
        <v>193489.19999999998</v>
      </c>
      <c r="I830" s="101">
        <v>101063.2</v>
      </c>
      <c r="J830" s="101">
        <v>253</v>
      </c>
      <c r="K830" s="101">
        <v>1126</v>
      </c>
      <c r="L830" s="101">
        <v>20981</v>
      </c>
      <c r="M830" s="101">
        <v>113981.85</v>
      </c>
      <c r="N830" s="101">
        <v>81822.991999999998</v>
      </c>
      <c r="O830" s="101">
        <v>212</v>
      </c>
      <c r="P830" s="101">
        <v>1885</v>
      </c>
      <c r="Q830" s="101">
        <v>45324</v>
      </c>
      <c r="R830" s="101">
        <v>293566.32999999996</v>
      </c>
      <c r="S830" s="101">
        <v>143555.43300000002</v>
      </c>
      <c r="T830" s="169">
        <v>1.02</v>
      </c>
      <c r="U830" s="101">
        <f t="shared" si="68"/>
        <v>216.24</v>
      </c>
      <c r="V830" s="101">
        <f t="shared" si="69"/>
        <v>1922.7</v>
      </c>
      <c r="W830" s="101">
        <f t="shared" si="70"/>
        <v>46230.48</v>
      </c>
      <c r="X830" s="101">
        <f t="shared" si="67"/>
        <v>299437.65659999999</v>
      </c>
      <c r="Y830" s="101">
        <f t="shared" si="71"/>
        <v>146426.54166000002</v>
      </c>
    </row>
    <row r="831" spans="1:25" ht="11.25" hidden="1" customHeight="1" x14ac:dyDescent="0.3">
      <c r="A831" s="126" t="s">
        <v>184</v>
      </c>
      <c r="B831" s="126">
        <v>35</v>
      </c>
      <c r="C831" s="126">
        <v>30</v>
      </c>
      <c r="D831" s="126" t="str">
        <f t="shared" si="66"/>
        <v>3530</v>
      </c>
      <c r="E831" s="101">
        <v>368</v>
      </c>
      <c r="F831" s="101">
        <v>3964.5</v>
      </c>
      <c r="G831" s="101">
        <v>17282.5</v>
      </c>
      <c r="H831" s="101">
        <v>362335.47</v>
      </c>
      <c r="I831" s="101">
        <v>112854.23849999999</v>
      </c>
      <c r="J831" s="101">
        <v>0</v>
      </c>
      <c r="K831" s="101">
        <v>0</v>
      </c>
      <c r="L831" s="101">
        <v>0</v>
      </c>
      <c r="M831" s="101">
        <v>0</v>
      </c>
      <c r="N831" s="101">
        <v>0</v>
      </c>
      <c r="O831" s="101">
        <v>18</v>
      </c>
      <c r="P831" s="101">
        <v>22</v>
      </c>
      <c r="Q831" s="101">
        <v>296</v>
      </c>
      <c r="R831" s="101">
        <v>6263.9499999999989</v>
      </c>
      <c r="S831" s="101">
        <v>4301.6039999999994</v>
      </c>
      <c r="T831" s="169">
        <v>1.02</v>
      </c>
      <c r="U831" s="101">
        <f t="shared" si="68"/>
        <v>18.36</v>
      </c>
      <c r="V831" s="101">
        <f t="shared" si="69"/>
        <v>22.44</v>
      </c>
      <c r="W831" s="101">
        <f t="shared" si="70"/>
        <v>301.92</v>
      </c>
      <c r="X831" s="101">
        <f t="shared" si="67"/>
        <v>6389.2289999999994</v>
      </c>
      <c r="Y831" s="101">
        <f t="shared" si="71"/>
        <v>4387.6360799999993</v>
      </c>
    </row>
    <row r="832" spans="1:25" ht="11.25" hidden="1" customHeight="1" x14ac:dyDescent="0.3">
      <c r="A832" s="126" t="s">
        <v>184</v>
      </c>
      <c r="B832" s="126">
        <v>35</v>
      </c>
      <c r="C832" s="126">
        <v>21</v>
      </c>
      <c r="D832" s="126" t="str">
        <f t="shared" si="66"/>
        <v>3521</v>
      </c>
      <c r="E832" s="101">
        <v>1165.5</v>
      </c>
      <c r="F832" s="101">
        <v>5180</v>
      </c>
      <c r="G832" s="101">
        <v>28875.5</v>
      </c>
      <c r="H832" s="101">
        <v>451433.69999999995</v>
      </c>
      <c r="I832" s="101">
        <v>153058.83249999999</v>
      </c>
      <c r="J832" s="101">
        <v>856</v>
      </c>
      <c r="K832" s="101">
        <v>7096</v>
      </c>
      <c r="L832" s="101">
        <v>41326</v>
      </c>
      <c r="M832" s="101">
        <v>499437.94999999995</v>
      </c>
      <c r="N832" s="101">
        <v>176197.87199999997</v>
      </c>
      <c r="O832" s="101">
        <v>913</v>
      </c>
      <c r="P832" s="101">
        <v>9105</v>
      </c>
      <c r="Q832" s="101">
        <v>45548</v>
      </c>
      <c r="R832" s="101">
        <v>560696.89</v>
      </c>
      <c r="S832" s="101">
        <v>158256.20799999998</v>
      </c>
      <c r="T832" s="169">
        <v>1.02</v>
      </c>
      <c r="U832" s="101">
        <f>O832*T832-5</f>
        <v>926.26</v>
      </c>
      <c r="V832" s="101">
        <f>P832*T832-7</f>
        <v>9280.1</v>
      </c>
      <c r="W832" s="101">
        <f>Q832*T832-682</f>
        <v>45776.959999999999</v>
      </c>
      <c r="X832" s="101">
        <f>R832*T832-6124</f>
        <v>565786.82779999997</v>
      </c>
      <c r="Y832" s="101">
        <f>S832*T832-1832</f>
        <v>159589.33215999999</v>
      </c>
    </row>
    <row r="833" spans="1:25" ht="11.25" hidden="1" customHeight="1" x14ac:dyDescent="0.3">
      <c r="A833" s="126" t="s">
        <v>184</v>
      </c>
      <c r="B833" s="126">
        <v>35</v>
      </c>
      <c r="C833" s="126">
        <v>71</v>
      </c>
      <c r="D833" s="126" t="str">
        <f t="shared" ref="D833:D950" si="72">CONCATENATE(B833,C833)</f>
        <v>3571</v>
      </c>
      <c r="E833" s="101">
        <v>764</v>
      </c>
      <c r="F833" s="101">
        <v>6388.5</v>
      </c>
      <c r="G833" s="101">
        <v>28000</v>
      </c>
      <c r="H833" s="101">
        <v>228512.72</v>
      </c>
      <c r="I833" s="101">
        <v>153583.8615</v>
      </c>
      <c r="J833" s="101">
        <v>721</v>
      </c>
      <c r="K833" s="101">
        <v>6485</v>
      </c>
      <c r="L833" s="101">
        <v>30178</v>
      </c>
      <c r="M833" s="101">
        <v>218357.16</v>
      </c>
      <c r="N833" s="101">
        <v>153426.19699999999</v>
      </c>
      <c r="O833" s="101">
        <v>417</v>
      </c>
      <c r="P833" s="101">
        <v>6699</v>
      </c>
      <c r="Q833" s="101">
        <v>35233</v>
      </c>
      <c r="R833" s="101">
        <v>349255.24</v>
      </c>
      <c r="S833" s="101">
        <v>170209.193</v>
      </c>
      <c r="T833" s="169">
        <v>0.98</v>
      </c>
      <c r="U833" s="101">
        <f t="shared" si="68"/>
        <v>408.65999999999997</v>
      </c>
      <c r="V833" s="101">
        <f t="shared" si="69"/>
        <v>6565.0199999999995</v>
      </c>
      <c r="W833" s="101">
        <f t="shared" si="70"/>
        <v>34528.339999999997</v>
      </c>
      <c r="X833" s="101">
        <f t="shared" si="67"/>
        <v>342270.13519999996</v>
      </c>
      <c r="Y833" s="101">
        <f t="shared" si="71"/>
        <v>166805.00914000001</v>
      </c>
    </row>
    <row r="834" spans="1:25" ht="11.25" hidden="1" customHeight="1" x14ac:dyDescent="0.3">
      <c r="A834" s="126" t="s">
        <v>184</v>
      </c>
      <c r="B834" s="126">
        <v>35</v>
      </c>
      <c r="C834" s="126">
        <v>25</v>
      </c>
      <c r="D834" s="126" t="str">
        <f t="shared" si="72"/>
        <v>3525</v>
      </c>
      <c r="E834" s="101">
        <v>1214</v>
      </c>
      <c r="F834" s="101">
        <v>6957</v>
      </c>
      <c r="G834" s="101">
        <v>57332</v>
      </c>
      <c r="H834" s="101">
        <v>543313.19000000006</v>
      </c>
      <c r="I834" s="101">
        <v>269919.17199999996</v>
      </c>
      <c r="J834" s="101">
        <v>701</v>
      </c>
      <c r="K834" s="101">
        <v>7458</v>
      </c>
      <c r="L834" s="101">
        <v>34581</v>
      </c>
      <c r="M834" s="101">
        <v>479061.09</v>
      </c>
      <c r="N834" s="101">
        <v>207606.65900000001</v>
      </c>
      <c r="O834" s="101">
        <v>591</v>
      </c>
      <c r="P834" s="101">
        <v>5068</v>
      </c>
      <c r="Q834" s="101">
        <v>44942</v>
      </c>
      <c r="R834" s="101">
        <v>292040.02</v>
      </c>
      <c r="S834" s="101">
        <v>172833.24699999997</v>
      </c>
      <c r="T834" s="169">
        <v>1.02</v>
      </c>
      <c r="U834" s="101">
        <f t="shared" si="68"/>
        <v>602.82000000000005</v>
      </c>
      <c r="V834" s="101">
        <f t="shared" si="69"/>
        <v>5169.3599999999997</v>
      </c>
      <c r="W834" s="101">
        <f t="shared" si="70"/>
        <v>45840.840000000004</v>
      </c>
      <c r="X834" s="101">
        <f t="shared" si="67"/>
        <v>297880.82040000003</v>
      </c>
      <c r="Y834" s="101">
        <f t="shared" si="71"/>
        <v>176289.91193999999</v>
      </c>
    </row>
    <row r="835" spans="1:25" ht="11.25" hidden="1" customHeight="1" x14ac:dyDescent="0.3">
      <c r="A835" s="126" t="s">
        <v>184</v>
      </c>
      <c r="B835" s="126">
        <v>35</v>
      </c>
      <c r="C835" s="126">
        <v>14</v>
      </c>
      <c r="D835" s="126" t="str">
        <f t="shared" si="72"/>
        <v>3514</v>
      </c>
      <c r="J835" s="101">
        <v>12</v>
      </c>
      <c r="K835" s="101">
        <v>23</v>
      </c>
      <c r="L835" s="101">
        <v>23</v>
      </c>
      <c r="M835" s="101">
        <v>2184.91</v>
      </c>
      <c r="N835" s="101">
        <v>307.233</v>
      </c>
      <c r="O835" s="101">
        <v>56</v>
      </c>
      <c r="P835" s="101">
        <v>116</v>
      </c>
      <c r="Q835" s="101">
        <v>192</v>
      </c>
      <c r="R835" s="101">
        <v>15510.150000000001</v>
      </c>
      <c r="S835" s="101">
        <v>2046.8680000000002</v>
      </c>
      <c r="T835" s="169">
        <v>1.02</v>
      </c>
      <c r="U835" s="101">
        <f t="shared" si="68"/>
        <v>57.120000000000005</v>
      </c>
      <c r="V835" s="101">
        <f t="shared" si="69"/>
        <v>118.32000000000001</v>
      </c>
      <c r="W835" s="101">
        <f t="shared" si="70"/>
        <v>195.84</v>
      </c>
      <c r="X835" s="101">
        <f t="shared" si="67"/>
        <v>15820.353000000001</v>
      </c>
      <c r="Y835" s="101">
        <f t="shared" si="71"/>
        <v>2087.8053600000003</v>
      </c>
    </row>
    <row r="836" spans="1:25" ht="11.25" hidden="1" customHeight="1" x14ac:dyDescent="0.3">
      <c r="A836" s="126" t="s">
        <v>184</v>
      </c>
      <c r="B836" s="126">
        <v>35</v>
      </c>
      <c r="C836" s="126">
        <v>22</v>
      </c>
      <c r="D836" s="126" t="str">
        <f t="shared" si="72"/>
        <v>3522</v>
      </c>
      <c r="J836" s="101">
        <v>7</v>
      </c>
      <c r="K836" s="101">
        <v>19</v>
      </c>
      <c r="L836" s="101">
        <v>86</v>
      </c>
      <c r="M836" s="101">
        <v>647.36</v>
      </c>
      <c r="N836" s="101">
        <v>447.83699999999999</v>
      </c>
      <c r="O836" s="101">
        <v>1</v>
      </c>
      <c r="P836" s="101">
        <v>1</v>
      </c>
      <c r="Q836" s="101">
        <v>5</v>
      </c>
      <c r="R836" s="101">
        <v>15.2</v>
      </c>
      <c r="S836" s="101">
        <v>1.3129999999999999</v>
      </c>
      <c r="T836" s="169">
        <v>1.02</v>
      </c>
      <c r="U836" s="101">
        <f t="shared" si="68"/>
        <v>1.02</v>
      </c>
      <c r="V836" s="101">
        <f t="shared" si="69"/>
        <v>1.02</v>
      </c>
      <c r="W836" s="101">
        <f t="shared" si="70"/>
        <v>5.0999999999999996</v>
      </c>
      <c r="X836" s="101">
        <f t="shared" si="67"/>
        <v>15.504</v>
      </c>
      <c r="Y836" s="101">
        <f t="shared" si="71"/>
        <v>1.3392599999999999</v>
      </c>
    </row>
    <row r="837" spans="1:25" ht="11.25" hidden="1" customHeight="1" x14ac:dyDescent="0.3">
      <c r="A837" s="126" t="s">
        <v>184</v>
      </c>
      <c r="B837" s="126">
        <v>35</v>
      </c>
      <c r="C837" s="126">
        <v>26</v>
      </c>
      <c r="D837" s="126" t="str">
        <f t="shared" si="72"/>
        <v>3526</v>
      </c>
      <c r="J837" s="101">
        <v>2</v>
      </c>
      <c r="K837" s="101">
        <v>12</v>
      </c>
      <c r="L837" s="101">
        <v>779</v>
      </c>
      <c r="M837" s="101">
        <v>2426.06</v>
      </c>
      <c r="N837" s="101">
        <v>591.53499999999997</v>
      </c>
      <c r="O837" s="101">
        <v>1</v>
      </c>
      <c r="P837" s="101">
        <v>1</v>
      </c>
      <c r="Q837" s="101">
        <v>14</v>
      </c>
      <c r="R837" s="101">
        <v>0</v>
      </c>
      <c r="S837" s="101">
        <v>199.09899999999999</v>
      </c>
      <c r="T837" s="169">
        <v>1.02</v>
      </c>
      <c r="U837" s="101">
        <f t="shared" si="68"/>
        <v>1.02</v>
      </c>
      <c r="V837" s="101">
        <f t="shared" si="69"/>
        <v>1.02</v>
      </c>
      <c r="W837" s="101">
        <f t="shared" si="70"/>
        <v>14.280000000000001</v>
      </c>
      <c r="X837" s="101">
        <f t="shared" si="67"/>
        <v>0</v>
      </c>
      <c r="Y837" s="101">
        <f t="shared" si="71"/>
        <v>203.08097999999998</v>
      </c>
    </row>
    <row r="838" spans="1:25" ht="11.25" hidden="1" customHeight="1" x14ac:dyDescent="0.3">
      <c r="A838" s="126" t="s">
        <v>184</v>
      </c>
      <c r="B838" s="126">
        <v>35</v>
      </c>
      <c r="C838" s="126">
        <v>32</v>
      </c>
      <c r="D838" s="126" t="str">
        <f t="shared" si="72"/>
        <v>3532</v>
      </c>
      <c r="J838" s="101">
        <v>22</v>
      </c>
      <c r="K838" s="101">
        <v>46</v>
      </c>
      <c r="L838" s="101">
        <v>1409</v>
      </c>
      <c r="M838" s="101">
        <v>6484.43</v>
      </c>
      <c r="N838" s="101">
        <v>4322.0479999999998</v>
      </c>
      <c r="O838" s="101">
        <v>31</v>
      </c>
      <c r="P838" s="101">
        <v>215</v>
      </c>
      <c r="Q838" s="101">
        <v>3827</v>
      </c>
      <c r="R838" s="101">
        <v>46450.21</v>
      </c>
      <c r="S838" s="101">
        <v>25611.228999999999</v>
      </c>
      <c r="T838" s="169">
        <v>1.02</v>
      </c>
      <c r="U838" s="101">
        <f t="shared" si="68"/>
        <v>31.62</v>
      </c>
      <c r="V838" s="101">
        <f t="shared" si="69"/>
        <v>219.3</v>
      </c>
      <c r="W838" s="101">
        <f t="shared" si="70"/>
        <v>3903.54</v>
      </c>
      <c r="X838" s="101">
        <f t="shared" ref="X838:X901" si="73">R838*T838</f>
        <v>47379.214200000002</v>
      </c>
      <c r="Y838" s="101">
        <f t="shared" si="71"/>
        <v>26123.453580000001</v>
      </c>
    </row>
    <row r="839" spans="1:25" ht="11.25" hidden="1" customHeight="1" x14ac:dyDescent="0.3">
      <c r="A839" s="126" t="s">
        <v>184</v>
      </c>
      <c r="B839" s="126">
        <v>35</v>
      </c>
      <c r="C839" s="126">
        <v>43</v>
      </c>
      <c r="D839" s="126" t="str">
        <f t="shared" si="72"/>
        <v>3543</v>
      </c>
      <c r="J839" s="101">
        <v>0</v>
      </c>
      <c r="K839" s="101">
        <v>0</v>
      </c>
      <c r="L839" s="101">
        <v>0</v>
      </c>
      <c r="M839" s="101">
        <v>0</v>
      </c>
      <c r="N839" s="101">
        <v>0</v>
      </c>
      <c r="O839" s="101">
        <v>0</v>
      </c>
      <c r="P839" s="101">
        <v>0</v>
      </c>
      <c r="Q839" s="101">
        <v>0</v>
      </c>
      <c r="R839" s="101">
        <v>0</v>
      </c>
      <c r="S839" s="101">
        <v>0</v>
      </c>
      <c r="T839" s="169">
        <v>1.02</v>
      </c>
      <c r="U839" s="101">
        <f t="shared" si="68"/>
        <v>0</v>
      </c>
      <c r="V839" s="101">
        <f t="shared" si="69"/>
        <v>0</v>
      </c>
      <c r="W839" s="101">
        <f t="shared" si="70"/>
        <v>0</v>
      </c>
      <c r="X839" s="101">
        <f t="shared" si="73"/>
        <v>0</v>
      </c>
      <c r="Y839" s="101">
        <f t="shared" si="71"/>
        <v>0</v>
      </c>
    </row>
    <row r="840" spans="1:25" ht="11.25" hidden="1" customHeight="1" x14ac:dyDescent="0.3">
      <c r="A840" s="126" t="s">
        <v>184</v>
      </c>
      <c r="B840" s="126">
        <v>35</v>
      </c>
      <c r="C840" s="126">
        <v>44</v>
      </c>
      <c r="D840" s="126" t="str">
        <f t="shared" si="72"/>
        <v>3544</v>
      </c>
      <c r="J840" s="101">
        <v>0</v>
      </c>
      <c r="K840" s="101">
        <v>0</v>
      </c>
      <c r="L840" s="101">
        <v>0</v>
      </c>
      <c r="M840" s="101">
        <v>0</v>
      </c>
      <c r="N840" s="101">
        <v>0</v>
      </c>
      <c r="O840" s="101">
        <v>0</v>
      </c>
      <c r="P840" s="101">
        <v>0</v>
      </c>
      <c r="Q840" s="101">
        <v>0</v>
      </c>
      <c r="R840" s="101">
        <v>0</v>
      </c>
      <c r="S840" s="101">
        <v>0</v>
      </c>
      <c r="T840" s="169">
        <v>1.02</v>
      </c>
      <c r="U840" s="101">
        <f t="shared" ref="U840:U903" si="74">O840*T840</f>
        <v>0</v>
      </c>
      <c r="V840" s="101">
        <f t="shared" ref="V840:V903" si="75">P840*T840</f>
        <v>0</v>
      </c>
      <c r="W840" s="101">
        <f t="shared" ref="W840:W903" si="76">Q840*T840</f>
        <v>0</v>
      </c>
      <c r="X840" s="101">
        <f t="shared" si="73"/>
        <v>0</v>
      </c>
      <c r="Y840" s="101">
        <f t="shared" ref="Y840:Y903" si="77">S840*T840</f>
        <v>0</v>
      </c>
    </row>
    <row r="841" spans="1:25" ht="11.25" hidden="1" customHeight="1" x14ac:dyDescent="0.3">
      <c r="A841" s="126" t="s">
        <v>184</v>
      </c>
      <c r="B841" s="126">
        <v>35</v>
      </c>
      <c r="C841" s="126">
        <v>45</v>
      </c>
      <c r="D841" s="126" t="str">
        <f t="shared" si="72"/>
        <v>3545</v>
      </c>
      <c r="J841" s="101">
        <v>0</v>
      </c>
      <c r="K841" s="101">
        <v>0</v>
      </c>
      <c r="L841" s="101">
        <v>0</v>
      </c>
      <c r="M841" s="101">
        <v>0</v>
      </c>
      <c r="N841" s="101">
        <v>0</v>
      </c>
      <c r="O841" s="101">
        <v>0</v>
      </c>
      <c r="P841" s="101">
        <v>0</v>
      </c>
      <c r="Q841" s="101">
        <v>0</v>
      </c>
      <c r="R841" s="101">
        <v>0</v>
      </c>
      <c r="S841" s="101">
        <v>0</v>
      </c>
      <c r="T841" s="169">
        <v>1.02</v>
      </c>
      <c r="U841" s="101">
        <f t="shared" si="74"/>
        <v>0</v>
      </c>
      <c r="V841" s="101">
        <f t="shared" si="75"/>
        <v>0</v>
      </c>
      <c r="W841" s="101">
        <f t="shared" si="76"/>
        <v>0</v>
      </c>
      <c r="X841" s="101">
        <f t="shared" si="73"/>
        <v>0</v>
      </c>
      <c r="Y841" s="101">
        <f t="shared" si="77"/>
        <v>0</v>
      </c>
    </row>
    <row r="842" spans="1:25" ht="11.25" hidden="1" customHeight="1" x14ac:dyDescent="0.3">
      <c r="A842" s="126" t="s">
        <v>184</v>
      </c>
      <c r="B842" s="126">
        <v>35</v>
      </c>
      <c r="C842" s="126">
        <v>91</v>
      </c>
      <c r="D842" s="126" t="str">
        <f t="shared" si="72"/>
        <v>3591</v>
      </c>
      <c r="J842" s="101">
        <v>36</v>
      </c>
      <c r="K842" s="101">
        <v>107</v>
      </c>
      <c r="L842" s="101">
        <v>394</v>
      </c>
      <c r="M842" s="101">
        <v>2589.27</v>
      </c>
      <c r="N842" s="101">
        <v>1381.1849999999999</v>
      </c>
      <c r="O842" s="101">
        <v>38</v>
      </c>
      <c r="P842" s="101">
        <v>104</v>
      </c>
      <c r="Q842" s="101">
        <v>513</v>
      </c>
      <c r="R842" s="101">
        <v>4303.9400000000005</v>
      </c>
      <c r="S842" s="101">
        <v>3078.835</v>
      </c>
      <c r="T842" s="169">
        <v>1.02</v>
      </c>
      <c r="U842" s="101">
        <f t="shared" si="74"/>
        <v>38.76</v>
      </c>
      <c r="V842" s="101">
        <f t="shared" si="75"/>
        <v>106.08</v>
      </c>
      <c r="W842" s="101">
        <f t="shared" si="76"/>
        <v>523.26</v>
      </c>
      <c r="X842" s="101">
        <f t="shared" si="73"/>
        <v>4390.0188000000007</v>
      </c>
      <c r="Y842" s="101">
        <f t="shared" si="77"/>
        <v>3140.4117000000001</v>
      </c>
    </row>
    <row r="843" spans="1:25" ht="11.25" hidden="1" customHeight="1" x14ac:dyDescent="0.3">
      <c r="A843" s="126" t="s">
        <v>184</v>
      </c>
      <c r="B843" s="126">
        <v>35</v>
      </c>
      <c r="C843" s="126">
        <v>35</v>
      </c>
      <c r="D843" s="126" t="str">
        <f t="shared" si="72"/>
        <v>3535</v>
      </c>
      <c r="J843" s="101">
        <v>1</v>
      </c>
      <c r="K843" s="101">
        <v>3</v>
      </c>
      <c r="L843" s="101">
        <v>100</v>
      </c>
      <c r="M843" s="101">
        <v>920.46</v>
      </c>
      <c r="N843" s="101">
        <v>60.435000000000002</v>
      </c>
      <c r="O843" s="101">
        <v>0</v>
      </c>
      <c r="P843" s="101">
        <v>0</v>
      </c>
      <c r="Q843" s="101">
        <v>0</v>
      </c>
      <c r="R843" s="101">
        <v>0</v>
      </c>
      <c r="S843" s="101">
        <v>0</v>
      </c>
      <c r="T843" s="169">
        <v>1.02</v>
      </c>
      <c r="U843" s="101">
        <f t="shared" si="74"/>
        <v>0</v>
      </c>
      <c r="V843" s="101">
        <f t="shared" si="75"/>
        <v>0</v>
      </c>
      <c r="W843" s="101">
        <f t="shared" si="76"/>
        <v>0</v>
      </c>
      <c r="X843" s="101">
        <f t="shared" si="73"/>
        <v>0</v>
      </c>
      <c r="Y843" s="101">
        <f t="shared" si="77"/>
        <v>0</v>
      </c>
    </row>
    <row r="844" spans="1:25" ht="11.25" hidden="1" customHeight="1" x14ac:dyDescent="0.3">
      <c r="A844" s="126" t="s">
        <v>184</v>
      </c>
      <c r="B844" s="126">
        <v>35</v>
      </c>
      <c r="C844" s="126">
        <v>27</v>
      </c>
      <c r="D844" s="126" t="str">
        <f t="shared" si="72"/>
        <v>3527</v>
      </c>
      <c r="E844" s="101">
        <v>123</v>
      </c>
      <c r="F844" s="101">
        <v>2340</v>
      </c>
      <c r="G844" s="101">
        <v>10104</v>
      </c>
      <c r="H844" s="101">
        <v>99362.74</v>
      </c>
      <c r="I844" s="101">
        <v>24644.427999999996</v>
      </c>
      <c r="J844" s="101">
        <v>117</v>
      </c>
      <c r="K844" s="101">
        <v>2028</v>
      </c>
      <c r="L844" s="101">
        <v>9270</v>
      </c>
      <c r="M844" s="101">
        <v>87362.94</v>
      </c>
      <c r="N844" s="101">
        <v>34673.108999999997</v>
      </c>
      <c r="O844" s="101">
        <v>115</v>
      </c>
      <c r="P844" s="101">
        <v>2638</v>
      </c>
      <c r="Q844" s="101">
        <v>16523</v>
      </c>
      <c r="R844" s="101">
        <v>162735.00000000003</v>
      </c>
      <c r="S844" s="101">
        <v>63948.509000000005</v>
      </c>
      <c r="T844" s="169">
        <v>1.02</v>
      </c>
      <c r="U844" s="101">
        <f t="shared" si="74"/>
        <v>117.3</v>
      </c>
      <c r="V844" s="101">
        <f t="shared" si="75"/>
        <v>2690.76</v>
      </c>
      <c r="W844" s="101">
        <f t="shared" si="76"/>
        <v>16853.46</v>
      </c>
      <c r="X844" s="101">
        <f t="shared" si="73"/>
        <v>165989.70000000004</v>
      </c>
      <c r="Y844" s="101">
        <f t="shared" si="77"/>
        <v>65227.479180000009</v>
      </c>
    </row>
    <row r="845" spans="1:25" ht="11.25" customHeight="1" x14ac:dyDescent="0.3">
      <c r="A845" s="126" t="s">
        <v>184</v>
      </c>
      <c r="B845" s="126">
        <v>35</v>
      </c>
      <c r="C845" s="126" t="s">
        <v>172</v>
      </c>
      <c r="D845" s="126" t="str">
        <f t="shared" si="72"/>
        <v>35Uml</v>
      </c>
      <c r="J845" s="101">
        <v>286</v>
      </c>
      <c r="K845" s="101">
        <v>313</v>
      </c>
      <c r="L845" s="101">
        <v>119314</v>
      </c>
      <c r="N845" s="101">
        <v>184641</v>
      </c>
      <c r="O845" s="101">
        <v>350</v>
      </c>
      <c r="P845" s="101">
        <v>357</v>
      </c>
      <c r="Q845" s="101">
        <v>81475</v>
      </c>
      <c r="S845" s="101">
        <v>231713</v>
      </c>
      <c r="T845" s="169">
        <v>1.02</v>
      </c>
      <c r="U845" s="101">
        <f t="shared" si="74"/>
        <v>357</v>
      </c>
      <c r="V845" s="101">
        <f t="shared" si="75"/>
        <v>364.14</v>
      </c>
      <c r="W845" s="101">
        <f t="shared" si="76"/>
        <v>83104.5</v>
      </c>
      <c r="X845" s="101">
        <f t="shared" si="73"/>
        <v>0</v>
      </c>
      <c r="Y845" s="101">
        <f t="shared" si="77"/>
        <v>236347.26</v>
      </c>
    </row>
    <row r="846" spans="1:25" ht="11.25" hidden="1" customHeight="1" x14ac:dyDescent="0.3">
      <c r="A846" s="126" t="s">
        <v>184</v>
      </c>
      <c r="B846" s="126">
        <v>35</v>
      </c>
      <c r="C846" s="126">
        <v>37</v>
      </c>
      <c r="D846" s="126" t="str">
        <f t="shared" si="72"/>
        <v>3537</v>
      </c>
      <c r="E846" s="101">
        <v>8.5</v>
      </c>
      <c r="F846" s="101">
        <v>35</v>
      </c>
      <c r="G846" s="101">
        <v>22204.5</v>
      </c>
      <c r="H846" s="101">
        <v>33207.4375</v>
      </c>
      <c r="I846" s="101">
        <v>11181.072750000001</v>
      </c>
      <c r="J846" s="101">
        <v>18</v>
      </c>
      <c r="K846" s="101">
        <v>44</v>
      </c>
      <c r="L846" s="101">
        <v>727</v>
      </c>
      <c r="M846" s="101">
        <v>3960.71</v>
      </c>
      <c r="N846" s="101">
        <v>1833.5909999999999</v>
      </c>
      <c r="O846" s="101">
        <v>30</v>
      </c>
      <c r="P846" s="101">
        <v>112</v>
      </c>
      <c r="Q846" s="101">
        <v>1813</v>
      </c>
      <c r="R846" s="101">
        <v>14474.16</v>
      </c>
      <c r="S846" s="101">
        <v>12075.317999999999</v>
      </c>
      <c r="T846" s="169">
        <v>1.02</v>
      </c>
      <c r="U846" s="101">
        <f t="shared" si="74"/>
        <v>30.6</v>
      </c>
      <c r="V846" s="101">
        <f t="shared" si="75"/>
        <v>114.24000000000001</v>
      </c>
      <c r="W846" s="101">
        <f t="shared" si="76"/>
        <v>1849.26</v>
      </c>
      <c r="X846" s="101">
        <f t="shared" si="73"/>
        <v>14763.6432</v>
      </c>
      <c r="Y846" s="101">
        <f t="shared" si="77"/>
        <v>12316.824359999999</v>
      </c>
    </row>
    <row r="847" spans="1:25" ht="11.25" hidden="1" customHeight="1" x14ac:dyDescent="0.3">
      <c r="A847" s="126" t="s">
        <v>185</v>
      </c>
      <c r="B847" s="126">
        <v>36</v>
      </c>
      <c r="C847" s="126">
        <v>12</v>
      </c>
      <c r="D847" s="126" t="str">
        <f t="shared" si="72"/>
        <v>3612</v>
      </c>
      <c r="E847" s="101">
        <v>38</v>
      </c>
      <c r="F847" s="101">
        <v>53</v>
      </c>
      <c r="G847" s="101">
        <v>114</v>
      </c>
      <c r="H847" s="101">
        <v>2074.4</v>
      </c>
      <c r="I847" s="101">
        <v>407.51399999999995</v>
      </c>
      <c r="J847" s="101">
        <v>20</v>
      </c>
      <c r="K847" s="101">
        <v>33</v>
      </c>
      <c r="L847" s="101">
        <v>46</v>
      </c>
      <c r="M847" s="101">
        <v>777</v>
      </c>
      <c r="N847" s="101">
        <v>186</v>
      </c>
      <c r="O847" s="101">
        <v>6</v>
      </c>
      <c r="P847" s="101">
        <v>7</v>
      </c>
      <c r="Q847" s="101">
        <v>14</v>
      </c>
      <c r="R847" s="101">
        <v>250.38</v>
      </c>
      <c r="S847" s="101">
        <v>23.175000000000001</v>
      </c>
      <c r="T847" s="169">
        <v>1.02</v>
      </c>
      <c r="U847" s="101">
        <f t="shared" si="74"/>
        <v>6.12</v>
      </c>
      <c r="V847" s="101">
        <f t="shared" si="75"/>
        <v>7.1400000000000006</v>
      </c>
      <c r="W847" s="101">
        <f t="shared" si="76"/>
        <v>14.280000000000001</v>
      </c>
      <c r="X847" s="101">
        <f t="shared" si="73"/>
        <v>255.38759999999999</v>
      </c>
      <c r="Y847" s="101">
        <f t="shared" si="77"/>
        <v>23.638500000000001</v>
      </c>
    </row>
    <row r="848" spans="1:25" ht="11.25" hidden="1" customHeight="1" x14ac:dyDescent="0.3">
      <c r="A848" s="126" t="s">
        <v>185</v>
      </c>
      <c r="B848" s="126">
        <v>36</v>
      </c>
      <c r="C848" s="126">
        <v>14</v>
      </c>
      <c r="D848" s="126" t="str">
        <f t="shared" si="72"/>
        <v>3614</v>
      </c>
      <c r="E848" s="101">
        <v>7</v>
      </c>
      <c r="F848" s="101">
        <v>14</v>
      </c>
      <c r="G848" s="101">
        <v>15</v>
      </c>
      <c r="H848" s="101">
        <v>3188.85</v>
      </c>
      <c r="I848" s="101">
        <v>692.72900000000004</v>
      </c>
      <c r="J848" s="101">
        <v>30</v>
      </c>
      <c r="K848" s="101">
        <v>79</v>
      </c>
      <c r="L848" s="101">
        <v>125</v>
      </c>
      <c r="M848" s="101">
        <v>11460</v>
      </c>
      <c r="N848" s="101">
        <v>1935</v>
      </c>
      <c r="O848" s="101">
        <v>52</v>
      </c>
      <c r="P848" s="101">
        <v>90</v>
      </c>
      <c r="Q848" s="101">
        <v>130</v>
      </c>
      <c r="R848" s="101">
        <v>7757.78</v>
      </c>
      <c r="S848" s="101">
        <v>1154.212</v>
      </c>
      <c r="T848" s="169">
        <v>1.02</v>
      </c>
      <c r="U848" s="101">
        <f t="shared" si="74"/>
        <v>53.04</v>
      </c>
      <c r="V848" s="101">
        <f t="shared" si="75"/>
        <v>91.8</v>
      </c>
      <c r="W848" s="101">
        <f t="shared" si="76"/>
        <v>132.6</v>
      </c>
      <c r="X848" s="101">
        <f t="shared" si="73"/>
        <v>7912.9355999999998</v>
      </c>
      <c r="Y848" s="101">
        <f t="shared" si="77"/>
        <v>1177.2962399999999</v>
      </c>
    </row>
    <row r="849" spans="1:25" ht="11.25" hidden="1" customHeight="1" x14ac:dyDescent="0.3">
      <c r="A849" s="126" t="s">
        <v>185</v>
      </c>
      <c r="B849" s="126">
        <v>36</v>
      </c>
      <c r="C849" s="126">
        <v>17</v>
      </c>
      <c r="D849" s="126" t="str">
        <f t="shared" si="72"/>
        <v>3617</v>
      </c>
      <c r="E849" s="101">
        <v>2032</v>
      </c>
      <c r="F849" s="101">
        <v>2714</v>
      </c>
      <c r="G849" s="101">
        <v>3729</v>
      </c>
      <c r="H849" s="101">
        <v>135166.82</v>
      </c>
      <c r="I849" s="101">
        <v>26336.178</v>
      </c>
      <c r="J849" s="101">
        <v>997</v>
      </c>
      <c r="K849" s="101">
        <v>3156</v>
      </c>
      <c r="L849" s="101">
        <v>4092</v>
      </c>
      <c r="M849" s="101">
        <v>78372</v>
      </c>
      <c r="N849" s="101">
        <v>12419</v>
      </c>
      <c r="O849" s="101">
        <v>987</v>
      </c>
      <c r="P849" s="101">
        <v>1671</v>
      </c>
      <c r="Q849" s="101">
        <v>2388</v>
      </c>
      <c r="R849" s="101">
        <v>77859.98</v>
      </c>
      <c r="S849" s="101">
        <v>16718.185000000001</v>
      </c>
      <c r="T849" s="169">
        <v>1.02</v>
      </c>
      <c r="U849" s="101">
        <v>2289</v>
      </c>
      <c r="V849" s="101">
        <v>4540</v>
      </c>
      <c r="W849" s="101">
        <v>6892</v>
      </c>
      <c r="X849" s="101">
        <f t="shared" si="73"/>
        <v>79417.179600000003</v>
      </c>
      <c r="Y849" s="101">
        <v>35000</v>
      </c>
    </row>
    <row r="850" spans="1:25" ht="11.25" hidden="1" customHeight="1" x14ac:dyDescent="0.3">
      <c r="A850" s="126" t="s">
        <v>185</v>
      </c>
      <c r="B850" s="126">
        <v>36</v>
      </c>
      <c r="C850" s="126">
        <v>18</v>
      </c>
      <c r="D850" s="126" t="str">
        <f t="shared" si="72"/>
        <v>3618</v>
      </c>
      <c r="E850" s="101">
        <v>269</v>
      </c>
      <c r="F850" s="101">
        <v>354</v>
      </c>
      <c r="G850" s="101">
        <v>660</v>
      </c>
      <c r="H850" s="101">
        <v>20799.710000000003</v>
      </c>
      <c r="I850" s="101">
        <v>3101.5390000000002</v>
      </c>
      <c r="J850" s="101">
        <v>2316</v>
      </c>
      <c r="K850" s="101">
        <v>2525</v>
      </c>
      <c r="L850" s="101">
        <v>2889</v>
      </c>
      <c r="M850" s="101">
        <v>127069</v>
      </c>
      <c r="N850" s="101">
        <v>28878</v>
      </c>
      <c r="O850" s="101">
        <v>1447</v>
      </c>
      <c r="P850" s="101">
        <v>1687</v>
      </c>
      <c r="Q850" s="101">
        <v>4000</v>
      </c>
      <c r="R850" s="101">
        <v>81123.58</v>
      </c>
      <c r="S850" s="101">
        <v>29400.891</v>
      </c>
      <c r="T850" s="169">
        <v>0.65</v>
      </c>
      <c r="U850" s="101">
        <f t="shared" si="74"/>
        <v>940.55000000000007</v>
      </c>
      <c r="V850" s="101">
        <f t="shared" si="75"/>
        <v>1096.55</v>
      </c>
      <c r="W850" s="101">
        <f t="shared" si="76"/>
        <v>2600</v>
      </c>
      <c r="X850" s="101">
        <f t="shared" si="73"/>
        <v>52730.327000000005</v>
      </c>
      <c r="Y850" s="101">
        <f t="shared" si="77"/>
        <v>19110.579150000001</v>
      </c>
    </row>
    <row r="851" spans="1:25" ht="11.25" hidden="1" customHeight="1" x14ac:dyDescent="0.3">
      <c r="A851" s="126" t="s">
        <v>185</v>
      </c>
      <c r="B851" s="126">
        <v>36</v>
      </c>
      <c r="C851" s="126">
        <v>28</v>
      </c>
      <c r="D851" s="126" t="str">
        <f t="shared" si="72"/>
        <v>3628</v>
      </c>
      <c r="E851" s="101">
        <v>280</v>
      </c>
      <c r="F851" s="101">
        <v>1805</v>
      </c>
      <c r="G851" s="101">
        <v>15051</v>
      </c>
      <c r="H851" s="101">
        <v>639052.95000000007</v>
      </c>
      <c r="I851" s="101">
        <v>251860.39399999997</v>
      </c>
      <c r="J851" s="101">
        <v>270</v>
      </c>
      <c r="K851" s="101">
        <v>3509</v>
      </c>
      <c r="L851" s="101">
        <v>18720</v>
      </c>
      <c r="M851" s="101">
        <v>417294</v>
      </c>
      <c r="N851" s="101">
        <v>92917</v>
      </c>
      <c r="O851" s="101">
        <v>254</v>
      </c>
      <c r="P851" s="101">
        <v>5226</v>
      </c>
      <c r="Q851" s="101">
        <v>39365</v>
      </c>
      <c r="R851" s="101">
        <v>650919.02</v>
      </c>
      <c r="S851" s="101">
        <v>145745.72099999999</v>
      </c>
      <c r="T851" s="169">
        <v>1.02</v>
      </c>
      <c r="U851" s="101">
        <v>80</v>
      </c>
      <c r="V851" s="101">
        <v>520</v>
      </c>
      <c r="W851" s="101">
        <v>2045</v>
      </c>
      <c r="X851" s="144">
        <f t="shared" si="73"/>
        <v>663937.40040000004</v>
      </c>
      <c r="Y851" s="101">
        <v>30090</v>
      </c>
    </row>
    <row r="852" spans="1:25" ht="11.25" hidden="1" customHeight="1" x14ac:dyDescent="0.3">
      <c r="A852" s="126" t="s">
        <v>185</v>
      </c>
      <c r="B852" s="126">
        <v>36</v>
      </c>
      <c r="C852" s="126">
        <v>46</v>
      </c>
      <c r="D852" s="126" t="str">
        <f t="shared" si="72"/>
        <v>3646</v>
      </c>
      <c r="E852" s="101">
        <v>256</v>
      </c>
      <c r="F852" s="101">
        <v>551</v>
      </c>
      <c r="G852" s="101">
        <v>19132</v>
      </c>
      <c r="H852" s="101">
        <v>252768.21000000002</v>
      </c>
      <c r="I852" s="101">
        <v>73034.552999999985</v>
      </c>
      <c r="J852" s="101">
        <v>202</v>
      </c>
      <c r="K852" s="101">
        <v>457</v>
      </c>
      <c r="L852" s="101">
        <v>25775</v>
      </c>
      <c r="M852" s="101">
        <v>347453</v>
      </c>
      <c r="N852" s="101">
        <v>125498</v>
      </c>
      <c r="O852" s="101">
        <v>141</v>
      </c>
      <c r="P852" s="101">
        <v>308</v>
      </c>
      <c r="Q852" s="101">
        <v>30692</v>
      </c>
      <c r="R852" s="101">
        <v>503438.27</v>
      </c>
      <c r="S852" s="101">
        <v>152198.76199999999</v>
      </c>
      <c r="T852" s="169">
        <v>1.02</v>
      </c>
      <c r="U852" s="101">
        <f t="shared" si="74"/>
        <v>143.82</v>
      </c>
      <c r="V852" s="101">
        <f t="shared" si="75"/>
        <v>314.16000000000003</v>
      </c>
      <c r="W852" s="101">
        <f t="shared" si="76"/>
        <v>31305.84</v>
      </c>
      <c r="X852" s="101">
        <f t="shared" si="73"/>
        <v>513507.03540000005</v>
      </c>
      <c r="Y852" s="101">
        <f t="shared" si="77"/>
        <v>155242.73723999999</v>
      </c>
    </row>
    <row r="853" spans="1:25" ht="11.25" hidden="1" customHeight="1" x14ac:dyDescent="0.3">
      <c r="A853" s="126" t="s">
        <v>185</v>
      </c>
      <c r="B853" s="126">
        <v>36</v>
      </c>
      <c r="C853" s="126">
        <v>66</v>
      </c>
      <c r="D853" s="126" t="str">
        <f t="shared" si="72"/>
        <v>3666</v>
      </c>
      <c r="E853" s="101">
        <v>421</v>
      </c>
      <c r="F853" s="101">
        <v>1635</v>
      </c>
      <c r="G853" s="101">
        <v>21464</v>
      </c>
      <c r="H853" s="101">
        <v>149389.9</v>
      </c>
      <c r="I853" s="101">
        <v>75961.975000000006</v>
      </c>
      <c r="J853" s="101">
        <v>191</v>
      </c>
      <c r="K853" s="101">
        <v>1752</v>
      </c>
      <c r="L853" s="101">
        <v>35462</v>
      </c>
      <c r="M853" s="101">
        <v>194132</v>
      </c>
      <c r="N853" s="101">
        <v>120092</v>
      </c>
      <c r="O853" s="101">
        <v>189</v>
      </c>
      <c r="P853" s="101">
        <v>1078</v>
      </c>
      <c r="Q853" s="101">
        <v>18701</v>
      </c>
      <c r="R853" s="101">
        <v>144881.18</v>
      </c>
      <c r="S853" s="101">
        <v>65237.468000000001</v>
      </c>
      <c r="T853" s="169">
        <v>1.02</v>
      </c>
      <c r="U853" s="101">
        <f t="shared" si="74"/>
        <v>192.78</v>
      </c>
      <c r="V853" s="101">
        <f t="shared" si="75"/>
        <v>1099.56</v>
      </c>
      <c r="W853" s="101">
        <f t="shared" si="76"/>
        <v>19075.02</v>
      </c>
      <c r="X853" s="101">
        <f t="shared" si="73"/>
        <v>147778.80359999998</v>
      </c>
      <c r="Y853" s="101">
        <f t="shared" si="77"/>
        <v>66542.217359999995</v>
      </c>
    </row>
    <row r="854" spans="1:25" ht="11.25" hidden="1" customHeight="1" x14ac:dyDescent="0.3">
      <c r="A854" s="126" t="s">
        <v>185</v>
      </c>
      <c r="B854" s="126">
        <v>36</v>
      </c>
      <c r="C854" s="126">
        <v>30</v>
      </c>
      <c r="D854" s="126" t="str">
        <f t="shared" si="72"/>
        <v>3630</v>
      </c>
      <c r="E854" s="101">
        <v>264</v>
      </c>
      <c r="F854" s="101">
        <v>3776.5</v>
      </c>
      <c r="G854" s="101">
        <v>15760.5</v>
      </c>
      <c r="H854" s="101">
        <v>399227.03500000003</v>
      </c>
      <c r="I854" s="101">
        <v>134854.06449999998</v>
      </c>
      <c r="J854" s="101">
        <v>0</v>
      </c>
      <c r="K854" s="101">
        <v>0</v>
      </c>
      <c r="L854" s="101">
        <v>0</v>
      </c>
      <c r="M854" s="101">
        <v>0</v>
      </c>
      <c r="N854" s="101">
        <v>0</v>
      </c>
      <c r="O854" s="101">
        <v>69</v>
      </c>
      <c r="P854" s="101">
        <v>70</v>
      </c>
      <c r="Q854" s="101">
        <v>977</v>
      </c>
      <c r="R854" s="101">
        <v>92218.93</v>
      </c>
      <c r="S854" s="101">
        <v>57848.445</v>
      </c>
      <c r="T854" s="169">
        <v>1.02</v>
      </c>
      <c r="U854" s="101">
        <f t="shared" si="74"/>
        <v>70.38</v>
      </c>
      <c r="V854" s="101">
        <f t="shared" si="75"/>
        <v>71.400000000000006</v>
      </c>
      <c r="W854" s="101">
        <f t="shared" si="76"/>
        <v>996.54</v>
      </c>
      <c r="X854" s="101">
        <f t="shared" si="73"/>
        <v>94063.308599999989</v>
      </c>
      <c r="Y854" s="101">
        <f t="shared" si="77"/>
        <v>59005.4139</v>
      </c>
    </row>
    <row r="855" spans="1:25" ht="11.25" hidden="1" customHeight="1" x14ac:dyDescent="0.3">
      <c r="A855" s="126" t="s">
        <v>185</v>
      </c>
      <c r="B855" s="126">
        <v>36</v>
      </c>
      <c r="C855" s="126">
        <v>21</v>
      </c>
      <c r="D855" s="126" t="str">
        <f t="shared" si="72"/>
        <v>3621</v>
      </c>
      <c r="E855" s="101">
        <v>1037</v>
      </c>
      <c r="F855" s="101">
        <v>4814</v>
      </c>
      <c r="G855" s="101">
        <v>50524.5</v>
      </c>
      <c r="H855" s="101">
        <v>484984.19</v>
      </c>
      <c r="I855" s="101">
        <v>140642.476</v>
      </c>
      <c r="J855" s="101">
        <v>1020</v>
      </c>
      <c r="K855" s="101">
        <v>9854</v>
      </c>
      <c r="L855" s="101">
        <v>76204</v>
      </c>
      <c r="M855" s="101">
        <v>827734</v>
      </c>
      <c r="N855" s="101">
        <v>261612</v>
      </c>
      <c r="O855" s="101">
        <v>802</v>
      </c>
      <c r="P855" s="101">
        <v>6662</v>
      </c>
      <c r="Q855" s="101">
        <v>45286</v>
      </c>
      <c r="R855" s="101">
        <v>603833.67000000004</v>
      </c>
      <c r="S855" s="101">
        <v>161580.91899999999</v>
      </c>
      <c r="T855" s="169">
        <v>1.02</v>
      </c>
      <c r="U855" s="101"/>
      <c r="V855" s="101"/>
      <c r="W855" s="101"/>
      <c r="X855" s="101"/>
      <c r="Y855" s="101"/>
    </row>
    <row r="856" spans="1:25" ht="11.25" hidden="1" customHeight="1" x14ac:dyDescent="0.3">
      <c r="A856" s="126" t="s">
        <v>185</v>
      </c>
      <c r="B856" s="126">
        <v>36</v>
      </c>
      <c r="C856" s="126">
        <v>71</v>
      </c>
      <c r="D856" s="126" t="str">
        <f t="shared" si="72"/>
        <v>3671</v>
      </c>
      <c r="E856" s="101">
        <v>613.5</v>
      </c>
      <c r="F856" s="101">
        <v>7136</v>
      </c>
      <c r="G856" s="101">
        <v>24601.5</v>
      </c>
      <c r="H856" s="101">
        <v>195040.74000000005</v>
      </c>
      <c r="I856" s="101">
        <v>97210.214500000002</v>
      </c>
      <c r="J856" s="101">
        <v>609</v>
      </c>
      <c r="K856" s="101">
        <v>6893</v>
      </c>
      <c r="L856" s="101">
        <v>19289</v>
      </c>
      <c r="M856" s="101">
        <v>169275</v>
      </c>
      <c r="N856" s="101">
        <v>109628</v>
      </c>
      <c r="O856" s="101">
        <v>360</v>
      </c>
      <c r="P856" s="101">
        <v>7001</v>
      </c>
      <c r="Q856" s="101">
        <v>22882</v>
      </c>
      <c r="R856" s="101">
        <v>187535.62</v>
      </c>
      <c r="S856" s="101">
        <v>91729.350999999995</v>
      </c>
      <c r="T856" s="169">
        <v>0.98</v>
      </c>
      <c r="U856" s="101">
        <v>563</v>
      </c>
      <c r="V856" s="101">
        <v>16055</v>
      </c>
      <c r="W856" s="101">
        <v>54296</v>
      </c>
      <c r="X856" s="101">
        <v>420601</v>
      </c>
      <c r="Y856" s="101">
        <v>197957</v>
      </c>
    </row>
    <row r="857" spans="1:25" ht="11.25" hidden="1" customHeight="1" x14ac:dyDescent="0.3">
      <c r="A857" s="126" t="s">
        <v>185</v>
      </c>
      <c r="B857" s="126">
        <v>36</v>
      </c>
      <c r="C857" s="126">
        <v>25</v>
      </c>
      <c r="D857" s="126" t="str">
        <f t="shared" si="72"/>
        <v>3625</v>
      </c>
      <c r="E857" s="101">
        <v>1320</v>
      </c>
      <c r="F857" s="101">
        <v>7196</v>
      </c>
      <c r="G857" s="101">
        <v>76778</v>
      </c>
      <c r="H857" s="101">
        <v>782443.42</v>
      </c>
      <c r="I857" s="101">
        <v>391976.38499999995</v>
      </c>
      <c r="J857" s="101">
        <v>707</v>
      </c>
      <c r="K857" s="101">
        <v>7982</v>
      </c>
      <c r="L857" s="101">
        <v>102608</v>
      </c>
      <c r="M857" s="101">
        <v>607996</v>
      </c>
      <c r="N857" s="101">
        <v>245951</v>
      </c>
      <c r="O857" s="101">
        <v>608</v>
      </c>
      <c r="P857" s="101">
        <v>4581</v>
      </c>
      <c r="Q857" s="101">
        <v>30860</v>
      </c>
      <c r="R857" s="101">
        <v>398468.35</v>
      </c>
      <c r="S857" s="101">
        <v>212947.68400000001</v>
      </c>
      <c r="T857" s="169">
        <v>1.02</v>
      </c>
      <c r="U857" s="101">
        <f t="shared" si="74"/>
        <v>620.16</v>
      </c>
      <c r="V857" s="101">
        <f t="shared" si="75"/>
        <v>4672.62</v>
      </c>
      <c r="W857" s="101">
        <f t="shared" si="76"/>
        <v>31477.200000000001</v>
      </c>
      <c r="X857" s="101">
        <f t="shared" si="73"/>
        <v>406437.717</v>
      </c>
      <c r="Y857" s="101">
        <f t="shared" si="77"/>
        <v>217206.63768000001</v>
      </c>
    </row>
    <row r="858" spans="1:25" ht="11.25" hidden="1" customHeight="1" x14ac:dyDescent="0.3">
      <c r="A858" s="126" t="s">
        <v>185</v>
      </c>
      <c r="B858" s="126">
        <v>36</v>
      </c>
      <c r="C858" s="126">
        <v>22</v>
      </c>
      <c r="D858" s="126" t="str">
        <f t="shared" si="72"/>
        <v>3622</v>
      </c>
      <c r="J858" s="101">
        <v>14</v>
      </c>
      <c r="K858" s="101">
        <v>33</v>
      </c>
      <c r="L858" s="101">
        <v>118</v>
      </c>
      <c r="M858" s="101">
        <v>1017</v>
      </c>
      <c r="N858" s="101">
        <v>483</v>
      </c>
      <c r="O858" s="101">
        <v>4</v>
      </c>
      <c r="P858" s="101">
        <v>7</v>
      </c>
      <c r="Q858" s="101">
        <v>62</v>
      </c>
      <c r="R858" s="101">
        <v>1432.8</v>
      </c>
      <c r="S858" s="101">
        <v>373.01299999999998</v>
      </c>
      <c r="T858" s="169">
        <v>1.02</v>
      </c>
      <c r="U858" s="101">
        <f t="shared" si="74"/>
        <v>4.08</v>
      </c>
      <c r="V858" s="101">
        <f t="shared" si="75"/>
        <v>7.1400000000000006</v>
      </c>
      <c r="W858" s="101">
        <f t="shared" si="76"/>
        <v>63.24</v>
      </c>
      <c r="X858" s="101">
        <f t="shared" si="73"/>
        <v>1461.4559999999999</v>
      </c>
      <c r="Y858" s="101">
        <f t="shared" si="77"/>
        <v>380.47325999999998</v>
      </c>
    </row>
    <row r="859" spans="1:25" ht="11.25" hidden="1" customHeight="1" x14ac:dyDescent="0.3">
      <c r="A859" s="126" t="s">
        <v>185</v>
      </c>
      <c r="B859" s="126">
        <v>36</v>
      </c>
      <c r="C859" s="126">
        <v>26</v>
      </c>
      <c r="D859" s="126" t="str">
        <f t="shared" si="72"/>
        <v>3626</v>
      </c>
      <c r="J859" s="101">
        <v>12</v>
      </c>
      <c r="K859" s="101">
        <v>25</v>
      </c>
      <c r="L859" s="101">
        <v>300</v>
      </c>
      <c r="M859" s="101">
        <v>8900</v>
      </c>
      <c r="N859" s="101">
        <v>1522</v>
      </c>
      <c r="O859" s="101">
        <v>0</v>
      </c>
      <c r="P859" s="101">
        <v>0</v>
      </c>
      <c r="Q859" s="101">
        <v>0</v>
      </c>
      <c r="R859" s="101">
        <v>0</v>
      </c>
      <c r="S859" s="101">
        <v>0</v>
      </c>
      <c r="T859" s="169">
        <v>1.02</v>
      </c>
      <c r="U859" s="101">
        <f t="shared" si="74"/>
        <v>0</v>
      </c>
      <c r="V859" s="101">
        <f t="shared" si="75"/>
        <v>0</v>
      </c>
      <c r="W859" s="101">
        <f t="shared" si="76"/>
        <v>0</v>
      </c>
      <c r="X859" s="101">
        <f t="shared" si="73"/>
        <v>0</v>
      </c>
      <c r="Y859" s="101">
        <f t="shared" si="77"/>
        <v>0</v>
      </c>
    </row>
    <row r="860" spans="1:25" ht="11.25" hidden="1" customHeight="1" x14ac:dyDescent="0.3">
      <c r="A860" s="126" t="s">
        <v>185</v>
      </c>
      <c r="B860" s="126">
        <v>36</v>
      </c>
      <c r="C860" s="126">
        <v>32</v>
      </c>
      <c r="D860" s="126" t="str">
        <f t="shared" si="72"/>
        <v>3632</v>
      </c>
      <c r="J860" s="101">
        <v>217</v>
      </c>
      <c r="K860" s="101">
        <v>235</v>
      </c>
      <c r="L860" s="101">
        <v>2847</v>
      </c>
      <c r="M860" s="101">
        <v>18233</v>
      </c>
      <c r="N860" s="101">
        <v>6222</v>
      </c>
      <c r="O860" s="101">
        <v>34</v>
      </c>
      <c r="P860" s="101">
        <v>244</v>
      </c>
      <c r="Q860" s="101">
        <v>3357</v>
      </c>
      <c r="R860" s="101">
        <v>57262.59</v>
      </c>
      <c r="S860" s="101">
        <v>24463.846000000001</v>
      </c>
      <c r="T860" s="169">
        <v>1.02</v>
      </c>
      <c r="U860" s="101">
        <f t="shared" si="74"/>
        <v>34.68</v>
      </c>
      <c r="V860" s="101">
        <f t="shared" si="75"/>
        <v>248.88</v>
      </c>
      <c r="W860" s="101">
        <f t="shared" si="76"/>
        <v>3424.14</v>
      </c>
      <c r="X860" s="101">
        <f t="shared" si="73"/>
        <v>58407.841799999995</v>
      </c>
      <c r="Y860" s="101">
        <f t="shared" si="77"/>
        <v>24953.122920000002</v>
      </c>
    </row>
    <row r="861" spans="1:25" ht="11.25" hidden="1" customHeight="1" x14ac:dyDescent="0.3">
      <c r="A861" s="126" t="s">
        <v>185</v>
      </c>
      <c r="B861" s="126">
        <v>36</v>
      </c>
      <c r="C861" s="126">
        <v>43</v>
      </c>
      <c r="D861" s="126" t="str">
        <f t="shared" si="72"/>
        <v>3643</v>
      </c>
      <c r="J861" s="101">
        <v>0</v>
      </c>
      <c r="K861" s="101">
        <v>0</v>
      </c>
      <c r="L861" s="101">
        <v>0</v>
      </c>
      <c r="M861" s="101">
        <v>0</v>
      </c>
      <c r="N861" s="101">
        <v>0</v>
      </c>
      <c r="O861" s="101">
        <v>0</v>
      </c>
      <c r="P861" s="101">
        <v>0</v>
      </c>
      <c r="Q861" s="101">
        <v>0</v>
      </c>
      <c r="R861" s="101">
        <v>0</v>
      </c>
      <c r="S861" s="101">
        <v>0</v>
      </c>
      <c r="T861" s="169">
        <v>1.02</v>
      </c>
      <c r="U861" s="101">
        <f t="shared" si="74"/>
        <v>0</v>
      </c>
      <c r="V861" s="101">
        <f t="shared" si="75"/>
        <v>0</v>
      </c>
      <c r="W861" s="101">
        <f t="shared" si="76"/>
        <v>0</v>
      </c>
      <c r="X861" s="101">
        <f t="shared" si="73"/>
        <v>0</v>
      </c>
      <c r="Y861" s="101">
        <f t="shared" si="77"/>
        <v>0</v>
      </c>
    </row>
    <row r="862" spans="1:25" ht="11.25" hidden="1" customHeight="1" x14ac:dyDescent="0.3">
      <c r="A862" s="126" t="s">
        <v>185</v>
      </c>
      <c r="B862" s="126">
        <v>36</v>
      </c>
      <c r="C862" s="126">
        <v>44</v>
      </c>
      <c r="D862" s="126" t="str">
        <f t="shared" si="72"/>
        <v>3644</v>
      </c>
      <c r="J862" s="101">
        <v>0</v>
      </c>
      <c r="K862" s="101">
        <v>0</v>
      </c>
      <c r="L862" s="101">
        <v>0</v>
      </c>
      <c r="M862" s="101">
        <v>0</v>
      </c>
      <c r="N862" s="101">
        <v>0</v>
      </c>
      <c r="O862" s="101">
        <v>0</v>
      </c>
      <c r="P862" s="101">
        <v>0</v>
      </c>
      <c r="Q862" s="101">
        <v>0</v>
      </c>
      <c r="R862" s="101">
        <v>0</v>
      </c>
      <c r="S862" s="101">
        <v>0</v>
      </c>
      <c r="T862" s="169">
        <v>1.02</v>
      </c>
      <c r="U862" s="101">
        <f t="shared" si="74"/>
        <v>0</v>
      </c>
      <c r="V862" s="101">
        <f t="shared" si="75"/>
        <v>0</v>
      </c>
      <c r="W862" s="101">
        <f t="shared" si="76"/>
        <v>0</v>
      </c>
      <c r="X862" s="101">
        <f t="shared" si="73"/>
        <v>0</v>
      </c>
      <c r="Y862" s="101">
        <f t="shared" si="77"/>
        <v>0</v>
      </c>
    </row>
    <row r="863" spans="1:25" ht="11.25" hidden="1" customHeight="1" x14ac:dyDescent="0.3">
      <c r="A863" s="126" t="s">
        <v>185</v>
      </c>
      <c r="B863" s="126">
        <v>36</v>
      </c>
      <c r="C863" s="126">
        <v>45</v>
      </c>
      <c r="D863" s="126" t="str">
        <f t="shared" si="72"/>
        <v>3645</v>
      </c>
      <c r="J863" s="101">
        <v>0</v>
      </c>
      <c r="K863" s="101">
        <v>0</v>
      </c>
      <c r="L863" s="101">
        <v>0</v>
      </c>
      <c r="M863" s="101">
        <v>0</v>
      </c>
      <c r="N863" s="101">
        <v>0</v>
      </c>
      <c r="O863" s="101">
        <v>0</v>
      </c>
      <c r="P863" s="101">
        <v>0</v>
      </c>
      <c r="Q863" s="101">
        <v>0</v>
      </c>
      <c r="R863" s="101">
        <v>0</v>
      </c>
      <c r="S863" s="101">
        <v>0</v>
      </c>
      <c r="T863" s="169">
        <v>1.02</v>
      </c>
      <c r="U863" s="101">
        <f t="shared" si="74"/>
        <v>0</v>
      </c>
      <c r="V863" s="101">
        <f t="shared" si="75"/>
        <v>0</v>
      </c>
      <c r="W863" s="101">
        <f t="shared" si="76"/>
        <v>0</v>
      </c>
      <c r="X863" s="101">
        <f t="shared" si="73"/>
        <v>0</v>
      </c>
      <c r="Y863" s="101">
        <f t="shared" si="77"/>
        <v>0</v>
      </c>
    </row>
    <row r="864" spans="1:25" ht="11.25" hidden="1" customHeight="1" x14ac:dyDescent="0.3">
      <c r="A864" s="126" t="s">
        <v>185</v>
      </c>
      <c r="B864" s="126">
        <v>36</v>
      </c>
      <c r="C864" s="126">
        <v>47</v>
      </c>
      <c r="D864" s="126" t="str">
        <f t="shared" si="72"/>
        <v>3647</v>
      </c>
      <c r="J864" s="101">
        <v>0</v>
      </c>
      <c r="K864" s="101">
        <v>0</v>
      </c>
      <c r="L864" s="101">
        <v>0</v>
      </c>
      <c r="M864" s="101">
        <v>0</v>
      </c>
      <c r="N864" s="101">
        <v>0</v>
      </c>
      <c r="O864" s="101">
        <v>5</v>
      </c>
      <c r="P864" s="101">
        <v>8</v>
      </c>
      <c r="Q864" s="101">
        <v>426</v>
      </c>
      <c r="R864" s="101">
        <v>6047.8</v>
      </c>
      <c r="S864" s="101">
        <v>1202.82</v>
      </c>
      <c r="T864" s="169">
        <v>1.02</v>
      </c>
      <c r="U864" s="101">
        <f t="shared" si="74"/>
        <v>5.0999999999999996</v>
      </c>
      <c r="V864" s="101">
        <f t="shared" si="75"/>
        <v>8.16</v>
      </c>
      <c r="W864" s="101">
        <f t="shared" si="76"/>
        <v>434.52</v>
      </c>
      <c r="X864" s="101">
        <f t="shared" si="73"/>
        <v>6168.7560000000003</v>
      </c>
      <c r="Y864" s="101">
        <f t="shared" si="77"/>
        <v>1226.8763999999999</v>
      </c>
    </row>
    <row r="865" spans="1:25" ht="11.25" hidden="1" customHeight="1" x14ac:dyDescent="0.3">
      <c r="A865" s="126" t="s">
        <v>185</v>
      </c>
      <c r="B865" s="126">
        <v>36</v>
      </c>
      <c r="C865" s="126">
        <v>91</v>
      </c>
      <c r="D865" s="126" t="str">
        <f t="shared" si="72"/>
        <v>3691</v>
      </c>
      <c r="J865" s="101">
        <v>45</v>
      </c>
      <c r="K865" s="101">
        <v>213</v>
      </c>
      <c r="L865" s="101">
        <v>1268</v>
      </c>
      <c r="M865" s="101">
        <v>5488</v>
      </c>
      <c r="N865" s="101">
        <v>3593</v>
      </c>
      <c r="O865" s="101">
        <v>42</v>
      </c>
      <c r="P865" s="101">
        <v>223</v>
      </c>
      <c r="Q865" s="101">
        <v>989</v>
      </c>
      <c r="R865" s="101">
        <v>4473.28</v>
      </c>
      <c r="S865" s="101">
        <v>2643.2550000000001</v>
      </c>
      <c r="T865" s="169">
        <v>1.02</v>
      </c>
      <c r="U865" s="101">
        <f t="shared" si="74"/>
        <v>42.84</v>
      </c>
      <c r="V865" s="101">
        <f t="shared" si="75"/>
        <v>227.46</v>
      </c>
      <c r="W865" s="101">
        <f t="shared" si="76"/>
        <v>1008.78</v>
      </c>
      <c r="X865" s="101">
        <f t="shared" si="73"/>
        <v>4562.7456000000002</v>
      </c>
      <c r="Y865" s="101">
        <f t="shared" si="77"/>
        <v>2696.1201000000001</v>
      </c>
    </row>
    <row r="866" spans="1:25" ht="11.25" hidden="1" customHeight="1" x14ac:dyDescent="0.3">
      <c r="A866" s="126" t="s">
        <v>185</v>
      </c>
      <c r="B866" s="126">
        <v>36</v>
      </c>
      <c r="C866" s="126">
        <v>48</v>
      </c>
      <c r="D866" s="126" t="str">
        <f t="shared" si="72"/>
        <v>3648</v>
      </c>
      <c r="J866" s="101">
        <v>0</v>
      </c>
      <c r="K866" s="101">
        <v>0</v>
      </c>
      <c r="L866" s="101">
        <v>0</v>
      </c>
      <c r="M866" s="101">
        <v>0</v>
      </c>
      <c r="N866" s="101">
        <v>0</v>
      </c>
      <c r="O866" s="101">
        <v>0</v>
      </c>
      <c r="P866" s="101">
        <v>0</v>
      </c>
      <c r="Q866" s="101">
        <v>0</v>
      </c>
      <c r="R866" s="101">
        <v>0</v>
      </c>
      <c r="S866" s="101">
        <v>0</v>
      </c>
      <c r="T866" s="169">
        <v>1.02</v>
      </c>
      <c r="U866" s="101">
        <f t="shared" si="74"/>
        <v>0</v>
      </c>
      <c r="V866" s="101">
        <f t="shared" si="75"/>
        <v>0</v>
      </c>
      <c r="W866" s="101">
        <f t="shared" si="76"/>
        <v>0</v>
      </c>
      <c r="X866" s="101">
        <f t="shared" si="73"/>
        <v>0</v>
      </c>
      <c r="Y866" s="101">
        <f t="shared" si="77"/>
        <v>0</v>
      </c>
    </row>
    <row r="867" spans="1:25" ht="11.25" hidden="1" customHeight="1" x14ac:dyDescent="0.3">
      <c r="A867" s="126" t="s">
        <v>185</v>
      </c>
      <c r="B867" s="126">
        <v>36</v>
      </c>
      <c r="C867" s="126">
        <v>27</v>
      </c>
      <c r="D867" s="126" t="str">
        <f t="shared" si="72"/>
        <v>3627</v>
      </c>
      <c r="E867" s="101">
        <v>209</v>
      </c>
      <c r="F867" s="101">
        <v>2869</v>
      </c>
      <c r="G867" s="101">
        <v>10287</v>
      </c>
      <c r="H867" s="101">
        <v>187214.66</v>
      </c>
      <c r="I867" s="101">
        <v>65765.916999999987</v>
      </c>
      <c r="J867" s="101">
        <v>106</v>
      </c>
      <c r="K867" s="101">
        <v>2141</v>
      </c>
      <c r="L867" s="101">
        <v>8787</v>
      </c>
      <c r="M867" s="101">
        <v>102951</v>
      </c>
      <c r="N867" s="101">
        <v>31625</v>
      </c>
      <c r="O867" s="101">
        <v>89</v>
      </c>
      <c r="P867" s="101">
        <v>3004</v>
      </c>
      <c r="Q867" s="101">
        <v>13944</v>
      </c>
      <c r="R867" s="101">
        <v>139973.72</v>
      </c>
      <c r="S867" s="101">
        <v>51419.724999999999</v>
      </c>
      <c r="T867" s="169">
        <v>1.02</v>
      </c>
      <c r="U867" s="101">
        <f t="shared" si="74"/>
        <v>90.78</v>
      </c>
      <c r="V867" s="101">
        <f t="shared" si="75"/>
        <v>3064.08</v>
      </c>
      <c r="W867" s="101">
        <f t="shared" si="76"/>
        <v>14222.880000000001</v>
      </c>
      <c r="X867" s="101">
        <f t="shared" si="73"/>
        <v>142773.19440000001</v>
      </c>
      <c r="Y867" s="101">
        <f t="shared" si="77"/>
        <v>52448.119500000001</v>
      </c>
    </row>
    <row r="868" spans="1:25" ht="11.25" hidden="1" customHeight="1" x14ac:dyDescent="0.3">
      <c r="A868" s="126" t="s">
        <v>185</v>
      </c>
      <c r="B868" s="126">
        <v>36</v>
      </c>
      <c r="C868" s="126">
        <v>41</v>
      </c>
      <c r="D868" s="126" t="str">
        <f t="shared" si="72"/>
        <v>3641</v>
      </c>
      <c r="O868" s="101">
        <v>1</v>
      </c>
      <c r="P868" s="101">
        <v>1</v>
      </c>
      <c r="Q868" s="101">
        <v>12</v>
      </c>
      <c r="R868" s="101">
        <v>322.32</v>
      </c>
      <c r="S868" s="101">
        <v>84.27</v>
      </c>
      <c r="T868" s="169">
        <v>1.02</v>
      </c>
      <c r="U868" s="101">
        <f t="shared" si="74"/>
        <v>1.02</v>
      </c>
      <c r="V868" s="101">
        <f t="shared" si="75"/>
        <v>1.02</v>
      </c>
      <c r="W868" s="101">
        <f t="shared" si="76"/>
        <v>12.24</v>
      </c>
      <c r="X868" s="101">
        <f t="shared" si="73"/>
        <v>328.76639999999998</v>
      </c>
      <c r="Y868" s="101">
        <f t="shared" si="77"/>
        <v>85.955399999999997</v>
      </c>
    </row>
    <row r="869" spans="1:25" ht="11.25" customHeight="1" x14ac:dyDescent="0.3">
      <c r="A869" s="126" t="s">
        <v>185</v>
      </c>
      <c r="B869" s="126">
        <v>36</v>
      </c>
      <c r="C869" s="126" t="s">
        <v>172</v>
      </c>
      <c r="D869" s="126" t="str">
        <f t="shared" si="72"/>
        <v>36Uml</v>
      </c>
      <c r="J869" s="101">
        <v>94</v>
      </c>
      <c r="K869" s="101">
        <v>99</v>
      </c>
      <c r="L869" s="101">
        <v>37522</v>
      </c>
      <c r="N869" s="101">
        <v>138427</v>
      </c>
      <c r="O869" s="101">
        <v>268</v>
      </c>
      <c r="P869" s="101">
        <v>270</v>
      </c>
      <c r="Q869" s="101">
        <v>56736</v>
      </c>
      <c r="S869" s="101">
        <v>213633</v>
      </c>
      <c r="T869" s="169">
        <v>1.02</v>
      </c>
      <c r="U869" s="101">
        <f t="shared" si="74"/>
        <v>273.36</v>
      </c>
      <c r="V869" s="101">
        <f t="shared" si="75"/>
        <v>275.39999999999998</v>
      </c>
      <c r="W869" s="101">
        <f t="shared" si="76"/>
        <v>57870.720000000001</v>
      </c>
      <c r="X869" s="101">
        <f t="shared" si="73"/>
        <v>0</v>
      </c>
      <c r="Y869" s="101">
        <f t="shared" si="77"/>
        <v>217905.66</v>
      </c>
    </row>
    <row r="870" spans="1:25" ht="11.25" hidden="1" customHeight="1" x14ac:dyDescent="0.3">
      <c r="A870" s="126" t="s">
        <v>185</v>
      </c>
      <c r="B870" s="126">
        <v>36</v>
      </c>
      <c r="C870" s="126">
        <v>37</v>
      </c>
      <c r="D870" s="126" t="str">
        <f t="shared" si="72"/>
        <v>3637</v>
      </c>
      <c r="E870" s="101">
        <v>7.75</v>
      </c>
      <c r="F870" s="101">
        <v>18.5</v>
      </c>
      <c r="G870" s="101">
        <v>2559</v>
      </c>
      <c r="H870" s="101">
        <v>5220.9375</v>
      </c>
      <c r="I870" s="101">
        <v>3502.7527499999997</v>
      </c>
      <c r="J870" s="101">
        <v>17</v>
      </c>
      <c r="K870" s="101">
        <v>54</v>
      </c>
      <c r="L870" s="101">
        <v>1554</v>
      </c>
      <c r="M870" s="101">
        <v>11125</v>
      </c>
      <c r="N870" s="101">
        <v>8137</v>
      </c>
      <c r="O870" s="101">
        <v>25</v>
      </c>
      <c r="P870" s="101">
        <v>122</v>
      </c>
      <c r="Q870" s="101">
        <v>1919</v>
      </c>
      <c r="R870" s="101">
        <v>20199.87</v>
      </c>
      <c r="S870" s="101">
        <v>10290.287</v>
      </c>
      <c r="T870" s="169">
        <v>1.02</v>
      </c>
      <c r="U870" s="101">
        <f t="shared" si="74"/>
        <v>25.5</v>
      </c>
      <c r="V870" s="101">
        <f t="shared" si="75"/>
        <v>124.44</v>
      </c>
      <c r="W870" s="101">
        <f t="shared" si="76"/>
        <v>1957.38</v>
      </c>
      <c r="X870" s="101">
        <f t="shared" si="73"/>
        <v>20603.867399999999</v>
      </c>
      <c r="Y870" s="101">
        <f t="shared" si="77"/>
        <v>10496.09274</v>
      </c>
    </row>
    <row r="871" spans="1:25" ht="11.25" hidden="1" customHeight="1" x14ac:dyDescent="0.3">
      <c r="A871" s="126" t="s">
        <v>185</v>
      </c>
      <c r="B871" s="126">
        <v>37</v>
      </c>
      <c r="C871" s="126">
        <v>12</v>
      </c>
      <c r="D871" s="126" t="str">
        <f t="shared" si="72"/>
        <v>3712</v>
      </c>
      <c r="E871" s="101">
        <v>32</v>
      </c>
      <c r="F871" s="101">
        <v>42</v>
      </c>
      <c r="G871" s="101">
        <v>61</v>
      </c>
      <c r="H871" s="101">
        <v>1538.7099999999998</v>
      </c>
      <c r="I871" s="101">
        <v>328.03499999999997</v>
      </c>
      <c r="J871" s="101">
        <v>17</v>
      </c>
      <c r="K871" s="101">
        <v>32</v>
      </c>
      <c r="L871" s="101">
        <v>62</v>
      </c>
      <c r="M871" s="101">
        <v>722</v>
      </c>
      <c r="N871" s="101">
        <v>253</v>
      </c>
      <c r="O871" s="101">
        <v>13</v>
      </c>
      <c r="P871" s="101">
        <v>14</v>
      </c>
      <c r="Q871" s="101">
        <v>18</v>
      </c>
      <c r="R871" s="101">
        <v>886.99</v>
      </c>
      <c r="S871" s="101">
        <v>162.05500000000001</v>
      </c>
      <c r="T871" s="169">
        <v>1.02</v>
      </c>
      <c r="U871" s="101">
        <f t="shared" si="74"/>
        <v>13.26</v>
      </c>
      <c r="V871" s="101">
        <f t="shared" si="75"/>
        <v>14.280000000000001</v>
      </c>
      <c r="W871" s="101">
        <f t="shared" si="76"/>
        <v>18.36</v>
      </c>
      <c r="X871" s="101">
        <f t="shared" si="73"/>
        <v>904.72980000000007</v>
      </c>
      <c r="Y871" s="101">
        <f t="shared" si="77"/>
        <v>165.29610000000002</v>
      </c>
    </row>
    <row r="872" spans="1:25" ht="11.25" hidden="1" customHeight="1" x14ac:dyDescent="0.3">
      <c r="A872" s="126" t="s">
        <v>185</v>
      </c>
      <c r="B872" s="126">
        <v>37</v>
      </c>
      <c r="C872" s="126">
        <v>14</v>
      </c>
      <c r="D872" s="126" t="str">
        <f t="shared" si="72"/>
        <v>3714</v>
      </c>
      <c r="E872" s="101">
        <v>2</v>
      </c>
      <c r="F872" s="101">
        <v>7</v>
      </c>
      <c r="G872" s="101">
        <v>8</v>
      </c>
      <c r="H872" s="101">
        <v>1143.8</v>
      </c>
      <c r="I872" s="101">
        <v>113.357</v>
      </c>
      <c r="J872" s="101">
        <v>27</v>
      </c>
      <c r="K872" s="101">
        <v>71</v>
      </c>
      <c r="L872" s="101">
        <v>151</v>
      </c>
      <c r="M872" s="101">
        <v>7782</v>
      </c>
      <c r="N872" s="101">
        <v>938</v>
      </c>
      <c r="O872" s="101">
        <v>30</v>
      </c>
      <c r="P872" s="101">
        <v>55</v>
      </c>
      <c r="Q872" s="101">
        <v>115</v>
      </c>
      <c r="R872" s="101">
        <v>5158.43</v>
      </c>
      <c r="S872" s="101">
        <v>708.57399999999996</v>
      </c>
      <c r="T872" s="169">
        <v>1.02</v>
      </c>
      <c r="U872" s="101">
        <f t="shared" si="74"/>
        <v>30.6</v>
      </c>
      <c r="V872" s="101">
        <f t="shared" si="75"/>
        <v>56.1</v>
      </c>
      <c r="W872" s="101">
        <f t="shared" si="76"/>
        <v>117.3</v>
      </c>
      <c r="X872" s="101">
        <f t="shared" si="73"/>
        <v>5261.5986000000003</v>
      </c>
      <c r="Y872" s="101">
        <f t="shared" si="77"/>
        <v>722.74547999999993</v>
      </c>
    </row>
    <row r="873" spans="1:25" ht="11.25" hidden="1" customHeight="1" x14ac:dyDescent="0.3">
      <c r="A873" s="126" t="s">
        <v>185</v>
      </c>
      <c r="B873" s="126">
        <v>37</v>
      </c>
      <c r="C873" s="126">
        <v>17</v>
      </c>
      <c r="D873" s="126" t="str">
        <f t="shared" si="72"/>
        <v>3717</v>
      </c>
      <c r="E873" s="101">
        <v>1948</v>
      </c>
      <c r="F873" s="101">
        <v>2507</v>
      </c>
      <c r="G873" s="101">
        <v>3274</v>
      </c>
      <c r="H873" s="101">
        <v>135617.60999999999</v>
      </c>
      <c r="I873" s="101">
        <v>28027.189000000002</v>
      </c>
      <c r="J873" s="101">
        <v>682</v>
      </c>
      <c r="K873" s="101">
        <v>2249</v>
      </c>
      <c r="L873" s="101">
        <v>2874</v>
      </c>
      <c r="M873" s="101">
        <v>50467</v>
      </c>
      <c r="N873" s="101">
        <v>8355</v>
      </c>
      <c r="O873" s="101">
        <v>965</v>
      </c>
      <c r="P873" s="101">
        <v>1598</v>
      </c>
      <c r="Q873" s="101">
        <v>2512</v>
      </c>
      <c r="R873" s="101">
        <v>93934.96</v>
      </c>
      <c r="S873" s="101">
        <v>17245.710999999999</v>
      </c>
      <c r="T873" s="169">
        <v>1.02</v>
      </c>
      <c r="U873" s="101">
        <v>2289</v>
      </c>
      <c r="V873" s="101">
        <v>4540</v>
      </c>
      <c r="W873" s="101">
        <v>6892</v>
      </c>
      <c r="X873" s="101">
        <f t="shared" si="73"/>
        <v>95813.659200000009</v>
      </c>
      <c r="Y873" s="101">
        <v>35000</v>
      </c>
    </row>
    <row r="874" spans="1:25" ht="11.25" hidden="1" customHeight="1" x14ac:dyDescent="0.3">
      <c r="A874" s="126" t="s">
        <v>185</v>
      </c>
      <c r="B874" s="126">
        <v>37</v>
      </c>
      <c r="C874" s="126">
        <v>18</v>
      </c>
      <c r="D874" s="126" t="str">
        <f t="shared" si="72"/>
        <v>3718</v>
      </c>
      <c r="E874" s="101">
        <v>268</v>
      </c>
      <c r="F874" s="101">
        <v>356</v>
      </c>
      <c r="G874" s="101">
        <v>499</v>
      </c>
      <c r="H874" s="101">
        <v>20107.29</v>
      </c>
      <c r="I874" s="101">
        <v>3407.8329999999996</v>
      </c>
      <c r="J874" s="101">
        <v>3055</v>
      </c>
      <c r="K874" s="101">
        <v>3542</v>
      </c>
      <c r="L874" s="101">
        <v>4101</v>
      </c>
      <c r="M874" s="101">
        <v>177186</v>
      </c>
      <c r="N874" s="101">
        <v>42830</v>
      </c>
      <c r="O874" s="101">
        <v>2149</v>
      </c>
      <c r="P874" s="101">
        <v>2734</v>
      </c>
      <c r="Q874" s="101">
        <v>9473</v>
      </c>
      <c r="R874" s="101">
        <v>121879.53</v>
      </c>
      <c r="S874" s="101">
        <v>93679.402000000002</v>
      </c>
      <c r="T874" s="169">
        <v>0.65</v>
      </c>
      <c r="U874" s="101">
        <f t="shared" si="74"/>
        <v>1396.8500000000001</v>
      </c>
      <c r="V874" s="101">
        <f t="shared" si="75"/>
        <v>1777.1000000000001</v>
      </c>
      <c r="W874" s="101">
        <f t="shared" si="76"/>
        <v>6157.45</v>
      </c>
      <c r="X874" s="101">
        <f t="shared" si="73"/>
        <v>79221.694499999998</v>
      </c>
      <c r="Y874" s="101">
        <f t="shared" si="77"/>
        <v>60891.611300000004</v>
      </c>
    </row>
    <row r="875" spans="1:25" ht="11.25" hidden="1" customHeight="1" x14ac:dyDescent="0.3">
      <c r="A875" s="126" t="s">
        <v>185</v>
      </c>
      <c r="B875" s="126">
        <v>37</v>
      </c>
      <c r="C875" s="126">
        <v>28</v>
      </c>
      <c r="D875" s="126" t="str">
        <f t="shared" si="72"/>
        <v>3728</v>
      </c>
      <c r="E875" s="101">
        <v>505</v>
      </c>
      <c r="F875" s="101">
        <v>3180</v>
      </c>
      <c r="G875" s="101">
        <v>32836</v>
      </c>
      <c r="H875" s="101">
        <v>1125606.05</v>
      </c>
      <c r="I875" s="101">
        <v>433480.3</v>
      </c>
      <c r="J875" s="101">
        <v>265</v>
      </c>
      <c r="K875" s="101">
        <v>4028</v>
      </c>
      <c r="L875" s="101">
        <v>17898</v>
      </c>
      <c r="M875" s="101">
        <v>391100</v>
      </c>
      <c r="N875" s="101">
        <v>104237</v>
      </c>
      <c r="O875" s="101">
        <v>225</v>
      </c>
      <c r="P875" s="101">
        <v>6930</v>
      </c>
      <c r="Q875" s="101">
        <v>35758</v>
      </c>
      <c r="R875" s="101">
        <v>850453.33</v>
      </c>
      <c r="S875" s="101">
        <v>185565.81</v>
      </c>
      <c r="T875" s="169">
        <v>1.02</v>
      </c>
      <c r="U875" s="101">
        <v>58</v>
      </c>
      <c r="V875" s="101">
        <v>601</v>
      </c>
      <c r="W875" s="101">
        <v>2354</v>
      </c>
      <c r="X875" s="144">
        <f t="shared" si="73"/>
        <v>867462.39659999998</v>
      </c>
      <c r="Y875" s="101">
        <v>28903</v>
      </c>
    </row>
    <row r="876" spans="1:25" ht="11.25" hidden="1" customHeight="1" x14ac:dyDescent="0.3">
      <c r="A876" s="126" t="s">
        <v>185</v>
      </c>
      <c r="B876" s="126">
        <v>37</v>
      </c>
      <c r="C876" s="126">
        <v>46</v>
      </c>
      <c r="D876" s="126" t="str">
        <f t="shared" si="72"/>
        <v>3746</v>
      </c>
      <c r="E876" s="101">
        <v>224</v>
      </c>
      <c r="F876" s="101">
        <v>436</v>
      </c>
      <c r="G876" s="101">
        <v>8221</v>
      </c>
      <c r="H876" s="101">
        <v>236675.04</v>
      </c>
      <c r="I876" s="101">
        <v>73598.023000000001</v>
      </c>
      <c r="J876" s="101">
        <v>191</v>
      </c>
      <c r="K876" s="101">
        <v>490</v>
      </c>
      <c r="L876" s="101">
        <v>9202</v>
      </c>
      <c r="M876" s="101">
        <v>177357</v>
      </c>
      <c r="N876" s="101">
        <v>33249</v>
      </c>
      <c r="O876" s="101">
        <v>127</v>
      </c>
      <c r="P876" s="101">
        <v>287</v>
      </c>
      <c r="Q876" s="101">
        <v>22136</v>
      </c>
      <c r="R876" s="101">
        <v>271838.63</v>
      </c>
      <c r="S876" s="101">
        <v>80938.909</v>
      </c>
      <c r="T876" s="169">
        <v>1.02</v>
      </c>
      <c r="U876" s="101">
        <f t="shared" si="74"/>
        <v>129.54</v>
      </c>
      <c r="V876" s="101">
        <f t="shared" si="75"/>
        <v>292.74</v>
      </c>
      <c r="W876" s="101">
        <f t="shared" si="76"/>
        <v>22578.720000000001</v>
      </c>
      <c r="X876" s="101">
        <f t="shared" si="73"/>
        <v>277275.40260000003</v>
      </c>
      <c r="Y876" s="101">
        <f t="shared" si="77"/>
        <v>82557.687180000008</v>
      </c>
    </row>
    <row r="877" spans="1:25" ht="11.25" hidden="1" customHeight="1" x14ac:dyDescent="0.3">
      <c r="A877" s="126" t="s">
        <v>185</v>
      </c>
      <c r="B877" s="126">
        <v>37</v>
      </c>
      <c r="C877" s="126">
        <v>48</v>
      </c>
      <c r="D877" s="126" t="str">
        <f t="shared" si="72"/>
        <v>3748</v>
      </c>
      <c r="E877" s="101">
        <v>1</v>
      </c>
      <c r="F877" s="101">
        <v>1</v>
      </c>
      <c r="G877" s="101">
        <v>9</v>
      </c>
      <c r="H877" s="101">
        <v>0</v>
      </c>
      <c r="I877" s="101">
        <v>5.0549999999999997</v>
      </c>
      <c r="J877" s="101">
        <v>0</v>
      </c>
      <c r="K877" s="101">
        <v>0</v>
      </c>
      <c r="L877" s="101">
        <v>0</v>
      </c>
      <c r="M877" s="101">
        <v>0</v>
      </c>
      <c r="N877" s="101">
        <v>0</v>
      </c>
      <c r="O877" s="101">
        <v>0</v>
      </c>
      <c r="P877" s="101">
        <v>0</v>
      </c>
      <c r="Q877" s="101">
        <v>0</v>
      </c>
      <c r="R877" s="101">
        <v>0</v>
      </c>
      <c r="S877" s="101">
        <v>0</v>
      </c>
      <c r="T877" s="169">
        <v>1.02</v>
      </c>
      <c r="U877" s="101">
        <f t="shared" si="74"/>
        <v>0</v>
      </c>
      <c r="V877" s="101">
        <f t="shared" si="75"/>
        <v>0</v>
      </c>
      <c r="W877" s="101">
        <f t="shared" si="76"/>
        <v>0</v>
      </c>
      <c r="X877" s="101">
        <f t="shared" si="73"/>
        <v>0</v>
      </c>
      <c r="Y877" s="101">
        <f t="shared" si="77"/>
        <v>0</v>
      </c>
    </row>
    <row r="878" spans="1:25" ht="11.25" hidden="1" customHeight="1" x14ac:dyDescent="0.3">
      <c r="A878" s="126" t="s">
        <v>185</v>
      </c>
      <c r="B878" s="126">
        <v>37</v>
      </c>
      <c r="C878" s="126">
        <v>66</v>
      </c>
      <c r="D878" s="126" t="str">
        <f t="shared" si="72"/>
        <v>3766</v>
      </c>
      <c r="E878" s="101">
        <v>237</v>
      </c>
      <c r="F878" s="101">
        <v>971</v>
      </c>
      <c r="G878" s="101">
        <v>17108</v>
      </c>
      <c r="H878" s="101">
        <v>97171.49</v>
      </c>
      <c r="I878" s="101">
        <v>46570.076000000001</v>
      </c>
      <c r="J878" s="101">
        <v>301</v>
      </c>
      <c r="K878" s="101">
        <v>1750</v>
      </c>
      <c r="L878" s="101">
        <v>41607</v>
      </c>
      <c r="M878" s="101">
        <v>309685</v>
      </c>
      <c r="N878" s="101">
        <v>203678</v>
      </c>
      <c r="O878" s="101">
        <v>252</v>
      </c>
      <c r="P878" s="101">
        <v>1842</v>
      </c>
      <c r="Q878" s="101">
        <v>36580</v>
      </c>
      <c r="R878" s="101">
        <v>273813.42</v>
      </c>
      <c r="S878" s="101">
        <v>127547.71799999999</v>
      </c>
      <c r="T878" s="169">
        <v>1.02</v>
      </c>
      <c r="U878" s="101">
        <f t="shared" si="74"/>
        <v>257.04000000000002</v>
      </c>
      <c r="V878" s="101">
        <f t="shared" si="75"/>
        <v>1878.8400000000001</v>
      </c>
      <c r="W878" s="101">
        <f t="shared" si="76"/>
        <v>37311.599999999999</v>
      </c>
      <c r="X878" s="101">
        <f t="shared" si="73"/>
        <v>279289.68839999998</v>
      </c>
      <c r="Y878" s="101">
        <f t="shared" si="77"/>
        <v>130098.67236</v>
      </c>
    </row>
    <row r="879" spans="1:25" ht="11.25" hidden="1" customHeight="1" x14ac:dyDescent="0.3">
      <c r="A879" s="126" t="s">
        <v>185</v>
      </c>
      <c r="B879" s="126">
        <v>37</v>
      </c>
      <c r="C879" s="126">
        <v>30</v>
      </c>
      <c r="D879" s="126" t="str">
        <f t="shared" si="72"/>
        <v>3730</v>
      </c>
      <c r="E879" s="101">
        <v>539</v>
      </c>
      <c r="F879" s="101">
        <v>7530</v>
      </c>
      <c r="G879" s="101">
        <v>27870</v>
      </c>
      <c r="H879" s="101">
        <v>625727.77999999991</v>
      </c>
      <c r="I879" s="101">
        <v>215077.174</v>
      </c>
      <c r="J879" s="101">
        <v>0</v>
      </c>
      <c r="K879" s="101">
        <v>0</v>
      </c>
      <c r="L879" s="101">
        <v>0</v>
      </c>
      <c r="M879" s="101">
        <v>0</v>
      </c>
      <c r="N879" s="101">
        <v>0</v>
      </c>
      <c r="O879" s="101">
        <v>38</v>
      </c>
      <c r="P879" s="101">
        <v>48</v>
      </c>
      <c r="Q879" s="101">
        <v>346</v>
      </c>
      <c r="R879" s="101">
        <v>22122.7</v>
      </c>
      <c r="S879" s="101">
        <v>11174.749</v>
      </c>
      <c r="T879" s="169">
        <v>1.02</v>
      </c>
      <c r="U879" s="101">
        <f t="shared" si="74"/>
        <v>38.76</v>
      </c>
      <c r="V879" s="101">
        <f t="shared" si="75"/>
        <v>48.96</v>
      </c>
      <c r="W879" s="101">
        <f t="shared" si="76"/>
        <v>352.92</v>
      </c>
      <c r="X879" s="101">
        <f t="shared" si="73"/>
        <v>22565.154000000002</v>
      </c>
      <c r="Y879" s="101">
        <f t="shared" si="77"/>
        <v>11398.243979999999</v>
      </c>
    </row>
    <row r="880" spans="1:25" ht="11.25" hidden="1" customHeight="1" x14ac:dyDescent="0.3">
      <c r="A880" s="126" t="s">
        <v>185</v>
      </c>
      <c r="B880" s="126">
        <v>37</v>
      </c>
      <c r="C880" s="126">
        <v>21</v>
      </c>
      <c r="D880" s="126" t="str">
        <f t="shared" si="72"/>
        <v>3721</v>
      </c>
      <c r="E880" s="101">
        <v>1094.5</v>
      </c>
      <c r="F880" s="101">
        <v>7509.5</v>
      </c>
      <c r="G880" s="101">
        <v>34902</v>
      </c>
      <c r="H880" s="101">
        <v>628726.64500000002</v>
      </c>
      <c r="I880" s="101">
        <v>181836.351</v>
      </c>
      <c r="J880" s="101">
        <v>950</v>
      </c>
      <c r="K880" s="101">
        <v>9311</v>
      </c>
      <c r="L880" s="101">
        <v>51087</v>
      </c>
      <c r="M880" s="101">
        <v>644022.62</v>
      </c>
      <c r="N880" s="101">
        <v>203664.63699999999</v>
      </c>
      <c r="O880" s="101">
        <v>826</v>
      </c>
      <c r="P880" s="101">
        <v>9875</v>
      </c>
      <c r="Q880" s="101">
        <v>66050</v>
      </c>
      <c r="R880" s="101">
        <v>870888.68</v>
      </c>
      <c r="S880" s="101">
        <v>296831.42499999999</v>
      </c>
      <c r="T880" s="169">
        <v>1.02</v>
      </c>
      <c r="U880" s="101"/>
      <c r="V880" s="101"/>
      <c r="W880" s="101"/>
      <c r="X880" s="101"/>
      <c r="Y880" s="101"/>
    </row>
    <row r="881" spans="1:25" ht="11.25" hidden="1" customHeight="1" x14ac:dyDescent="0.3">
      <c r="A881" s="126" t="s">
        <v>185</v>
      </c>
      <c r="B881" s="126">
        <v>37</v>
      </c>
      <c r="C881" s="126">
        <v>71</v>
      </c>
      <c r="D881" s="126" t="str">
        <f t="shared" si="72"/>
        <v>3771</v>
      </c>
      <c r="E881" s="101">
        <v>582</v>
      </c>
      <c r="F881" s="101">
        <v>5192.5</v>
      </c>
      <c r="G881" s="101">
        <v>16266</v>
      </c>
      <c r="H881" s="101">
        <v>128177.075</v>
      </c>
      <c r="I881" s="101">
        <v>66850.972000000009</v>
      </c>
      <c r="J881" s="101">
        <v>589</v>
      </c>
      <c r="K881" s="101">
        <v>7344</v>
      </c>
      <c r="L881" s="101">
        <v>26178</v>
      </c>
      <c r="M881" s="101">
        <v>276387</v>
      </c>
      <c r="N881" s="101">
        <v>85542</v>
      </c>
      <c r="O881" s="101">
        <v>279</v>
      </c>
      <c r="P881" s="101">
        <v>5739</v>
      </c>
      <c r="Q881" s="101">
        <v>22326</v>
      </c>
      <c r="R881" s="101">
        <v>241535.26</v>
      </c>
      <c r="S881" s="101">
        <v>102352.71400000001</v>
      </c>
      <c r="T881" s="169">
        <v>0.98</v>
      </c>
      <c r="U881" s="101">
        <v>437</v>
      </c>
      <c r="V881" s="101">
        <v>11988</v>
      </c>
      <c r="W881" s="101">
        <v>46679</v>
      </c>
      <c r="X881" s="101">
        <v>466107</v>
      </c>
      <c r="Y881" s="101">
        <v>196614</v>
      </c>
    </row>
    <row r="882" spans="1:25" ht="11.25" hidden="1" customHeight="1" x14ac:dyDescent="0.3">
      <c r="A882" s="126" t="s">
        <v>185</v>
      </c>
      <c r="B882" s="126">
        <v>37</v>
      </c>
      <c r="C882" s="126">
        <v>22</v>
      </c>
      <c r="D882" s="126" t="str">
        <f t="shared" si="72"/>
        <v>3722</v>
      </c>
      <c r="J882" s="101">
        <v>9</v>
      </c>
      <c r="K882" s="101">
        <v>10</v>
      </c>
      <c r="L882" s="101">
        <v>179</v>
      </c>
      <c r="M882" s="101">
        <v>1177</v>
      </c>
      <c r="N882" s="101">
        <v>373</v>
      </c>
      <c r="O882" s="101">
        <v>2</v>
      </c>
      <c r="P882" s="101">
        <v>2</v>
      </c>
      <c r="Q882" s="101">
        <v>60</v>
      </c>
      <c r="R882" s="101">
        <v>0</v>
      </c>
      <c r="S882" s="101">
        <v>18.899999999999999</v>
      </c>
      <c r="T882" s="169">
        <v>1.02</v>
      </c>
      <c r="U882" s="101">
        <f t="shared" si="74"/>
        <v>2.04</v>
      </c>
      <c r="V882" s="101">
        <f t="shared" si="75"/>
        <v>2.04</v>
      </c>
      <c r="W882" s="101">
        <f t="shared" si="76"/>
        <v>61.2</v>
      </c>
      <c r="X882" s="101">
        <f t="shared" si="73"/>
        <v>0</v>
      </c>
      <c r="Y882" s="101">
        <f t="shared" si="77"/>
        <v>19.277999999999999</v>
      </c>
    </row>
    <row r="883" spans="1:25" ht="11.25" hidden="1" customHeight="1" x14ac:dyDescent="0.3">
      <c r="A883" s="126" t="s">
        <v>185</v>
      </c>
      <c r="B883" s="126">
        <v>37</v>
      </c>
      <c r="C883" s="126">
        <v>26</v>
      </c>
      <c r="D883" s="126" t="str">
        <f t="shared" si="72"/>
        <v>3726</v>
      </c>
      <c r="J883" s="101">
        <v>5</v>
      </c>
      <c r="K883" s="101">
        <v>12</v>
      </c>
      <c r="L883" s="101">
        <v>1184</v>
      </c>
      <c r="M883" s="101">
        <v>11491</v>
      </c>
      <c r="N883" s="101">
        <v>1377</v>
      </c>
      <c r="O883" s="101">
        <v>2</v>
      </c>
      <c r="P883" s="101">
        <v>3</v>
      </c>
      <c r="Q883" s="101">
        <v>4002</v>
      </c>
      <c r="R883" s="101">
        <v>44627.96</v>
      </c>
      <c r="S883" s="101">
        <v>25555.324000000001</v>
      </c>
      <c r="T883" s="169">
        <v>1.02</v>
      </c>
      <c r="U883" s="101">
        <f t="shared" si="74"/>
        <v>2.04</v>
      </c>
      <c r="V883" s="101">
        <f t="shared" si="75"/>
        <v>3.06</v>
      </c>
      <c r="W883" s="101">
        <f t="shared" si="76"/>
        <v>4082.04</v>
      </c>
      <c r="X883" s="101">
        <f t="shared" si="73"/>
        <v>45520.519200000002</v>
      </c>
      <c r="Y883" s="101">
        <f t="shared" si="77"/>
        <v>26066.430480000003</v>
      </c>
    </row>
    <row r="884" spans="1:25" ht="11.25" hidden="1" customHeight="1" x14ac:dyDescent="0.3">
      <c r="A884" s="126" t="s">
        <v>185</v>
      </c>
      <c r="B884" s="126">
        <v>37</v>
      </c>
      <c r="C884" s="126">
        <v>32</v>
      </c>
      <c r="D884" s="126" t="str">
        <f t="shared" si="72"/>
        <v>3732</v>
      </c>
      <c r="J884" s="101">
        <v>160</v>
      </c>
      <c r="K884" s="101">
        <v>175</v>
      </c>
      <c r="L884" s="101">
        <v>8741</v>
      </c>
      <c r="M884" s="101">
        <v>40282</v>
      </c>
      <c r="N884" s="101">
        <v>19509</v>
      </c>
      <c r="O884" s="101">
        <v>18</v>
      </c>
      <c r="P884" s="101">
        <v>65</v>
      </c>
      <c r="Q884" s="101">
        <v>1493</v>
      </c>
      <c r="R884" s="101">
        <v>7401.36</v>
      </c>
      <c r="S884" s="101">
        <v>12827.35</v>
      </c>
      <c r="T884" s="169">
        <v>1.02</v>
      </c>
      <c r="U884" s="101">
        <f t="shared" si="74"/>
        <v>18.36</v>
      </c>
      <c r="V884" s="101">
        <f t="shared" si="75"/>
        <v>66.3</v>
      </c>
      <c r="W884" s="101">
        <f t="shared" si="76"/>
        <v>1522.8600000000001</v>
      </c>
      <c r="X884" s="101">
        <f t="shared" si="73"/>
        <v>7549.3872000000001</v>
      </c>
      <c r="Y884" s="101">
        <f t="shared" si="77"/>
        <v>13083.897000000001</v>
      </c>
    </row>
    <row r="885" spans="1:25" ht="11.25" hidden="1" customHeight="1" x14ac:dyDescent="0.3">
      <c r="A885" s="126" t="s">
        <v>185</v>
      </c>
      <c r="B885" s="126">
        <v>37</v>
      </c>
      <c r="C885" s="126">
        <v>43</v>
      </c>
      <c r="D885" s="126" t="str">
        <f t="shared" si="72"/>
        <v>3743</v>
      </c>
      <c r="J885" s="101">
        <v>0</v>
      </c>
      <c r="K885" s="101">
        <v>0</v>
      </c>
      <c r="L885" s="101">
        <v>0</v>
      </c>
      <c r="M885" s="101">
        <v>0</v>
      </c>
      <c r="N885" s="101">
        <v>0</v>
      </c>
      <c r="O885" s="101">
        <v>0</v>
      </c>
      <c r="P885" s="101">
        <v>0</v>
      </c>
      <c r="Q885" s="101">
        <v>0</v>
      </c>
      <c r="R885" s="101">
        <v>0</v>
      </c>
      <c r="S885" s="101">
        <v>0</v>
      </c>
      <c r="T885" s="169">
        <v>1.02</v>
      </c>
      <c r="U885" s="101">
        <f t="shared" si="74"/>
        <v>0</v>
      </c>
      <c r="V885" s="101">
        <f t="shared" si="75"/>
        <v>0</v>
      </c>
      <c r="W885" s="101">
        <f t="shared" si="76"/>
        <v>0</v>
      </c>
      <c r="X885" s="101">
        <f t="shared" si="73"/>
        <v>0</v>
      </c>
      <c r="Y885" s="101">
        <f t="shared" si="77"/>
        <v>0</v>
      </c>
    </row>
    <row r="886" spans="1:25" ht="11.25" hidden="1" customHeight="1" x14ac:dyDescent="0.3">
      <c r="A886" s="126" t="s">
        <v>185</v>
      </c>
      <c r="B886" s="126">
        <v>37</v>
      </c>
      <c r="C886" s="126">
        <v>41</v>
      </c>
      <c r="D886" s="126" t="str">
        <f t="shared" si="72"/>
        <v>3741</v>
      </c>
      <c r="J886" s="101">
        <v>2</v>
      </c>
      <c r="K886" s="101">
        <v>27</v>
      </c>
      <c r="L886" s="101">
        <v>492</v>
      </c>
      <c r="M886" s="101">
        <v>2074</v>
      </c>
      <c r="N886" s="101">
        <v>676</v>
      </c>
      <c r="O886" s="101">
        <v>0</v>
      </c>
      <c r="P886" s="101">
        <v>0</v>
      </c>
      <c r="Q886" s="101">
        <v>0</v>
      </c>
      <c r="R886" s="101">
        <v>0</v>
      </c>
      <c r="S886" s="101">
        <v>0</v>
      </c>
      <c r="T886" s="169">
        <v>1.02</v>
      </c>
      <c r="U886" s="101">
        <f t="shared" si="74"/>
        <v>0</v>
      </c>
      <c r="V886" s="101">
        <f t="shared" si="75"/>
        <v>0</v>
      </c>
      <c r="W886" s="101">
        <f t="shared" si="76"/>
        <v>0</v>
      </c>
      <c r="X886" s="101">
        <f t="shared" si="73"/>
        <v>0</v>
      </c>
      <c r="Y886" s="101">
        <f t="shared" si="77"/>
        <v>0</v>
      </c>
    </row>
    <row r="887" spans="1:25" ht="11.25" hidden="1" customHeight="1" x14ac:dyDescent="0.3">
      <c r="A887" s="126" t="s">
        <v>185</v>
      </c>
      <c r="B887" s="126">
        <v>37</v>
      </c>
      <c r="C887" s="126">
        <v>44</v>
      </c>
      <c r="D887" s="126" t="str">
        <f t="shared" si="72"/>
        <v>3744</v>
      </c>
      <c r="J887" s="101">
        <v>1</v>
      </c>
      <c r="K887" s="101">
        <v>1</v>
      </c>
      <c r="L887" s="101">
        <v>2</v>
      </c>
      <c r="M887" s="101">
        <v>337</v>
      </c>
      <c r="N887" s="101">
        <v>70</v>
      </c>
      <c r="O887" s="101">
        <v>0</v>
      </c>
      <c r="P887" s="101">
        <v>0</v>
      </c>
      <c r="Q887" s="101">
        <v>0</v>
      </c>
      <c r="R887" s="101">
        <v>0</v>
      </c>
      <c r="S887" s="101">
        <v>0</v>
      </c>
      <c r="T887" s="169">
        <v>1.02</v>
      </c>
      <c r="U887" s="101">
        <f t="shared" si="74"/>
        <v>0</v>
      </c>
      <c r="V887" s="101">
        <f t="shared" si="75"/>
        <v>0</v>
      </c>
      <c r="W887" s="101">
        <f t="shared" si="76"/>
        <v>0</v>
      </c>
      <c r="X887" s="101">
        <f t="shared" si="73"/>
        <v>0</v>
      </c>
      <c r="Y887" s="101">
        <f t="shared" si="77"/>
        <v>0</v>
      </c>
    </row>
    <row r="888" spans="1:25" ht="11.25" hidden="1" customHeight="1" x14ac:dyDescent="0.3">
      <c r="A888" s="126" t="s">
        <v>185</v>
      </c>
      <c r="B888" s="126">
        <v>37</v>
      </c>
      <c r="C888" s="126">
        <v>45</v>
      </c>
      <c r="D888" s="126" t="str">
        <f t="shared" si="72"/>
        <v>3745</v>
      </c>
      <c r="J888" s="101">
        <v>0</v>
      </c>
      <c r="K888" s="101">
        <v>0</v>
      </c>
      <c r="L888" s="101">
        <v>0</v>
      </c>
      <c r="M888" s="101">
        <v>0</v>
      </c>
      <c r="N888" s="101">
        <v>0</v>
      </c>
      <c r="O888" s="101">
        <v>0</v>
      </c>
      <c r="P888" s="101">
        <v>0</v>
      </c>
      <c r="Q888" s="101">
        <v>0</v>
      </c>
      <c r="R888" s="101">
        <v>0</v>
      </c>
      <c r="S888" s="101">
        <v>0</v>
      </c>
      <c r="T888" s="169">
        <v>1.02</v>
      </c>
      <c r="U888" s="101">
        <f t="shared" si="74"/>
        <v>0</v>
      </c>
      <c r="V888" s="101">
        <f t="shared" si="75"/>
        <v>0</v>
      </c>
      <c r="W888" s="101">
        <f t="shared" si="76"/>
        <v>0</v>
      </c>
      <c r="X888" s="101">
        <f t="shared" si="73"/>
        <v>0</v>
      </c>
      <c r="Y888" s="101">
        <f t="shared" si="77"/>
        <v>0</v>
      </c>
    </row>
    <row r="889" spans="1:25" ht="11.25" hidden="1" customHeight="1" x14ac:dyDescent="0.3">
      <c r="A889" s="126" t="s">
        <v>185</v>
      </c>
      <c r="B889" s="126">
        <v>37</v>
      </c>
      <c r="C889" s="126">
        <v>47</v>
      </c>
      <c r="D889" s="126" t="str">
        <f t="shared" si="72"/>
        <v>3747</v>
      </c>
      <c r="J889" s="101">
        <v>0</v>
      </c>
      <c r="K889" s="101">
        <v>0</v>
      </c>
      <c r="L889" s="101">
        <v>0</v>
      </c>
      <c r="M889" s="101">
        <v>0</v>
      </c>
      <c r="N889" s="101">
        <v>0</v>
      </c>
      <c r="O889" s="101">
        <v>5</v>
      </c>
      <c r="P889" s="101">
        <v>7</v>
      </c>
      <c r="Q889" s="101">
        <v>692</v>
      </c>
      <c r="R889" s="101">
        <v>8625.7999999999993</v>
      </c>
      <c r="S889" s="101">
        <v>2602.576</v>
      </c>
      <c r="T889" s="169">
        <v>1.02</v>
      </c>
      <c r="U889" s="101">
        <f t="shared" si="74"/>
        <v>5.0999999999999996</v>
      </c>
      <c r="V889" s="101">
        <f t="shared" si="75"/>
        <v>7.1400000000000006</v>
      </c>
      <c r="W889" s="101">
        <f t="shared" si="76"/>
        <v>705.84</v>
      </c>
      <c r="X889" s="101">
        <f t="shared" si="73"/>
        <v>8798.3159999999989</v>
      </c>
      <c r="Y889" s="101">
        <f t="shared" si="77"/>
        <v>2654.62752</v>
      </c>
    </row>
    <row r="890" spans="1:25" ht="11.25" hidden="1" customHeight="1" x14ac:dyDescent="0.3">
      <c r="A890" s="126" t="s">
        <v>185</v>
      </c>
      <c r="B890" s="126">
        <v>37</v>
      </c>
      <c r="C890" s="126">
        <v>91</v>
      </c>
      <c r="D890" s="126" t="str">
        <f t="shared" si="72"/>
        <v>3791</v>
      </c>
      <c r="J890" s="101">
        <v>42</v>
      </c>
      <c r="K890" s="101">
        <v>125</v>
      </c>
      <c r="L890" s="101">
        <v>671</v>
      </c>
      <c r="M890" s="101">
        <v>5075</v>
      </c>
      <c r="N890" s="101">
        <v>3323</v>
      </c>
      <c r="O890" s="101">
        <v>32</v>
      </c>
      <c r="P890" s="101">
        <v>67</v>
      </c>
      <c r="Q890" s="101">
        <v>400</v>
      </c>
      <c r="R890" s="101">
        <v>2280.96</v>
      </c>
      <c r="S890" s="101">
        <v>1424.694</v>
      </c>
      <c r="T890" s="169">
        <v>1.02</v>
      </c>
      <c r="U890" s="101">
        <f t="shared" si="74"/>
        <v>32.64</v>
      </c>
      <c r="V890" s="101">
        <f t="shared" si="75"/>
        <v>68.34</v>
      </c>
      <c r="W890" s="101">
        <f t="shared" si="76"/>
        <v>408</v>
      </c>
      <c r="X890" s="101">
        <f t="shared" si="73"/>
        <v>2326.5792000000001</v>
      </c>
      <c r="Y890" s="101">
        <f t="shared" si="77"/>
        <v>1453.18788</v>
      </c>
    </row>
    <row r="891" spans="1:25" ht="11.25" hidden="1" customHeight="1" x14ac:dyDescent="0.3">
      <c r="A891" s="126" t="s">
        <v>185</v>
      </c>
      <c r="B891" s="126">
        <v>37</v>
      </c>
      <c r="C891" s="126">
        <v>25</v>
      </c>
      <c r="D891" s="126" t="str">
        <f t="shared" si="72"/>
        <v>3725</v>
      </c>
      <c r="E891" s="101">
        <v>932</v>
      </c>
      <c r="F891" s="101">
        <v>6388</v>
      </c>
      <c r="G891" s="101">
        <v>43457</v>
      </c>
      <c r="H891" s="101">
        <v>444949.57999999996</v>
      </c>
      <c r="I891" s="101">
        <v>239675.79100000003</v>
      </c>
      <c r="J891" s="101">
        <v>637</v>
      </c>
      <c r="K891" s="101">
        <v>7558</v>
      </c>
      <c r="L891" s="101">
        <v>50971</v>
      </c>
      <c r="M891" s="101">
        <v>509321</v>
      </c>
      <c r="N891" s="101">
        <v>252131</v>
      </c>
      <c r="O891" s="101">
        <v>678</v>
      </c>
      <c r="P891" s="101">
        <v>6144</v>
      </c>
      <c r="Q891" s="101">
        <v>36839</v>
      </c>
      <c r="R891" s="101">
        <v>347936.51</v>
      </c>
      <c r="S891" s="101">
        <v>216072.94399999999</v>
      </c>
      <c r="T891" s="169">
        <v>1.02</v>
      </c>
      <c r="U891" s="101">
        <f t="shared" si="74"/>
        <v>691.56000000000006</v>
      </c>
      <c r="V891" s="101">
        <f t="shared" si="75"/>
        <v>6266.88</v>
      </c>
      <c r="W891" s="101">
        <f t="shared" si="76"/>
        <v>37575.78</v>
      </c>
      <c r="X891" s="101">
        <f t="shared" si="73"/>
        <v>354895.2402</v>
      </c>
      <c r="Y891" s="101">
        <f t="shared" si="77"/>
        <v>220394.40287999998</v>
      </c>
    </row>
    <row r="892" spans="1:25" ht="11.25" hidden="1" customHeight="1" x14ac:dyDescent="0.3">
      <c r="A892" s="126" t="s">
        <v>185</v>
      </c>
      <c r="B892" s="126">
        <v>37</v>
      </c>
      <c r="C892" s="126">
        <v>27</v>
      </c>
      <c r="D892" s="126" t="str">
        <f t="shared" si="72"/>
        <v>3727</v>
      </c>
      <c r="E892" s="101">
        <v>156</v>
      </c>
      <c r="F892" s="101">
        <v>1496</v>
      </c>
      <c r="G892" s="101">
        <v>6463</v>
      </c>
      <c r="H892" s="101">
        <v>107119.04999999999</v>
      </c>
      <c r="I892" s="101">
        <v>38869.997000000003</v>
      </c>
      <c r="J892" s="101">
        <v>129</v>
      </c>
      <c r="K892" s="101">
        <v>2432</v>
      </c>
      <c r="L892" s="101">
        <v>10925</v>
      </c>
      <c r="M892" s="101">
        <v>120247</v>
      </c>
      <c r="N892" s="101">
        <v>39763</v>
      </c>
      <c r="O892" s="101">
        <v>67</v>
      </c>
      <c r="P892" s="101">
        <v>1806</v>
      </c>
      <c r="Q892" s="101">
        <v>8037</v>
      </c>
      <c r="R892" s="101">
        <v>92030.98</v>
      </c>
      <c r="S892" s="101">
        <v>34156.887000000002</v>
      </c>
      <c r="T892" s="169">
        <v>1.02</v>
      </c>
      <c r="U892" s="101">
        <f t="shared" si="74"/>
        <v>68.34</v>
      </c>
      <c r="V892" s="101">
        <f t="shared" si="75"/>
        <v>1842.1200000000001</v>
      </c>
      <c r="W892" s="101">
        <f t="shared" si="76"/>
        <v>8197.74</v>
      </c>
      <c r="X892" s="101">
        <f t="shared" si="73"/>
        <v>93871.599600000001</v>
      </c>
      <c r="Y892" s="101">
        <f t="shared" si="77"/>
        <v>34840.024740000001</v>
      </c>
    </row>
    <row r="893" spans="1:25" ht="11.25" hidden="1" customHeight="1" x14ac:dyDescent="0.3">
      <c r="A893" s="126" t="s">
        <v>185</v>
      </c>
      <c r="B893" s="126">
        <v>37</v>
      </c>
      <c r="C893" s="126">
        <v>34</v>
      </c>
      <c r="D893" s="126" t="str">
        <f t="shared" si="72"/>
        <v>3734</v>
      </c>
      <c r="O893" s="101">
        <v>1</v>
      </c>
      <c r="P893" s="101">
        <v>1</v>
      </c>
      <c r="Q893" s="101">
        <v>1</v>
      </c>
      <c r="R893" s="101">
        <v>0</v>
      </c>
      <c r="S893" s="101">
        <v>2.3330000000000002</v>
      </c>
      <c r="T893" s="169">
        <v>1.02</v>
      </c>
      <c r="U893" s="101">
        <f t="shared" si="74"/>
        <v>1.02</v>
      </c>
      <c r="V893" s="101">
        <f t="shared" si="75"/>
        <v>1.02</v>
      </c>
      <c r="W893" s="101">
        <f t="shared" si="76"/>
        <v>1.02</v>
      </c>
      <c r="X893" s="101">
        <f t="shared" si="73"/>
        <v>0</v>
      </c>
      <c r="Y893" s="101">
        <f t="shared" si="77"/>
        <v>2.3796600000000003</v>
      </c>
    </row>
    <row r="894" spans="1:25" ht="11.25" customHeight="1" x14ac:dyDescent="0.3">
      <c r="A894" s="126" t="s">
        <v>185</v>
      </c>
      <c r="B894" s="126">
        <v>37</v>
      </c>
      <c r="C894" s="126" t="s">
        <v>172</v>
      </c>
      <c r="D894" s="126" t="str">
        <f t="shared" si="72"/>
        <v>37Uml</v>
      </c>
      <c r="J894" s="101">
        <v>176</v>
      </c>
      <c r="K894" s="101">
        <v>183</v>
      </c>
      <c r="L894" s="101">
        <v>69404</v>
      </c>
      <c r="N894" s="101">
        <v>287038</v>
      </c>
      <c r="O894" s="101">
        <v>150</v>
      </c>
      <c r="P894" s="101">
        <v>156</v>
      </c>
      <c r="Q894" s="101">
        <v>68355</v>
      </c>
      <c r="S894" s="101">
        <v>209658</v>
      </c>
      <c r="T894" s="169">
        <v>1.02</v>
      </c>
      <c r="U894" s="101">
        <f t="shared" si="74"/>
        <v>153</v>
      </c>
      <c r="V894" s="101">
        <f t="shared" si="75"/>
        <v>159.12</v>
      </c>
      <c r="W894" s="101">
        <f t="shared" si="76"/>
        <v>69722.100000000006</v>
      </c>
      <c r="X894" s="101">
        <f t="shared" si="73"/>
        <v>0</v>
      </c>
      <c r="Y894" s="101">
        <f t="shared" si="77"/>
        <v>213851.16</v>
      </c>
    </row>
    <row r="895" spans="1:25" ht="11.25" hidden="1" customHeight="1" x14ac:dyDescent="0.3">
      <c r="A895" s="126" t="s">
        <v>185</v>
      </c>
      <c r="B895" s="126">
        <v>37</v>
      </c>
      <c r="C895" s="126">
        <v>37</v>
      </c>
      <c r="D895" s="126" t="str">
        <f t="shared" si="72"/>
        <v>3737</v>
      </c>
      <c r="E895" s="101">
        <v>8.25</v>
      </c>
      <c r="F895" s="101">
        <v>20.5</v>
      </c>
      <c r="G895" s="101">
        <v>13819</v>
      </c>
      <c r="H895" s="101">
        <v>12812.862499999999</v>
      </c>
      <c r="I895" s="101">
        <v>6312.7595000000001</v>
      </c>
      <c r="J895" s="101">
        <v>19</v>
      </c>
      <c r="K895" s="101">
        <v>129</v>
      </c>
      <c r="L895" s="101">
        <v>1997</v>
      </c>
      <c r="M895" s="101">
        <v>10819</v>
      </c>
      <c r="N895" s="101">
        <v>6670</v>
      </c>
      <c r="O895" s="101">
        <v>32</v>
      </c>
      <c r="P895" s="101">
        <v>82</v>
      </c>
      <c r="Q895" s="101">
        <v>2027</v>
      </c>
      <c r="R895" s="101">
        <v>12443.94</v>
      </c>
      <c r="S895" s="101">
        <v>6335.0659999999998</v>
      </c>
      <c r="T895" s="169">
        <v>1.02</v>
      </c>
      <c r="U895" s="101">
        <f t="shared" si="74"/>
        <v>32.64</v>
      </c>
      <c r="V895" s="101">
        <f t="shared" si="75"/>
        <v>83.64</v>
      </c>
      <c r="W895" s="101">
        <f t="shared" si="76"/>
        <v>2067.54</v>
      </c>
      <c r="X895" s="101">
        <f t="shared" si="73"/>
        <v>12692.818800000001</v>
      </c>
      <c r="Y895" s="101">
        <f t="shared" si="77"/>
        <v>6461.7673199999999</v>
      </c>
    </row>
    <row r="896" spans="1:25" ht="11.25" hidden="1" customHeight="1" x14ac:dyDescent="0.3">
      <c r="A896" s="126" t="s">
        <v>185</v>
      </c>
      <c r="B896" s="126">
        <v>38</v>
      </c>
      <c r="C896" s="126">
        <v>12</v>
      </c>
      <c r="D896" s="126" t="str">
        <f t="shared" si="72"/>
        <v>3812</v>
      </c>
      <c r="E896" s="101">
        <v>30</v>
      </c>
      <c r="F896" s="101">
        <v>38</v>
      </c>
      <c r="G896" s="101">
        <v>68</v>
      </c>
      <c r="H896" s="101">
        <v>616.26</v>
      </c>
      <c r="I896" s="101">
        <v>192.63900000000001</v>
      </c>
      <c r="J896" s="101">
        <v>16</v>
      </c>
      <c r="K896" s="101">
        <v>17</v>
      </c>
      <c r="L896" s="101">
        <v>20</v>
      </c>
      <c r="M896" s="101">
        <v>651.77</v>
      </c>
      <c r="N896" s="101">
        <v>162.80199999999999</v>
      </c>
      <c r="O896" s="101">
        <v>17</v>
      </c>
      <c r="P896" s="101">
        <v>17</v>
      </c>
      <c r="Q896" s="101">
        <v>23</v>
      </c>
      <c r="R896" s="101">
        <v>336.73</v>
      </c>
      <c r="S896" s="101">
        <v>136.23699999999999</v>
      </c>
      <c r="T896" s="169">
        <v>1.02</v>
      </c>
      <c r="U896" s="101">
        <f t="shared" si="74"/>
        <v>17.34</v>
      </c>
      <c r="V896" s="101">
        <f t="shared" si="75"/>
        <v>17.34</v>
      </c>
      <c r="W896" s="101">
        <f t="shared" si="76"/>
        <v>23.46</v>
      </c>
      <c r="X896" s="101">
        <f t="shared" si="73"/>
        <v>343.46460000000002</v>
      </c>
      <c r="Y896" s="101">
        <f t="shared" si="77"/>
        <v>138.96173999999999</v>
      </c>
    </row>
    <row r="897" spans="1:25" ht="11.25" hidden="1" customHeight="1" x14ac:dyDescent="0.3">
      <c r="A897" s="126" t="s">
        <v>185</v>
      </c>
      <c r="B897" s="126">
        <v>38</v>
      </c>
      <c r="C897" s="126">
        <v>14</v>
      </c>
      <c r="D897" s="126" t="str">
        <f t="shared" si="72"/>
        <v>3814</v>
      </c>
      <c r="E897" s="101">
        <v>3</v>
      </c>
      <c r="F897" s="101">
        <v>10</v>
      </c>
      <c r="G897" s="101">
        <v>10</v>
      </c>
      <c r="H897" s="101">
        <v>1037.8</v>
      </c>
      <c r="I897" s="101">
        <v>135.518</v>
      </c>
      <c r="J897" s="101">
        <v>35</v>
      </c>
      <c r="K897" s="101">
        <v>81</v>
      </c>
      <c r="L897" s="101">
        <v>127</v>
      </c>
      <c r="M897" s="101">
        <v>11900.62</v>
      </c>
      <c r="N897" s="101">
        <v>1562.297</v>
      </c>
      <c r="O897" s="101">
        <v>32</v>
      </c>
      <c r="P897" s="101">
        <v>110</v>
      </c>
      <c r="Q897" s="101">
        <v>158</v>
      </c>
      <c r="R897" s="101">
        <v>10546.24</v>
      </c>
      <c r="S897" s="101">
        <v>1410.7059999999999</v>
      </c>
      <c r="T897" s="169">
        <v>1.02</v>
      </c>
      <c r="U897" s="101">
        <f t="shared" si="74"/>
        <v>32.64</v>
      </c>
      <c r="V897" s="101">
        <f t="shared" si="75"/>
        <v>112.2</v>
      </c>
      <c r="W897" s="101">
        <f t="shared" si="76"/>
        <v>161.16</v>
      </c>
      <c r="X897" s="101">
        <f t="shared" si="73"/>
        <v>10757.1648</v>
      </c>
      <c r="Y897" s="101">
        <f t="shared" si="77"/>
        <v>1438.92012</v>
      </c>
    </row>
    <row r="898" spans="1:25" ht="11.25" hidden="1" customHeight="1" x14ac:dyDescent="0.3">
      <c r="A898" s="126" t="s">
        <v>185</v>
      </c>
      <c r="B898" s="126">
        <v>38</v>
      </c>
      <c r="C898" s="126">
        <v>17</v>
      </c>
      <c r="D898" s="126" t="str">
        <f t="shared" si="72"/>
        <v>3817</v>
      </c>
      <c r="E898" s="101">
        <v>2415</v>
      </c>
      <c r="F898" s="101">
        <v>3264</v>
      </c>
      <c r="G898" s="101">
        <v>4296</v>
      </c>
      <c r="H898" s="101">
        <v>168451.97</v>
      </c>
      <c r="I898" s="101">
        <v>35330.374000000003</v>
      </c>
      <c r="J898" s="101">
        <v>1725</v>
      </c>
      <c r="K898" s="101">
        <v>2996</v>
      </c>
      <c r="L898" s="101">
        <v>4532</v>
      </c>
      <c r="M898" s="101">
        <v>107400.82</v>
      </c>
      <c r="N898" s="101">
        <v>23343.969000000001</v>
      </c>
      <c r="O898" s="101">
        <v>1007</v>
      </c>
      <c r="P898" s="101">
        <v>1517</v>
      </c>
      <c r="Q898" s="101">
        <v>2509</v>
      </c>
      <c r="R898" s="101">
        <v>64041.84</v>
      </c>
      <c r="S898" s="101">
        <v>14142.584000000001</v>
      </c>
      <c r="T898" s="169">
        <v>1.02</v>
      </c>
      <c r="U898" s="101">
        <v>2289</v>
      </c>
      <c r="V898" s="101">
        <v>4540</v>
      </c>
      <c r="W898" s="101">
        <v>6892</v>
      </c>
      <c r="X898" s="101">
        <f t="shared" si="73"/>
        <v>65322.676800000001</v>
      </c>
      <c r="Y898" s="101">
        <v>35000</v>
      </c>
    </row>
    <row r="899" spans="1:25" ht="11.25" hidden="1" customHeight="1" x14ac:dyDescent="0.3">
      <c r="A899" s="126" t="s">
        <v>185</v>
      </c>
      <c r="B899" s="126">
        <v>38</v>
      </c>
      <c r="C899" s="126">
        <v>18</v>
      </c>
      <c r="D899" s="126" t="str">
        <f t="shared" si="72"/>
        <v>3818</v>
      </c>
      <c r="E899" s="101">
        <v>365</v>
      </c>
      <c r="F899" s="101">
        <v>516</v>
      </c>
      <c r="G899" s="101">
        <v>608</v>
      </c>
      <c r="H899" s="101">
        <v>28715.489999999998</v>
      </c>
      <c r="I899" s="101">
        <v>4581.2159999999994</v>
      </c>
      <c r="J899" s="101">
        <v>3017</v>
      </c>
      <c r="K899" s="101">
        <v>3644</v>
      </c>
      <c r="L899" s="101">
        <v>4122</v>
      </c>
      <c r="M899" s="101">
        <v>171567.97</v>
      </c>
      <c r="N899" s="101">
        <v>41659.982000000004</v>
      </c>
      <c r="O899" s="101">
        <v>2206</v>
      </c>
      <c r="P899" s="101">
        <v>2863</v>
      </c>
      <c r="Q899" s="101">
        <v>5032</v>
      </c>
      <c r="R899" s="101">
        <v>118870.16</v>
      </c>
      <c r="S899" s="101">
        <v>65375.12</v>
      </c>
      <c r="T899" s="169">
        <v>0.65</v>
      </c>
      <c r="U899" s="101">
        <f t="shared" si="74"/>
        <v>1433.9</v>
      </c>
      <c r="V899" s="101">
        <f t="shared" si="75"/>
        <v>1860.95</v>
      </c>
      <c r="W899" s="101">
        <f t="shared" si="76"/>
        <v>3270.8</v>
      </c>
      <c r="X899" s="101">
        <f t="shared" si="73"/>
        <v>77265.604000000007</v>
      </c>
      <c r="Y899" s="101">
        <f t="shared" si="77"/>
        <v>42493.828000000001</v>
      </c>
    </row>
    <row r="900" spans="1:25" ht="11.25" hidden="1" customHeight="1" x14ac:dyDescent="0.3">
      <c r="A900" s="126" t="s">
        <v>185</v>
      </c>
      <c r="B900" s="126">
        <v>38</v>
      </c>
      <c r="C900" s="126">
        <v>28</v>
      </c>
      <c r="D900" s="126" t="str">
        <f t="shared" si="72"/>
        <v>3828</v>
      </c>
      <c r="E900" s="101">
        <v>339</v>
      </c>
      <c r="F900" s="101">
        <v>2341</v>
      </c>
      <c r="G900" s="101">
        <v>19619</v>
      </c>
      <c r="H900" s="101">
        <v>413653.22</v>
      </c>
      <c r="I900" s="101">
        <v>111658.45700000001</v>
      </c>
      <c r="J900" s="101">
        <v>253</v>
      </c>
      <c r="K900" s="101">
        <v>4598</v>
      </c>
      <c r="L900" s="101">
        <v>35650</v>
      </c>
      <c r="M900" s="101">
        <v>583746.35</v>
      </c>
      <c r="N900" s="101">
        <v>324426.01500000001</v>
      </c>
      <c r="O900" s="101">
        <v>260</v>
      </c>
      <c r="P900" s="101">
        <v>5254</v>
      </c>
      <c r="Q900" s="101">
        <v>32788</v>
      </c>
      <c r="R900" s="101">
        <v>695946.83</v>
      </c>
      <c r="S900" s="101">
        <v>178633.15299999999</v>
      </c>
      <c r="T900" s="169">
        <v>1.02</v>
      </c>
      <c r="U900" s="101">
        <v>72</v>
      </c>
      <c r="V900" s="101">
        <v>641</v>
      </c>
      <c r="W900" s="101">
        <v>2363</v>
      </c>
      <c r="X900" s="144">
        <f t="shared" si="73"/>
        <v>709865.76659999997</v>
      </c>
      <c r="Y900" s="101">
        <v>19327</v>
      </c>
    </row>
    <row r="901" spans="1:25" ht="11.25" hidden="1" customHeight="1" x14ac:dyDescent="0.3">
      <c r="A901" s="126" t="s">
        <v>185</v>
      </c>
      <c r="B901" s="126">
        <v>38</v>
      </c>
      <c r="C901" s="126">
        <v>46</v>
      </c>
      <c r="D901" s="126" t="str">
        <f t="shared" si="72"/>
        <v>3846</v>
      </c>
      <c r="E901" s="101">
        <v>346</v>
      </c>
      <c r="F901" s="101">
        <v>724</v>
      </c>
      <c r="G901" s="101">
        <v>15915</v>
      </c>
      <c r="H901" s="101">
        <v>336797.06</v>
      </c>
      <c r="I901" s="101">
        <v>112736.13699999999</v>
      </c>
      <c r="J901" s="101">
        <v>191</v>
      </c>
      <c r="K901" s="101">
        <v>487</v>
      </c>
      <c r="L901" s="101">
        <v>17794</v>
      </c>
      <c r="M901" s="101">
        <v>373606.83</v>
      </c>
      <c r="N901" s="101">
        <v>125720.17200000001</v>
      </c>
      <c r="O901" s="101">
        <v>195</v>
      </c>
      <c r="P901" s="101">
        <v>473</v>
      </c>
      <c r="Q901" s="101">
        <v>26388</v>
      </c>
      <c r="R901" s="101">
        <v>371790.91</v>
      </c>
      <c r="S901" s="101">
        <v>139259.50099999999</v>
      </c>
      <c r="T901" s="169">
        <v>1.02</v>
      </c>
      <c r="U901" s="101">
        <f t="shared" si="74"/>
        <v>198.9</v>
      </c>
      <c r="V901" s="101">
        <f t="shared" si="75"/>
        <v>482.46000000000004</v>
      </c>
      <c r="W901" s="101">
        <f t="shared" si="76"/>
        <v>26915.760000000002</v>
      </c>
      <c r="X901" s="101">
        <f t="shared" si="73"/>
        <v>379226.72819999995</v>
      </c>
      <c r="Y901" s="101">
        <f t="shared" si="77"/>
        <v>142044.69102</v>
      </c>
    </row>
    <row r="902" spans="1:25" ht="11.25" hidden="1" customHeight="1" x14ac:dyDescent="0.3">
      <c r="A902" s="126" t="s">
        <v>185</v>
      </c>
      <c r="B902" s="126">
        <v>38</v>
      </c>
      <c r="C902" s="126">
        <v>47</v>
      </c>
      <c r="D902" s="126" t="str">
        <f t="shared" si="72"/>
        <v>3847</v>
      </c>
      <c r="E902" s="101">
        <v>1</v>
      </c>
      <c r="F902" s="101">
        <v>1</v>
      </c>
      <c r="G902" s="101">
        <v>5050</v>
      </c>
      <c r="H902" s="101">
        <v>14645</v>
      </c>
      <c r="I902" s="101">
        <v>696.9</v>
      </c>
      <c r="J902" s="101">
        <v>0</v>
      </c>
      <c r="K902" s="101">
        <v>0</v>
      </c>
      <c r="L902" s="101">
        <v>0</v>
      </c>
      <c r="M902" s="101">
        <v>0</v>
      </c>
      <c r="N902" s="101">
        <v>0</v>
      </c>
      <c r="O902" s="101">
        <v>4</v>
      </c>
      <c r="P902" s="101">
        <v>10</v>
      </c>
      <c r="Q902" s="101">
        <v>271</v>
      </c>
      <c r="R902" s="101">
        <v>6779.73</v>
      </c>
      <c r="S902" s="101">
        <v>3135.4720000000002</v>
      </c>
      <c r="T902" s="169">
        <v>1.02</v>
      </c>
      <c r="U902" s="101">
        <f t="shared" si="74"/>
        <v>4.08</v>
      </c>
      <c r="V902" s="101">
        <f t="shared" si="75"/>
        <v>10.199999999999999</v>
      </c>
      <c r="W902" s="101">
        <f t="shared" si="76"/>
        <v>276.42</v>
      </c>
      <c r="X902" s="101">
        <f t="shared" ref="X902:X965" si="78">R902*T902</f>
        <v>6915.3245999999999</v>
      </c>
      <c r="Y902" s="101">
        <f t="shared" si="77"/>
        <v>3198.1814400000003</v>
      </c>
    </row>
    <row r="903" spans="1:25" ht="11.25" hidden="1" customHeight="1" x14ac:dyDescent="0.3">
      <c r="A903" s="126" t="s">
        <v>185</v>
      </c>
      <c r="B903" s="126">
        <v>38</v>
      </c>
      <c r="C903" s="126">
        <v>66</v>
      </c>
      <c r="D903" s="126" t="str">
        <f t="shared" si="72"/>
        <v>3866</v>
      </c>
      <c r="E903" s="101">
        <v>681</v>
      </c>
      <c r="F903" s="101">
        <v>1969</v>
      </c>
      <c r="G903" s="101">
        <v>28156</v>
      </c>
      <c r="H903" s="101">
        <v>203910.51</v>
      </c>
      <c r="I903" s="101">
        <v>111202.29800000001</v>
      </c>
      <c r="J903" s="101">
        <v>251</v>
      </c>
      <c r="K903" s="101">
        <v>1605</v>
      </c>
      <c r="L903" s="101">
        <v>30693</v>
      </c>
      <c r="M903" s="101">
        <v>188387.16</v>
      </c>
      <c r="N903" s="101">
        <v>111094.02800000001</v>
      </c>
      <c r="O903" s="101">
        <v>361</v>
      </c>
      <c r="P903" s="101">
        <v>1557</v>
      </c>
      <c r="Q903" s="101">
        <v>30936</v>
      </c>
      <c r="R903" s="101">
        <v>202880.68</v>
      </c>
      <c r="S903" s="101">
        <v>102988.709</v>
      </c>
      <c r="T903" s="169">
        <v>1.02</v>
      </c>
      <c r="U903" s="101">
        <f t="shared" si="74"/>
        <v>368.22</v>
      </c>
      <c r="V903" s="101">
        <f t="shared" si="75"/>
        <v>1588.14</v>
      </c>
      <c r="W903" s="101">
        <f t="shared" si="76"/>
        <v>31554.720000000001</v>
      </c>
      <c r="X903" s="101">
        <f t="shared" si="78"/>
        <v>206938.2936</v>
      </c>
      <c r="Y903" s="101">
        <f t="shared" si="77"/>
        <v>105048.48318000001</v>
      </c>
    </row>
    <row r="904" spans="1:25" ht="11.25" hidden="1" customHeight="1" x14ac:dyDescent="0.3">
      <c r="A904" s="126" t="s">
        <v>185</v>
      </c>
      <c r="B904" s="126">
        <v>38</v>
      </c>
      <c r="C904" s="126">
        <v>30</v>
      </c>
      <c r="D904" s="126" t="str">
        <f t="shared" si="72"/>
        <v>3830</v>
      </c>
      <c r="E904" s="101">
        <v>372.5</v>
      </c>
      <c r="F904" s="101">
        <v>3267.5</v>
      </c>
      <c r="G904" s="101">
        <v>15169.5</v>
      </c>
      <c r="H904" s="101">
        <v>399575.21500000003</v>
      </c>
      <c r="I904" s="101">
        <v>127454.13799999999</v>
      </c>
      <c r="J904" s="101">
        <v>0</v>
      </c>
      <c r="K904" s="101">
        <v>0</v>
      </c>
      <c r="L904" s="101">
        <v>0</v>
      </c>
      <c r="M904" s="101">
        <v>0</v>
      </c>
      <c r="N904" s="101">
        <v>0</v>
      </c>
      <c r="O904" s="101">
        <v>45</v>
      </c>
      <c r="P904" s="101">
        <v>48</v>
      </c>
      <c r="Q904" s="101">
        <v>959</v>
      </c>
      <c r="R904" s="101">
        <v>64940.98</v>
      </c>
      <c r="S904" s="101">
        <v>42719.857000000004</v>
      </c>
      <c r="T904" s="169">
        <v>1.02</v>
      </c>
      <c r="U904" s="101">
        <f t="shared" ref="U904:U967" si="79">O904*T904</f>
        <v>45.9</v>
      </c>
      <c r="V904" s="101">
        <f t="shared" ref="V904:V967" si="80">P904*T904</f>
        <v>48.96</v>
      </c>
      <c r="W904" s="101">
        <f t="shared" ref="W904:W967" si="81">Q904*T904</f>
        <v>978.18000000000006</v>
      </c>
      <c r="X904" s="101">
        <f t="shared" si="78"/>
        <v>66239.799599999998</v>
      </c>
      <c r="Y904" s="101">
        <f t="shared" ref="Y904:Y967" si="82">S904*T904</f>
        <v>43574.254140000005</v>
      </c>
    </row>
    <row r="905" spans="1:25" ht="11.25" hidden="1" customHeight="1" x14ac:dyDescent="0.3">
      <c r="A905" s="126" t="s">
        <v>185</v>
      </c>
      <c r="B905" s="126">
        <v>38</v>
      </c>
      <c r="C905" s="126">
        <v>21</v>
      </c>
      <c r="D905" s="126" t="str">
        <f t="shared" si="72"/>
        <v>3821</v>
      </c>
      <c r="E905" s="101">
        <v>751.5</v>
      </c>
      <c r="F905" s="101">
        <v>4245</v>
      </c>
      <c r="G905" s="101">
        <v>22351.5</v>
      </c>
      <c r="H905" s="101">
        <v>300046.71500000003</v>
      </c>
      <c r="I905" s="101">
        <v>90537.284500000009</v>
      </c>
      <c r="J905" s="101">
        <v>1286</v>
      </c>
      <c r="K905" s="101">
        <v>16106</v>
      </c>
      <c r="L905" s="101">
        <v>129179</v>
      </c>
      <c r="M905" s="101">
        <v>1190072.19</v>
      </c>
      <c r="N905" s="101">
        <v>407672.95</v>
      </c>
      <c r="O905" s="101">
        <v>1023</v>
      </c>
      <c r="P905" s="101">
        <v>11284</v>
      </c>
      <c r="Q905" s="101">
        <v>67509</v>
      </c>
      <c r="R905" s="101">
        <v>908388.78</v>
      </c>
      <c r="S905" s="101">
        <v>277163.995</v>
      </c>
      <c r="T905" s="169">
        <v>1.02</v>
      </c>
      <c r="U905" s="101"/>
      <c r="V905" s="101"/>
      <c r="W905" s="101"/>
      <c r="X905" s="101"/>
      <c r="Y905" s="101"/>
    </row>
    <row r="906" spans="1:25" ht="11.25" hidden="1" customHeight="1" x14ac:dyDescent="0.3">
      <c r="A906" s="126" t="s">
        <v>185</v>
      </c>
      <c r="B906" s="126">
        <v>38</v>
      </c>
      <c r="C906" s="126">
        <v>71</v>
      </c>
      <c r="D906" s="126" t="str">
        <f t="shared" si="72"/>
        <v>3871</v>
      </c>
      <c r="E906" s="101">
        <v>575.5</v>
      </c>
      <c r="F906" s="101">
        <v>17862.5</v>
      </c>
      <c r="G906" s="101">
        <v>38168.5</v>
      </c>
      <c r="H906" s="101">
        <v>278560.45</v>
      </c>
      <c r="I906" s="101">
        <v>144081.38200000001</v>
      </c>
      <c r="J906" s="101">
        <v>502</v>
      </c>
      <c r="K906" s="101">
        <v>10709</v>
      </c>
      <c r="L906" s="101">
        <v>29777</v>
      </c>
      <c r="M906" s="101">
        <v>263556.55</v>
      </c>
      <c r="N906" s="101">
        <v>130830.36</v>
      </c>
      <c r="O906" s="101">
        <v>274</v>
      </c>
      <c r="P906" s="101">
        <v>5554</v>
      </c>
      <c r="Q906" s="101">
        <v>19594</v>
      </c>
      <c r="R906" s="101">
        <v>146114.16</v>
      </c>
      <c r="S906" s="101">
        <v>70157.198000000004</v>
      </c>
      <c r="T906" s="169">
        <v>0.98</v>
      </c>
      <c r="U906" s="101">
        <v>488</v>
      </c>
      <c r="V906" s="101">
        <v>11405</v>
      </c>
      <c r="W906" s="101">
        <v>37992</v>
      </c>
      <c r="X906" s="101">
        <v>309935</v>
      </c>
      <c r="Y906" s="101">
        <v>148133</v>
      </c>
    </row>
    <row r="907" spans="1:25" ht="11.25" hidden="1" customHeight="1" x14ac:dyDescent="0.3">
      <c r="A907" s="126" t="s">
        <v>185</v>
      </c>
      <c r="B907" s="126">
        <v>38</v>
      </c>
      <c r="C907" s="126">
        <v>25</v>
      </c>
      <c r="D907" s="126" t="str">
        <f t="shared" si="72"/>
        <v>3825</v>
      </c>
      <c r="E907" s="101">
        <v>1014</v>
      </c>
      <c r="F907" s="101">
        <v>5778</v>
      </c>
      <c r="G907" s="101">
        <v>41202</v>
      </c>
      <c r="H907" s="101">
        <v>651648.29999999993</v>
      </c>
      <c r="I907" s="101">
        <v>271484.97700000001</v>
      </c>
      <c r="J907" s="101">
        <v>874</v>
      </c>
      <c r="K907" s="101">
        <v>8734</v>
      </c>
      <c r="L907" s="101">
        <v>44658</v>
      </c>
      <c r="M907" s="101">
        <v>692802.95</v>
      </c>
      <c r="N907" s="101">
        <v>336905.701</v>
      </c>
      <c r="O907" s="101">
        <v>756</v>
      </c>
      <c r="P907" s="101">
        <v>6268</v>
      </c>
      <c r="Q907" s="101">
        <v>49489</v>
      </c>
      <c r="R907" s="101">
        <v>279540.34999999998</v>
      </c>
      <c r="S907" s="101">
        <v>191125.476</v>
      </c>
      <c r="T907" s="169">
        <v>1.02</v>
      </c>
      <c r="U907" s="101">
        <f t="shared" si="79"/>
        <v>771.12</v>
      </c>
      <c r="V907" s="101">
        <f t="shared" si="80"/>
        <v>6393.36</v>
      </c>
      <c r="W907" s="101">
        <f t="shared" si="81"/>
        <v>50478.78</v>
      </c>
      <c r="X907" s="101">
        <f t="shared" si="78"/>
        <v>285131.15700000001</v>
      </c>
      <c r="Y907" s="101">
        <f t="shared" si="82"/>
        <v>194947.98551999999</v>
      </c>
    </row>
    <row r="908" spans="1:25" ht="11.25" hidden="1" customHeight="1" x14ac:dyDescent="0.3">
      <c r="A908" s="126" t="s">
        <v>185</v>
      </c>
      <c r="B908" s="126">
        <v>38</v>
      </c>
      <c r="C908" s="126">
        <v>22</v>
      </c>
      <c r="D908" s="126" t="str">
        <f t="shared" si="72"/>
        <v>3822</v>
      </c>
      <c r="J908" s="101">
        <v>7</v>
      </c>
      <c r="K908" s="101">
        <v>8</v>
      </c>
      <c r="L908" s="101">
        <v>138</v>
      </c>
      <c r="M908" s="101">
        <v>3895.42</v>
      </c>
      <c r="N908" s="101">
        <v>1860.7270000000001</v>
      </c>
      <c r="O908" s="101">
        <v>8</v>
      </c>
      <c r="P908" s="101">
        <v>13</v>
      </c>
      <c r="Q908" s="101">
        <v>54</v>
      </c>
      <c r="R908" s="101">
        <v>239.04</v>
      </c>
      <c r="S908" s="101">
        <v>180.816</v>
      </c>
      <c r="T908" s="169">
        <v>1.02</v>
      </c>
      <c r="U908" s="101">
        <f t="shared" si="79"/>
        <v>8.16</v>
      </c>
      <c r="V908" s="101">
        <f t="shared" si="80"/>
        <v>13.26</v>
      </c>
      <c r="W908" s="101">
        <f t="shared" si="81"/>
        <v>55.08</v>
      </c>
      <c r="X908" s="101">
        <f t="shared" si="78"/>
        <v>243.82079999999999</v>
      </c>
      <c r="Y908" s="101">
        <f t="shared" si="82"/>
        <v>184.43232</v>
      </c>
    </row>
    <row r="909" spans="1:25" ht="11.25" hidden="1" customHeight="1" x14ac:dyDescent="0.3">
      <c r="A909" s="126" t="s">
        <v>185</v>
      </c>
      <c r="B909" s="126">
        <v>38</v>
      </c>
      <c r="C909" s="126">
        <v>26</v>
      </c>
      <c r="D909" s="126" t="str">
        <f t="shared" si="72"/>
        <v>3826</v>
      </c>
      <c r="J909" s="101">
        <v>11</v>
      </c>
      <c r="K909" s="101">
        <v>17</v>
      </c>
      <c r="L909" s="101">
        <v>241</v>
      </c>
      <c r="M909" s="101">
        <v>7159.62</v>
      </c>
      <c r="N909" s="101">
        <v>3762.7510000000002</v>
      </c>
      <c r="O909" s="101">
        <v>2</v>
      </c>
      <c r="P909" s="101">
        <v>4</v>
      </c>
      <c r="Q909" s="101">
        <v>7</v>
      </c>
      <c r="R909" s="101">
        <v>117.4</v>
      </c>
      <c r="S909" s="101">
        <v>51.77</v>
      </c>
      <c r="T909" s="169">
        <v>1.02</v>
      </c>
      <c r="U909" s="101">
        <f t="shared" si="79"/>
        <v>2.04</v>
      </c>
      <c r="V909" s="101">
        <f t="shared" si="80"/>
        <v>4.08</v>
      </c>
      <c r="W909" s="101">
        <f t="shared" si="81"/>
        <v>7.1400000000000006</v>
      </c>
      <c r="X909" s="101">
        <f t="shared" si="78"/>
        <v>119.748</v>
      </c>
      <c r="Y909" s="101">
        <f t="shared" si="82"/>
        <v>52.805400000000006</v>
      </c>
    </row>
    <row r="910" spans="1:25" ht="11.25" hidden="1" customHeight="1" x14ac:dyDescent="0.3">
      <c r="A910" s="126" t="s">
        <v>185</v>
      </c>
      <c r="B910" s="126">
        <v>38</v>
      </c>
      <c r="C910" s="126">
        <v>32</v>
      </c>
      <c r="D910" s="126" t="str">
        <f t="shared" si="72"/>
        <v>3832</v>
      </c>
      <c r="J910" s="101">
        <v>22</v>
      </c>
      <c r="K910" s="101">
        <v>56</v>
      </c>
      <c r="L910" s="101">
        <v>2610</v>
      </c>
      <c r="M910" s="101">
        <v>89798.29</v>
      </c>
      <c r="N910" s="101">
        <v>45090.080000000002</v>
      </c>
      <c r="O910" s="101">
        <v>40</v>
      </c>
      <c r="P910" s="101">
        <v>254</v>
      </c>
      <c r="Q910" s="101">
        <v>3935</v>
      </c>
      <c r="R910" s="101">
        <v>79902.59</v>
      </c>
      <c r="S910" s="101">
        <v>21001.078000000001</v>
      </c>
      <c r="T910" s="169">
        <v>1.02</v>
      </c>
      <c r="U910" s="101">
        <f t="shared" si="79"/>
        <v>40.799999999999997</v>
      </c>
      <c r="V910" s="101">
        <f t="shared" si="80"/>
        <v>259.08</v>
      </c>
      <c r="W910" s="101">
        <f t="shared" si="81"/>
        <v>4013.7000000000003</v>
      </c>
      <c r="X910" s="101">
        <f t="shared" si="78"/>
        <v>81500.641799999998</v>
      </c>
      <c r="Y910" s="101">
        <f t="shared" si="82"/>
        <v>21421.099560000002</v>
      </c>
    </row>
    <row r="911" spans="1:25" ht="11.25" hidden="1" customHeight="1" x14ac:dyDescent="0.3">
      <c r="A911" s="126" t="s">
        <v>185</v>
      </c>
      <c r="B911" s="126">
        <v>38</v>
      </c>
      <c r="C911" s="126">
        <v>41</v>
      </c>
      <c r="D911" s="126" t="str">
        <f t="shared" si="72"/>
        <v>3841</v>
      </c>
      <c r="J911" s="101">
        <v>1</v>
      </c>
      <c r="K911" s="101">
        <v>1</v>
      </c>
      <c r="L911" s="101">
        <v>3</v>
      </c>
      <c r="M911" s="101">
        <v>180.18</v>
      </c>
      <c r="N911" s="101">
        <v>32.229999999999997</v>
      </c>
      <c r="O911" s="101">
        <v>1</v>
      </c>
      <c r="P911" s="101">
        <v>1</v>
      </c>
      <c r="Q911" s="101">
        <v>4</v>
      </c>
      <c r="R911" s="101">
        <v>50.92</v>
      </c>
      <c r="S911" s="101">
        <v>3.302</v>
      </c>
      <c r="T911" s="169">
        <v>1.02</v>
      </c>
      <c r="U911" s="101">
        <f t="shared" si="79"/>
        <v>1.02</v>
      </c>
      <c r="V911" s="101">
        <f t="shared" si="80"/>
        <v>1.02</v>
      </c>
      <c r="W911" s="101">
        <f t="shared" si="81"/>
        <v>4.08</v>
      </c>
      <c r="X911" s="101">
        <f t="shared" si="78"/>
        <v>51.938400000000001</v>
      </c>
      <c r="Y911" s="101">
        <f t="shared" si="82"/>
        <v>3.3680400000000001</v>
      </c>
    </row>
    <row r="912" spans="1:25" ht="11.25" hidden="1" customHeight="1" x14ac:dyDescent="0.3">
      <c r="A912" s="126" t="s">
        <v>185</v>
      </c>
      <c r="B912" s="126">
        <v>38</v>
      </c>
      <c r="C912" s="126">
        <v>35</v>
      </c>
      <c r="D912" s="126" t="str">
        <f t="shared" si="72"/>
        <v>3835</v>
      </c>
      <c r="J912" s="101">
        <v>1</v>
      </c>
      <c r="K912" s="101">
        <v>1</v>
      </c>
      <c r="L912" s="101">
        <v>50</v>
      </c>
      <c r="M912" s="101">
        <v>347.73</v>
      </c>
      <c r="N912" s="101">
        <v>0.54500000000000004</v>
      </c>
      <c r="O912" s="101">
        <v>0</v>
      </c>
      <c r="P912" s="101">
        <v>0</v>
      </c>
      <c r="Q912" s="101">
        <v>0</v>
      </c>
      <c r="R912" s="101">
        <v>0</v>
      </c>
      <c r="S912" s="101">
        <v>0</v>
      </c>
      <c r="T912" s="169">
        <v>1.02</v>
      </c>
      <c r="U912" s="101">
        <f t="shared" si="79"/>
        <v>0</v>
      </c>
      <c r="V912" s="101">
        <f t="shared" si="80"/>
        <v>0</v>
      </c>
      <c r="W912" s="101">
        <f t="shared" si="81"/>
        <v>0</v>
      </c>
      <c r="X912" s="101">
        <f t="shared" si="78"/>
        <v>0</v>
      </c>
      <c r="Y912" s="101">
        <f t="shared" si="82"/>
        <v>0</v>
      </c>
    </row>
    <row r="913" spans="1:25" ht="11.25" hidden="1" customHeight="1" x14ac:dyDescent="0.3">
      <c r="A913" s="126" t="s">
        <v>185</v>
      </c>
      <c r="B913" s="126">
        <v>38</v>
      </c>
      <c r="C913" s="126">
        <v>43</v>
      </c>
      <c r="D913" s="126" t="str">
        <f t="shared" si="72"/>
        <v>3843</v>
      </c>
      <c r="J913" s="101">
        <v>0</v>
      </c>
      <c r="K913" s="101">
        <v>0</v>
      </c>
      <c r="L913" s="101">
        <v>0</v>
      </c>
      <c r="M913" s="101">
        <v>0</v>
      </c>
      <c r="N913" s="101">
        <v>0</v>
      </c>
      <c r="O913" s="101">
        <v>0</v>
      </c>
      <c r="P913" s="101">
        <v>0</v>
      </c>
      <c r="Q913" s="101">
        <v>0</v>
      </c>
      <c r="R913" s="101">
        <v>0</v>
      </c>
      <c r="S913" s="101">
        <v>0</v>
      </c>
      <c r="T913" s="169">
        <v>1.02</v>
      </c>
      <c r="U913" s="101">
        <f t="shared" si="79"/>
        <v>0</v>
      </c>
      <c r="V913" s="101">
        <f t="shared" si="80"/>
        <v>0</v>
      </c>
      <c r="W913" s="101">
        <f t="shared" si="81"/>
        <v>0</v>
      </c>
      <c r="X913" s="101">
        <f t="shared" si="78"/>
        <v>0</v>
      </c>
      <c r="Y913" s="101">
        <f t="shared" si="82"/>
        <v>0</v>
      </c>
    </row>
    <row r="914" spans="1:25" ht="11.25" hidden="1" customHeight="1" x14ac:dyDescent="0.3">
      <c r="A914" s="126" t="s">
        <v>185</v>
      </c>
      <c r="B914" s="126">
        <v>38</v>
      </c>
      <c r="C914" s="126">
        <v>44</v>
      </c>
      <c r="D914" s="126" t="str">
        <f t="shared" si="72"/>
        <v>3844</v>
      </c>
      <c r="J914" s="101">
        <v>0</v>
      </c>
      <c r="K914" s="101">
        <v>0</v>
      </c>
      <c r="L914" s="101">
        <v>0</v>
      </c>
      <c r="M914" s="101">
        <v>0</v>
      </c>
      <c r="N914" s="101">
        <v>0</v>
      </c>
      <c r="O914" s="101">
        <v>0</v>
      </c>
      <c r="P914" s="101">
        <v>0</v>
      </c>
      <c r="Q914" s="101">
        <v>0</v>
      </c>
      <c r="R914" s="101">
        <v>0</v>
      </c>
      <c r="S914" s="101">
        <v>0</v>
      </c>
      <c r="T914" s="169">
        <v>1.02</v>
      </c>
      <c r="U914" s="101">
        <f t="shared" si="79"/>
        <v>0</v>
      </c>
      <c r="V914" s="101">
        <f t="shared" si="80"/>
        <v>0</v>
      </c>
      <c r="W914" s="101">
        <f t="shared" si="81"/>
        <v>0</v>
      </c>
      <c r="X914" s="101">
        <f t="shared" si="78"/>
        <v>0</v>
      </c>
      <c r="Y914" s="101">
        <f t="shared" si="82"/>
        <v>0</v>
      </c>
    </row>
    <row r="915" spans="1:25" ht="11.25" hidden="1" customHeight="1" x14ac:dyDescent="0.3">
      <c r="A915" s="126" t="s">
        <v>185</v>
      </c>
      <c r="B915" s="126">
        <v>38</v>
      </c>
      <c r="C915" s="126">
        <v>45</v>
      </c>
      <c r="D915" s="126" t="str">
        <f t="shared" si="72"/>
        <v>3845</v>
      </c>
      <c r="J915" s="101">
        <v>0</v>
      </c>
      <c r="K915" s="101">
        <v>0</v>
      </c>
      <c r="L915" s="101">
        <v>0</v>
      </c>
      <c r="M915" s="101">
        <v>0</v>
      </c>
      <c r="N915" s="101">
        <v>0</v>
      </c>
      <c r="O915" s="101">
        <v>0</v>
      </c>
      <c r="P915" s="101">
        <v>0</v>
      </c>
      <c r="Q915" s="101">
        <v>0</v>
      </c>
      <c r="R915" s="101">
        <v>0</v>
      </c>
      <c r="S915" s="101">
        <v>0</v>
      </c>
      <c r="T915" s="169">
        <v>1.02</v>
      </c>
      <c r="U915" s="101">
        <f t="shared" si="79"/>
        <v>0</v>
      </c>
      <c r="V915" s="101">
        <f t="shared" si="80"/>
        <v>0</v>
      </c>
      <c r="W915" s="101">
        <f t="shared" si="81"/>
        <v>0</v>
      </c>
      <c r="X915" s="101">
        <f t="shared" si="78"/>
        <v>0</v>
      </c>
      <c r="Y915" s="101">
        <f t="shared" si="82"/>
        <v>0</v>
      </c>
    </row>
    <row r="916" spans="1:25" ht="11.25" hidden="1" customHeight="1" x14ac:dyDescent="0.3">
      <c r="A916" s="126" t="s">
        <v>185</v>
      </c>
      <c r="B916" s="126">
        <v>38</v>
      </c>
      <c r="C916" s="126">
        <v>48</v>
      </c>
      <c r="D916" s="126" t="str">
        <f t="shared" si="72"/>
        <v>3848</v>
      </c>
      <c r="J916" s="101">
        <v>0</v>
      </c>
      <c r="K916" s="101">
        <v>0</v>
      </c>
      <c r="L916" s="101">
        <v>0</v>
      </c>
      <c r="M916" s="101">
        <v>0</v>
      </c>
      <c r="N916" s="101">
        <v>0</v>
      </c>
      <c r="O916" s="101">
        <v>0</v>
      </c>
      <c r="P916" s="101">
        <v>0</v>
      </c>
      <c r="Q916" s="101">
        <v>0</v>
      </c>
      <c r="R916" s="101">
        <v>0</v>
      </c>
      <c r="S916" s="101">
        <v>0</v>
      </c>
      <c r="T916" s="169">
        <v>1.02</v>
      </c>
      <c r="U916" s="101">
        <f t="shared" si="79"/>
        <v>0</v>
      </c>
      <c r="V916" s="101">
        <f t="shared" si="80"/>
        <v>0</v>
      </c>
      <c r="W916" s="101">
        <f t="shared" si="81"/>
        <v>0</v>
      </c>
      <c r="X916" s="101">
        <f t="shared" si="78"/>
        <v>0</v>
      </c>
      <c r="Y916" s="101">
        <f t="shared" si="82"/>
        <v>0</v>
      </c>
    </row>
    <row r="917" spans="1:25" ht="11.25" hidden="1" customHeight="1" x14ac:dyDescent="0.3">
      <c r="A917" s="126" t="s">
        <v>185</v>
      </c>
      <c r="B917" s="126">
        <v>38</v>
      </c>
      <c r="C917" s="126">
        <v>91</v>
      </c>
      <c r="D917" s="126" t="str">
        <f t="shared" si="72"/>
        <v>3891</v>
      </c>
      <c r="J917" s="101">
        <v>48</v>
      </c>
      <c r="K917" s="101">
        <v>126</v>
      </c>
      <c r="L917" s="101">
        <v>584</v>
      </c>
      <c r="M917" s="101">
        <v>2733.51</v>
      </c>
      <c r="N917" s="101">
        <v>1370.087</v>
      </c>
      <c r="O917" s="101">
        <v>70</v>
      </c>
      <c r="P917" s="101">
        <v>99</v>
      </c>
      <c r="Q917" s="101">
        <v>799</v>
      </c>
      <c r="R917" s="101">
        <v>2954.93</v>
      </c>
      <c r="S917" s="101">
        <v>2025.8430000000001</v>
      </c>
      <c r="T917" s="169">
        <v>1.02</v>
      </c>
      <c r="U917" s="101">
        <f t="shared" si="79"/>
        <v>71.400000000000006</v>
      </c>
      <c r="V917" s="101">
        <f t="shared" si="80"/>
        <v>100.98</v>
      </c>
      <c r="W917" s="101">
        <f t="shared" si="81"/>
        <v>814.98</v>
      </c>
      <c r="X917" s="101">
        <f t="shared" si="78"/>
        <v>3014.0286000000001</v>
      </c>
      <c r="Y917" s="101">
        <f t="shared" si="82"/>
        <v>2066.35986</v>
      </c>
    </row>
    <row r="918" spans="1:25" ht="11.25" hidden="1" customHeight="1" x14ac:dyDescent="0.3">
      <c r="A918" s="126" t="s">
        <v>185</v>
      </c>
      <c r="B918" s="126">
        <v>38</v>
      </c>
      <c r="C918" s="126">
        <v>27</v>
      </c>
      <c r="D918" s="126" t="str">
        <f t="shared" si="72"/>
        <v>3827</v>
      </c>
      <c r="E918" s="101">
        <v>86</v>
      </c>
      <c r="F918" s="101">
        <v>1428</v>
      </c>
      <c r="G918" s="101">
        <v>6859</v>
      </c>
      <c r="H918" s="101">
        <v>81927.38</v>
      </c>
      <c r="I918" s="101">
        <v>30852.273000000001</v>
      </c>
      <c r="J918" s="101">
        <v>146</v>
      </c>
      <c r="K918" s="101">
        <v>5201</v>
      </c>
      <c r="L918" s="101">
        <v>16765</v>
      </c>
      <c r="M918" s="101">
        <v>195265.78</v>
      </c>
      <c r="N918" s="101">
        <v>60181.642999999996</v>
      </c>
      <c r="O918" s="101">
        <v>80</v>
      </c>
      <c r="P918" s="101">
        <v>2160</v>
      </c>
      <c r="Q918" s="101">
        <v>10329</v>
      </c>
      <c r="R918" s="101">
        <v>109977.98</v>
      </c>
      <c r="S918" s="101">
        <v>48961.256999999998</v>
      </c>
      <c r="T918" s="169">
        <v>1.02</v>
      </c>
      <c r="U918" s="101">
        <f t="shared" si="79"/>
        <v>81.599999999999994</v>
      </c>
      <c r="V918" s="101">
        <f t="shared" si="80"/>
        <v>2203.1999999999998</v>
      </c>
      <c r="W918" s="101">
        <f t="shared" si="81"/>
        <v>10535.58</v>
      </c>
      <c r="X918" s="101">
        <f t="shared" si="78"/>
        <v>112177.5396</v>
      </c>
      <c r="Y918" s="101">
        <f t="shared" si="82"/>
        <v>49940.48214</v>
      </c>
    </row>
    <row r="919" spans="1:25" ht="11.25" customHeight="1" x14ac:dyDescent="0.3">
      <c r="A919" s="126" t="s">
        <v>185</v>
      </c>
      <c r="B919" s="126">
        <v>38</v>
      </c>
      <c r="C919" s="126" t="s">
        <v>172</v>
      </c>
      <c r="D919" s="126" t="str">
        <f t="shared" si="72"/>
        <v>38Uml</v>
      </c>
      <c r="J919" s="101">
        <v>229</v>
      </c>
      <c r="K919" s="101">
        <v>230</v>
      </c>
      <c r="L919" s="101">
        <v>105764</v>
      </c>
      <c r="N919" s="101">
        <v>288511</v>
      </c>
      <c r="O919" s="101">
        <v>412</v>
      </c>
      <c r="P919" s="101">
        <v>416</v>
      </c>
      <c r="Q919" s="101">
        <v>89402</v>
      </c>
      <c r="S919" s="101">
        <v>363881</v>
      </c>
      <c r="T919" s="169">
        <v>1.02</v>
      </c>
      <c r="U919" s="101">
        <f t="shared" si="79"/>
        <v>420.24</v>
      </c>
      <c r="V919" s="101">
        <f t="shared" si="80"/>
        <v>424.32</v>
      </c>
      <c r="W919" s="101">
        <f t="shared" si="81"/>
        <v>91190.040000000008</v>
      </c>
      <c r="X919" s="101">
        <f t="shared" si="78"/>
        <v>0</v>
      </c>
      <c r="Y919" s="101">
        <f t="shared" si="82"/>
        <v>371158.62</v>
      </c>
    </row>
    <row r="920" spans="1:25" ht="11.25" hidden="1" customHeight="1" x14ac:dyDescent="0.3">
      <c r="A920" s="126" t="s">
        <v>185</v>
      </c>
      <c r="B920" s="126">
        <v>38</v>
      </c>
      <c r="C920" s="126">
        <v>37</v>
      </c>
      <c r="D920" s="126" t="str">
        <f t="shared" si="72"/>
        <v>3837</v>
      </c>
      <c r="E920" s="101">
        <v>5</v>
      </c>
      <c r="F920" s="101">
        <v>20.75</v>
      </c>
      <c r="G920" s="101">
        <v>313.75</v>
      </c>
      <c r="H920" s="101">
        <v>2318.1025</v>
      </c>
      <c r="I920" s="101">
        <v>1230.498</v>
      </c>
      <c r="J920" s="101">
        <v>24</v>
      </c>
      <c r="K920" s="101">
        <v>84</v>
      </c>
      <c r="L920" s="101">
        <v>3449</v>
      </c>
      <c r="M920" s="101">
        <v>26596.58</v>
      </c>
      <c r="N920" s="101">
        <v>18089.262999999999</v>
      </c>
      <c r="O920" s="101">
        <v>46</v>
      </c>
      <c r="P920" s="101">
        <v>143</v>
      </c>
      <c r="Q920" s="101">
        <v>2919</v>
      </c>
      <c r="R920" s="101">
        <v>12278.15</v>
      </c>
      <c r="S920" s="101">
        <v>6284.8689999999997</v>
      </c>
      <c r="T920" s="169">
        <v>1.02</v>
      </c>
      <c r="U920" s="101">
        <f t="shared" si="79"/>
        <v>46.92</v>
      </c>
      <c r="V920" s="101">
        <f t="shared" si="80"/>
        <v>145.86000000000001</v>
      </c>
      <c r="W920" s="101">
        <f t="shared" si="81"/>
        <v>2977.38</v>
      </c>
      <c r="X920" s="101">
        <f t="shared" si="78"/>
        <v>12523.713</v>
      </c>
      <c r="Y920" s="101">
        <f t="shared" si="82"/>
        <v>6410.5663800000002</v>
      </c>
    </row>
    <row r="921" spans="1:25" ht="11.25" hidden="1" customHeight="1" x14ac:dyDescent="0.3">
      <c r="A921" s="126" t="s">
        <v>185</v>
      </c>
      <c r="B921" s="126">
        <v>39</v>
      </c>
      <c r="C921" s="126">
        <v>12</v>
      </c>
      <c r="D921" s="126" t="str">
        <f t="shared" si="72"/>
        <v>3912</v>
      </c>
      <c r="E921" s="101">
        <v>26</v>
      </c>
      <c r="F921" s="101">
        <v>36</v>
      </c>
      <c r="G921" s="101">
        <v>58</v>
      </c>
      <c r="H921" s="101">
        <v>1222.5999999999999</v>
      </c>
      <c r="I921" s="101">
        <v>265.27999999999997</v>
      </c>
      <c r="J921" s="101">
        <v>23</v>
      </c>
      <c r="K921" s="101">
        <v>33</v>
      </c>
      <c r="L921" s="101">
        <v>41</v>
      </c>
      <c r="M921" s="101">
        <v>1014.68</v>
      </c>
      <c r="N921" s="101">
        <v>227.27100000000002</v>
      </c>
      <c r="O921" s="101">
        <v>11</v>
      </c>
      <c r="P921" s="101">
        <v>13</v>
      </c>
      <c r="Q921" s="101">
        <v>20</v>
      </c>
      <c r="R921" s="101">
        <v>407.28</v>
      </c>
      <c r="S921" s="101">
        <v>61.927999999999997</v>
      </c>
      <c r="T921" s="169">
        <v>1.02</v>
      </c>
      <c r="U921" s="101">
        <f t="shared" si="79"/>
        <v>11.22</v>
      </c>
      <c r="V921" s="101">
        <f t="shared" si="80"/>
        <v>13.26</v>
      </c>
      <c r="W921" s="101">
        <f t="shared" si="81"/>
        <v>20.399999999999999</v>
      </c>
      <c r="X921" s="101">
        <f t="shared" si="78"/>
        <v>415.42559999999997</v>
      </c>
      <c r="Y921" s="101">
        <f t="shared" si="82"/>
        <v>63.166559999999997</v>
      </c>
    </row>
    <row r="922" spans="1:25" ht="11.25" hidden="1" customHeight="1" x14ac:dyDescent="0.3">
      <c r="A922" s="126" t="s">
        <v>185</v>
      </c>
      <c r="B922" s="126">
        <v>39</v>
      </c>
      <c r="C922" s="126">
        <v>14</v>
      </c>
      <c r="D922" s="126" t="str">
        <f t="shared" si="72"/>
        <v>3914</v>
      </c>
      <c r="E922" s="101">
        <v>7</v>
      </c>
      <c r="F922" s="101">
        <v>11</v>
      </c>
      <c r="G922" s="101">
        <v>18</v>
      </c>
      <c r="H922" s="101">
        <v>3095.85</v>
      </c>
      <c r="I922" s="101">
        <v>821.28700000000003</v>
      </c>
      <c r="J922" s="101">
        <v>30</v>
      </c>
      <c r="K922" s="101">
        <v>51</v>
      </c>
      <c r="L922" s="101">
        <v>82</v>
      </c>
      <c r="M922" s="101">
        <v>5269.98</v>
      </c>
      <c r="N922" s="101">
        <v>949.83300000000008</v>
      </c>
      <c r="O922" s="101">
        <v>40</v>
      </c>
      <c r="P922" s="101">
        <v>67</v>
      </c>
      <c r="Q922" s="101">
        <v>132</v>
      </c>
      <c r="R922" s="101">
        <v>5812.79</v>
      </c>
      <c r="S922" s="101">
        <v>1038.605</v>
      </c>
      <c r="T922" s="169">
        <v>1.02</v>
      </c>
      <c r="U922" s="101">
        <f t="shared" si="79"/>
        <v>40.799999999999997</v>
      </c>
      <c r="V922" s="101">
        <f t="shared" si="80"/>
        <v>68.34</v>
      </c>
      <c r="W922" s="101">
        <f t="shared" si="81"/>
        <v>134.64000000000001</v>
      </c>
      <c r="X922" s="101">
        <f t="shared" si="78"/>
        <v>5929.0457999999999</v>
      </c>
      <c r="Y922" s="101">
        <f t="shared" si="82"/>
        <v>1059.3770999999999</v>
      </c>
    </row>
    <row r="923" spans="1:25" ht="11.25" hidden="1" customHeight="1" x14ac:dyDescent="0.3">
      <c r="A923" s="126" t="s">
        <v>185</v>
      </c>
      <c r="B923" s="126">
        <v>39</v>
      </c>
      <c r="C923" s="126">
        <v>17</v>
      </c>
      <c r="D923" s="126" t="str">
        <f t="shared" si="72"/>
        <v>3917</v>
      </c>
      <c r="E923" s="101">
        <v>2456</v>
      </c>
      <c r="F923" s="101">
        <v>3374</v>
      </c>
      <c r="G923" s="101">
        <v>4479</v>
      </c>
      <c r="H923" s="101">
        <v>168182.15</v>
      </c>
      <c r="I923" s="101">
        <v>38005.865000000005</v>
      </c>
      <c r="J923" s="101">
        <v>1019</v>
      </c>
      <c r="K923" s="101">
        <v>3235</v>
      </c>
      <c r="L923" s="101">
        <v>4111</v>
      </c>
      <c r="M923" s="101">
        <v>75900</v>
      </c>
      <c r="N923" s="101">
        <v>11710.315999999999</v>
      </c>
      <c r="O923" s="101">
        <v>931</v>
      </c>
      <c r="P923" s="101">
        <v>1712</v>
      </c>
      <c r="Q923" s="101">
        <v>2559</v>
      </c>
      <c r="R923" s="101">
        <v>72720.86</v>
      </c>
      <c r="S923" s="101">
        <v>13474</v>
      </c>
      <c r="T923" s="169">
        <v>1.02</v>
      </c>
      <c r="U923" s="101">
        <v>4579</v>
      </c>
      <c r="V923" s="101">
        <v>10080</v>
      </c>
      <c r="W923" s="101">
        <v>13784</v>
      </c>
      <c r="X923" s="101">
        <f t="shared" si="78"/>
        <v>74175.277199999997</v>
      </c>
      <c r="Y923" s="101">
        <v>45000</v>
      </c>
    </row>
    <row r="924" spans="1:25" ht="11.25" hidden="1" customHeight="1" x14ac:dyDescent="0.3">
      <c r="A924" s="126" t="s">
        <v>185</v>
      </c>
      <c r="B924" s="126">
        <v>39</v>
      </c>
      <c r="C924" s="126">
        <v>18</v>
      </c>
      <c r="D924" s="126" t="str">
        <f t="shared" si="72"/>
        <v>3918</v>
      </c>
      <c r="E924" s="101">
        <v>311</v>
      </c>
      <c r="F924" s="101">
        <v>396</v>
      </c>
      <c r="G924" s="101">
        <v>566</v>
      </c>
      <c r="H924" s="101">
        <v>22972.859999999997</v>
      </c>
      <c r="I924" s="101">
        <v>3860.2050000000004</v>
      </c>
      <c r="J924" s="101">
        <v>2546</v>
      </c>
      <c r="K924" s="101">
        <v>2899</v>
      </c>
      <c r="L924" s="101">
        <v>3302</v>
      </c>
      <c r="M924" s="101">
        <v>141250.63</v>
      </c>
      <c r="N924" s="101">
        <v>34990.142</v>
      </c>
      <c r="O924" s="101">
        <v>2220</v>
      </c>
      <c r="P924" s="101">
        <v>2834</v>
      </c>
      <c r="Q924" s="101">
        <v>3287</v>
      </c>
      <c r="R924" s="101">
        <v>119558.33</v>
      </c>
      <c r="S924" s="101">
        <v>29872.325000000001</v>
      </c>
      <c r="T924" s="169">
        <v>0.65</v>
      </c>
      <c r="U924" s="101">
        <f t="shared" si="79"/>
        <v>1443</v>
      </c>
      <c r="V924" s="101">
        <f t="shared" si="80"/>
        <v>1842.1000000000001</v>
      </c>
      <c r="W924" s="101">
        <f t="shared" si="81"/>
        <v>2136.5500000000002</v>
      </c>
      <c r="X924" s="101">
        <f t="shared" si="78"/>
        <v>77712.914499999999</v>
      </c>
      <c r="Y924" s="101">
        <f t="shared" si="82"/>
        <v>19417.01125</v>
      </c>
    </row>
    <row r="925" spans="1:25" ht="11.25" hidden="1" customHeight="1" x14ac:dyDescent="0.3">
      <c r="A925" s="126" t="s">
        <v>185</v>
      </c>
      <c r="B925" s="126">
        <v>39</v>
      </c>
      <c r="C925" s="126">
        <v>28</v>
      </c>
      <c r="D925" s="126" t="str">
        <f t="shared" si="72"/>
        <v>3928</v>
      </c>
      <c r="E925" s="101">
        <v>327</v>
      </c>
      <c r="F925" s="101">
        <v>3489</v>
      </c>
      <c r="G925" s="101">
        <v>47143</v>
      </c>
      <c r="H925" s="101">
        <v>748926.70000000007</v>
      </c>
      <c r="I925" s="101">
        <v>359905.73499999999</v>
      </c>
      <c r="J925" s="101">
        <v>272</v>
      </c>
      <c r="K925" s="101">
        <v>5172</v>
      </c>
      <c r="L925" s="101">
        <v>71004</v>
      </c>
      <c r="M925" s="101">
        <v>644996.43999999983</v>
      </c>
      <c r="N925" s="101">
        <v>283708.51599999995</v>
      </c>
      <c r="O925" s="101">
        <v>281</v>
      </c>
      <c r="P925" s="101">
        <v>5331</v>
      </c>
      <c r="Q925" s="101">
        <v>28092</v>
      </c>
      <c r="R925" s="101">
        <v>662482.46</v>
      </c>
      <c r="S925" s="101">
        <v>180845.64300000001</v>
      </c>
      <c r="T925" s="169">
        <v>1.02</v>
      </c>
      <c r="U925" s="101">
        <v>125</v>
      </c>
      <c r="V925" s="101">
        <v>455</v>
      </c>
      <c r="W925" s="101">
        <v>1911</v>
      </c>
      <c r="X925" s="144">
        <f t="shared" si="78"/>
        <v>675732.10919999995</v>
      </c>
      <c r="Y925" s="101">
        <v>25317</v>
      </c>
    </row>
    <row r="926" spans="1:25" ht="11.25" hidden="1" customHeight="1" x14ac:dyDescent="0.3">
      <c r="A926" s="126" t="s">
        <v>185</v>
      </c>
      <c r="B926" s="126">
        <v>39</v>
      </c>
      <c r="C926" s="126">
        <v>46</v>
      </c>
      <c r="D926" s="126" t="str">
        <f t="shared" si="72"/>
        <v>3946</v>
      </c>
      <c r="E926" s="101">
        <v>411</v>
      </c>
      <c r="F926" s="101">
        <v>1043</v>
      </c>
      <c r="G926" s="101">
        <v>20732</v>
      </c>
      <c r="H926" s="101">
        <v>258006.37</v>
      </c>
      <c r="I926" s="101">
        <v>79226.919000000009</v>
      </c>
      <c r="J926" s="101">
        <v>206</v>
      </c>
      <c r="K926" s="101">
        <v>493</v>
      </c>
      <c r="L926" s="101">
        <v>21981</v>
      </c>
      <c r="M926" s="101">
        <v>374612.6100000001</v>
      </c>
      <c r="N926" s="101">
        <v>156796.62300000002</v>
      </c>
      <c r="O926" s="101">
        <v>287</v>
      </c>
      <c r="P926" s="101">
        <v>590</v>
      </c>
      <c r="Q926" s="101">
        <v>30109</v>
      </c>
      <c r="R926" s="101">
        <v>410028.76</v>
      </c>
      <c r="S926" s="101">
        <v>172099.495</v>
      </c>
      <c r="T926" s="169">
        <v>1.02</v>
      </c>
      <c r="U926" s="101">
        <f t="shared" si="79"/>
        <v>292.74</v>
      </c>
      <c r="V926" s="101">
        <f t="shared" si="80"/>
        <v>601.79999999999995</v>
      </c>
      <c r="W926" s="101">
        <f t="shared" si="81"/>
        <v>30711.18</v>
      </c>
      <c r="X926" s="101">
        <f t="shared" si="78"/>
        <v>418229.33520000003</v>
      </c>
      <c r="Y926" s="101">
        <f t="shared" si="82"/>
        <v>175541.48490000001</v>
      </c>
    </row>
    <row r="927" spans="1:25" ht="11.25" hidden="1" customHeight="1" x14ac:dyDescent="0.3">
      <c r="A927" s="126" t="s">
        <v>185</v>
      </c>
      <c r="B927" s="126">
        <v>39</v>
      </c>
      <c r="C927" s="126">
        <v>66</v>
      </c>
      <c r="D927" s="126" t="str">
        <f t="shared" si="72"/>
        <v>3966</v>
      </c>
      <c r="E927" s="101">
        <v>303</v>
      </c>
      <c r="F927" s="101">
        <v>840</v>
      </c>
      <c r="G927" s="101">
        <v>10510</v>
      </c>
      <c r="H927" s="101">
        <v>117050.51000000001</v>
      </c>
      <c r="I927" s="101">
        <v>53258.907999999996</v>
      </c>
      <c r="J927" s="101">
        <v>160</v>
      </c>
      <c r="K927" s="101">
        <v>1374</v>
      </c>
      <c r="L927" s="101">
        <v>21748</v>
      </c>
      <c r="M927" s="101">
        <v>158753.18</v>
      </c>
      <c r="N927" s="101">
        <v>89386.964000000007</v>
      </c>
      <c r="O927" s="101">
        <v>192</v>
      </c>
      <c r="P927" s="101">
        <v>1118</v>
      </c>
      <c r="Q927" s="101">
        <v>23000</v>
      </c>
      <c r="R927" s="101">
        <v>106048.21</v>
      </c>
      <c r="S927" s="101">
        <v>47689.42</v>
      </c>
      <c r="T927" s="169">
        <v>1.02</v>
      </c>
      <c r="U927" s="101">
        <f t="shared" si="79"/>
        <v>195.84</v>
      </c>
      <c r="V927" s="101">
        <f t="shared" si="80"/>
        <v>1140.3600000000001</v>
      </c>
      <c r="W927" s="101">
        <f t="shared" si="81"/>
        <v>23460</v>
      </c>
      <c r="X927" s="101">
        <f t="shared" si="78"/>
        <v>108169.17420000001</v>
      </c>
      <c r="Y927" s="101">
        <f t="shared" si="82"/>
        <v>48643.208399999996</v>
      </c>
    </row>
    <row r="928" spans="1:25" ht="11.25" hidden="1" customHeight="1" x14ac:dyDescent="0.3">
      <c r="A928" s="126" t="s">
        <v>185</v>
      </c>
      <c r="B928" s="126">
        <v>39</v>
      </c>
      <c r="C928" s="126">
        <v>30</v>
      </c>
      <c r="D928" s="126" t="str">
        <f t="shared" si="72"/>
        <v>3930</v>
      </c>
      <c r="E928" s="101">
        <v>385.5</v>
      </c>
      <c r="F928" s="101">
        <v>3066</v>
      </c>
      <c r="G928" s="101">
        <v>15367.5</v>
      </c>
      <c r="H928" s="101">
        <v>287183.92000000004</v>
      </c>
      <c r="I928" s="101">
        <v>88234.183000000005</v>
      </c>
      <c r="J928" s="101">
        <v>0</v>
      </c>
      <c r="K928" s="101">
        <v>0</v>
      </c>
      <c r="L928" s="101">
        <v>0</v>
      </c>
      <c r="M928" s="101">
        <v>0</v>
      </c>
      <c r="N928" s="101">
        <v>0</v>
      </c>
      <c r="O928" s="101">
        <v>126</v>
      </c>
      <c r="P928" s="101">
        <v>139</v>
      </c>
      <c r="Q928" s="101">
        <v>2420</v>
      </c>
      <c r="R928" s="101">
        <v>277804.58</v>
      </c>
      <c r="S928" s="101">
        <v>132901.96</v>
      </c>
      <c r="T928" s="169">
        <v>1.02</v>
      </c>
      <c r="U928" s="101">
        <f t="shared" si="79"/>
        <v>128.52000000000001</v>
      </c>
      <c r="V928" s="101">
        <f t="shared" si="80"/>
        <v>141.78</v>
      </c>
      <c r="W928" s="101">
        <f t="shared" si="81"/>
        <v>2468.4</v>
      </c>
      <c r="X928" s="101">
        <f t="shared" si="78"/>
        <v>283360.6716</v>
      </c>
      <c r="Y928" s="101">
        <f t="shared" si="82"/>
        <v>135559.99919999999</v>
      </c>
    </row>
    <row r="929" spans="1:25" ht="11.25" hidden="1" customHeight="1" x14ac:dyDescent="0.3">
      <c r="A929" s="126" t="s">
        <v>185</v>
      </c>
      <c r="B929" s="126">
        <v>39</v>
      </c>
      <c r="C929" s="126">
        <v>21</v>
      </c>
      <c r="D929" s="126" t="str">
        <f t="shared" si="72"/>
        <v>3921</v>
      </c>
      <c r="E929" s="101">
        <v>745.5</v>
      </c>
      <c r="F929" s="101">
        <v>4684.5</v>
      </c>
      <c r="G929" s="101">
        <v>25287.5</v>
      </c>
      <c r="H929" s="101">
        <v>415253.58</v>
      </c>
      <c r="I929" s="101">
        <v>99993.62999999999</v>
      </c>
      <c r="J929" s="101">
        <v>2228</v>
      </c>
      <c r="K929" s="101">
        <v>9398</v>
      </c>
      <c r="L929" s="101">
        <v>65443</v>
      </c>
      <c r="M929" s="101">
        <v>893993</v>
      </c>
      <c r="N929" s="101">
        <v>352515.77399999998</v>
      </c>
      <c r="O929" s="101">
        <v>881</v>
      </c>
      <c r="P929" s="101">
        <v>7838</v>
      </c>
      <c r="Q929" s="101">
        <v>70279</v>
      </c>
      <c r="R929" s="101">
        <v>785260.35</v>
      </c>
      <c r="S929" s="101">
        <v>260188.587</v>
      </c>
      <c r="T929" s="169">
        <v>1.02</v>
      </c>
      <c r="U929" s="101"/>
      <c r="V929" s="101"/>
      <c r="W929" s="101"/>
      <c r="X929" s="101"/>
      <c r="Y929" s="101"/>
    </row>
    <row r="930" spans="1:25" ht="11.25" hidden="1" customHeight="1" x14ac:dyDescent="0.3">
      <c r="A930" s="126" t="s">
        <v>185</v>
      </c>
      <c r="B930" s="126">
        <v>39</v>
      </c>
      <c r="C930" s="126">
        <v>71</v>
      </c>
      <c r="D930" s="126" t="str">
        <f t="shared" si="72"/>
        <v>3971</v>
      </c>
      <c r="E930" s="101">
        <v>469</v>
      </c>
      <c r="F930" s="101">
        <v>8230</v>
      </c>
      <c r="G930" s="101">
        <v>15475</v>
      </c>
      <c r="H930" s="101">
        <v>143716.29499999998</v>
      </c>
      <c r="I930" s="101">
        <v>69648.519499999995</v>
      </c>
      <c r="J930" s="101">
        <v>337</v>
      </c>
      <c r="K930" s="101">
        <v>3907</v>
      </c>
      <c r="L930" s="101">
        <v>13420</v>
      </c>
      <c r="M930" s="101">
        <v>111551.5</v>
      </c>
      <c r="N930" s="101">
        <v>59348.921999999991</v>
      </c>
      <c r="O930" s="101">
        <v>238</v>
      </c>
      <c r="P930" s="101">
        <v>5027</v>
      </c>
      <c r="Q930" s="101">
        <v>16251</v>
      </c>
      <c r="R930" s="101">
        <v>110985.81</v>
      </c>
      <c r="S930" s="101">
        <v>59357.881000000001</v>
      </c>
      <c r="T930" s="169">
        <v>0.98</v>
      </c>
      <c r="U930" s="101">
        <v>429</v>
      </c>
      <c r="V930" s="101">
        <v>11457</v>
      </c>
      <c r="W930" s="101">
        <v>36083</v>
      </c>
      <c r="X930" s="101">
        <v>246283</v>
      </c>
      <c r="Y930" s="101">
        <v>134244</v>
      </c>
    </row>
    <row r="931" spans="1:25" ht="11.25" hidden="1" customHeight="1" x14ac:dyDescent="0.3">
      <c r="A931" s="126" t="s">
        <v>185</v>
      </c>
      <c r="B931" s="126">
        <v>39</v>
      </c>
      <c r="C931" s="126">
        <v>25</v>
      </c>
      <c r="D931" s="126" t="str">
        <f t="shared" si="72"/>
        <v>3925</v>
      </c>
      <c r="E931" s="101">
        <v>1310</v>
      </c>
      <c r="F931" s="101">
        <v>8170</v>
      </c>
      <c r="G931" s="101">
        <v>55409</v>
      </c>
      <c r="H931" s="101">
        <v>699473.5</v>
      </c>
      <c r="I931" s="101">
        <v>328211.91599999997</v>
      </c>
      <c r="J931" s="101">
        <v>819</v>
      </c>
      <c r="K931" s="101">
        <v>8253</v>
      </c>
      <c r="L931" s="101">
        <v>51484</v>
      </c>
      <c r="M931" s="101">
        <v>879188.08</v>
      </c>
      <c r="N931" s="101">
        <v>353739.56200000003</v>
      </c>
      <c r="O931" s="101">
        <v>629</v>
      </c>
      <c r="P931" s="101">
        <v>5842</v>
      </c>
      <c r="Q931" s="101">
        <v>32019</v>
      </c>
      <c r="R931" s="101">
        <v>523498.96</v>
      </c>
      <c r="S931" s="101">
        <v>203958.39199999999</v>
      </c>
      <c r="T931" s="169">
        <v>1.02</v>
      </c>
      <c r="U931" s="101">
        <f t="shared" si="79"/>
        <v>641.58000000000004</v>
      </c>
      <c r="V931" s="101">
        <f t="shared" si="80"/>
        <v>5958.84</v>
      </c>
      <c r="W931" s="101">
        <f t="shared" si="81"/>
        <v>32659.38</v>
      </c>
      <c r="X931" s="101">
        <f t="shared" si="78"/>
        <v>533968.93920000002</v>
      </c>
      <c r="Y931" s="101">
        <f t="shared" si="82"/>
        <v>208037.55984</v>
      </c>
    </row>
    <row r="932" spans="1:25" ht="11.25" hidden="1" customHeight="1" x14ac:dyDescent="0.3">
      <c r="A932" s="126" t="s">
        <v>185</v>
      </c>
      <c r="B932" s="126">
        <v>39</v>
      </c>
      <c r="C932" s="126">
        <v>22</v>
      </c>
      <c r="D932" s="126" t="str">
        <f t="shared" si="72"/>
        <v>3922</v>
      </c>
      <c r="J932" s="101">
        <v>19</v>
      </c>
      <c r="K932" s="101">
        <v>30</v>
      </c>
      <c r="L932" s="101">
        <v>2164</v>
      </c>
      <c r="M932" s="101">
        <v>51922.25</v>
      </c>
      <c r="N932" s="101">
        <v>29358.376999999997</v>
      </c>
      <c r="O932" s="101">
        <v>5</v>
      </c>
      <c r="P932" s="101">
        <v>7</v>
      </c>
      <c r="Q932" s="101">
        <v>85</v>
      </c>
      <c r="R932" s="101">
        <v>966.97</v>
      </c>
      <c r="S932" s="101">
        <v>231.33699999999999</v>
      </c>
      <c r="T932" s="169">
        <v>1.02</v>
      </c>
      <c r="U932" s="101">
        <f t="shared" si="79"/>
        <v>5.0999999999999996</v>
      </c>
      <c r="V932" s="101">
        <f t="shared" si="80"/>
        <v>7.1400000000000006</v>
      </c>
      <c r="W932" s="101">
        <f t="shared" si="81"/>
        <v>86.7</v>
      </c>
      <c r="X932" s="101">
        <f t="shared" si="78"/>
        <v>986.3094000000001</v>
      </c>
      <c r="Y932" s="101">
        <f t="shared" si="82"/>
        <v>235.96374</v>
      </c>
    </row>
    <row r="933" spans="1:25" ht="11.25" hidden="1" customHeight="1" x14ac:dyDescent="0.3">
      <c r="A933" s="126" t="s">
        <v>185</v>
      </c>
      <c r="B933" s="126">
        <v>39</v>
      </c>
      <c r="C933" s="126">
        <v>26</v>
      </c>
      <c r="D933" s="126" t="str">
        <f t="shared" si="72"/>
        <v>3926</v>
      </c>
      <c r="J933" s="101">
        <v>8</v>
      </c>
      <c r="K933" s="101">
        <v>10</v>
      </c>
      <c r="L933" s="101">
        <v>773</v>
      </c>
      <c r="M933" s="101">
        <v>3764.6</v>
      </c>
      <c r="N933" s="101">
        <v>2165.2080000000001</v>
      </c>
      <c r="O933" s="101">
        <v>0</v>
      </c>
      <c r="P933" s="101">
        <v>0</v>
      </c>
      <c r="Q933" s="101">
        <v>0</v>
      </c>
      <c r="R933" s="101">
        <v>0</v>
      </c>
      <c r="S933" s="101">
        <v>0</v>
      </c>
      <c r="T933" s="169">
        <v>1.02</v>
      </c>
      <c r="U933" s="101">
        <f t="shared" si="79"/>
        <v>0</v>
      </c>
      <c r="V933" s="101">
        <f t="shared" si="80"/>
        <v>0</v>
      </c>
      <c r="W933" s="101">
        <f t="shared" si="81"/>
        <v>0</v>
      </c>
      <c r="X933" s="101">
        <f t="shared" si="78"/>
        <v>0</v>
      </c>
      <c r="Y933" s="101">
        <f t="shared" si="82"/>
        <v>0</v>
      </c>
    </row>
    <row r="934" spans="1:25" ht="11.25" hidden="1" customHeight="1" x14ac:dyDescent="0.3">
      <c r="A934" s="126" t="s">
        <v>185</v>
      </c>
      <c r="B934" s="126">
        <v>39</v>
      </c>
      <c r="C934" s="126">
        <v>32</v>
      </c>
      <c r="D934" s="126" t="str">
        <f t="shared" si="72"/>
        <v>3932</v>
      </c>
      <c r="J934" s="101">
        <v>19</v>
      </c>
      <c r="K934" s="101">
        <v>39</v>
      </c>
      <c r="L934" s="101">
        <v>1132</v>
      </c>
      <c r="M934" s="101">
        <v>51003.71</v>
      </c>
      <c r="N934" s="101">
        <v>15652.446</v>
      </c>
      <c r="O934" s="101">
        <v>21</v>
      </c>
      <c r="P934" s="101">
        <v>71</v>
      </c>
      <c r="Q934" s="101">
        <v>637</v>
      </c>
      <c r="R934" s="101">
        <v>13744.12</v>
      </c>
      <c r="S934" s="101">
        <v>3816.6170000000002</v>
      </c>
      <c r="T934" s="169">
        <v>1.02</v>
      </c>
      <c r="U934" s="101">
        <f t="shared" si="79"/>
        <v>21.42</v>
      </c>
      <c r="V934" s="101">
        <f t="shared" si="80"/>
        <v>72.42</v>
      </c>
      <c r="W934" s="101">
        <f t="shared" si="81"/>
        <v>649.74</v>
      </c>
      <c r="X934" s="101">
        <f t="shared" si="78"/>
        <v>14019.002400000001</v>
      </c>
      <c r="Y934" s="101">
        <f t="shared" si="82"/>
        <v>3892.9493400000001</v>
      </c>
    </row>
    <row r="935" spans="1:25" ht="11.25" hidden="1" customHeight="1" x14ac:dyDescent="0.3">
      <c r="A935" s="126" t="s">
        <v>185</v>
      </c>
      <c r="B935" s="126">
        <v>39</v>
      </c>
      <c r="C935" s="126">
        <v>43</v>
      </c>
      <c r="D935" s="126" t="str">
        <f t="shared" si="72"/>
        <v>3943</v>
      </c>
      <c r="J935" s="101">
        <v>0</v>
      </c>
      <c r="K935" s="101">
        <v>0</v>
      </c>
      <c r="L935" s="101">
        <v>0</v>
      </c>
      <c r="M935" s="101">
        <v>0</v>
      </c>
      <c r="N935" s="101">
        <v>0</v>
      </c>
      <c r="O935" s="101">
        <v>0</v>
      </c>
      <c r="P935" s="101">
        <v>0</v>
      </c>
      <c r="Q935" s="101">
        <v>0</v>
      </c>
      <c r="R935" s="101">
        <v>0</v>
      </c>
      <c r="S935" s="101">
        <v>0</v>
      </c>
      <c r="T935" s="169">
        <v>1.02</v>
      </c>
      <c r="U935" s="101">
        <f t="shared" si="79"/>
        <v>0</v>
      </c>
      <c r="V935" s="101">
        <f t="shared" si="80"/>
        <v>0</v>
      </c>
      <c r="W935" s="101">
        <f t="shared" si="81"/>
        <v>0</v>
      </c>
      <c r="X935" s="101">
        <f t="shared" si="78"/>
        <v>0</v>
      </c>
      <c r="Y935" s="101">
        <f t="shared" si="82"/>
        <v>0</v>
      </c>
    </row>
    <row r="936" spans="1:25" ht="11.25" hidden="1" customHeight="1" x14ac:dyDescent="0.3">
      <c r="A936" s="126" t="s">
        <v>185</v>
      </c>
      <c r="B936" s="126">
        <v>39</v>
      </c>
      <c r="C936" s="126">
        <v>44</v>
      </c>
      <c r="D936" s="126" t="str">
        <f t="shared" si="72"/>
        <v>3944</v>
      </c>
      <c r="J936" s="101">
        <v>0</v>
      </c>
      <c r="K936" s="101">
        <v>0</v>
      </c>
      <c r="L936" s="101">
        <v>0</v>
      </c>
      <c r="M936" s="101">
        <v>0</v>
      </c>
      <c r="N936" s="101">
        <v>0</v>
      </c>
      <c r="O936" s="101">
        <v>0</v>
      </c>
      <c r="P936" s="101">
        <v>0</v>
      </c>
      <c r="Q936" s="101">
        <v>0</v>
      </c>
      <c r="R936" s="101">
        <v>0</v>
      </c>
      <c r="S936" s="101">
        <v>0</v>
      </c>
      <c r="T936" s="169">
        <v>1.02</v>
      </c>
      <c r="U936" s="101">
        <f t="shared" si="79"/>
        <v>0</v>
      </c>
      <c r="V936" s="101">
        <f t="shared" si="80"/>
        <v>0</v>
      </c>
      <c r="W936" s="101">
        <f t="shared" si="81"/>
        <v>0</v>
      </c>
      <c r="X936" s="101">
        <f t="shared" si="78"/>
        <v>0</v>
      </c>
      <c r="Y936" s="101">
        <f t="shared" si="82"/>
        <v>0</v>
      </c>
    </row>
    <row r="937" spans="1:25" ht="11.25" hidden="1" customHeight="1" x14ac:dyDescent="0.3">
      <c r="A937" s="126" t="s">
        <v>185</v>
      </c>
      <c r="B937" s="126">
        <v>39</v>
      </c>
      <c r="C937" s="126">
        <v>45</v>
      </c>
      <c r="D937" s="126" t="str">
        <f t="shared" si="72"/>
        <v>3945</v>
      </c>
      <c r="J937" s="101">
        <v>0</v>
      </c>
      <c r="K937" s="101">
        <v>0</v>
      </c>
      <c r="L937" s="101">
        <v>0</v>
      </c>
      <c r="M937" s="101">
        <v>0</v>
      </c>
      <c r="N937" s="101">
        <v>0</v>
      </c>
      <c r="O937" s="101">
        <v>0</v>
      </c>
      <c r="P937" s="101">
        <v>0</v>
      </c>
      <c r="Q937" s="101">
        <v>0</v>
      </c>
      <c r="R937" s="101">
        <v>0</v>
      </c>
      <c r="S937" s="101">
        <v>0</v>
      </c>
      <c r="T937" s="169">
        <v>1.02</v>
      </c>
      <c r="U937" s="101">
        <f t="shared" si="79"/>
        <v>0</v>
      </c>
      <c r="V937" s="101">
        <f t="shared" si="80"/>
        <v>0</v>
      </c>
      <c r="W937" s="101">
        <f t="shared" si="81"/>
        <v>0</v>
      </c>
      <c r="X937" s="101">
        <f t="shared" si="78"/>
        <v>0</v>
      </c>
      <c r="Y937" s="101">
        <f t="shared" si="82"/>
        <v>0</v>
      </c>
    </row>
    <row r="938" spans="1:25" ht="11.25" hidden="1" customHeight="1" x14ac:dyDescent="0.3">
      <c r="A938" s="126" t="s">
        <v>185</v>
      </c>
      <c r="B938" s="126">
        <v>39</v>
      </c>
      <c r="C938" s="126">
        <v>47</v>
      </c>
      <c r="D938" s="126" t="str">
        <f t="shared" si="72"/>
        <v>3947</v>
      </c>
      <c r="J938" s="101">
        <v>1</v>
      </c>
      <c r="K938" s="101">
        <v>1</v>
      </c>
      <c r="L938" s="101">
        <v>400</v>
      </c>
      <c r="M938" s="101">
        <v>11400</v>
      </c>
      <c r="N938" s="101">
        <v>4048</v>
      </c>
      <c r="O938" s="101">
        <v>5</v>
      </c>
      <c r="P938" s="101">
        <v>15</v>
      </c>
      <c r="Q938" s="101">
        <v>1294</v>
      </c>
      <c r="R938" s="101">
        <v>29574.32</v>
      </c>
      <c r="S938" s="101">
        <v>3399.6460000000002</v>
      </c>
      <c r="T938" s="169">
        <v>1.02</v>
      </c>
      <c r="U938" s="101">
        <f t="shared" si="79"/>
        <v>5.0999999999999996</v>
      </c>
      <c r="V938" s="101">
        <f t="shared" si="80"/>
        <v>15.3</v>
      </c>
      <c r="W938" s="101">
        <f t="shared" si="81"/>
        <v>1319.88</v>
      </c>
      <c r="X938" s="101">
        <f t="shared" si="78"/>
        <v>30165.806400000001</v>
      </c>
      <c r="Y938" s="101">
        <f t="shared" si="82"/>
        <v>3467.6389200000003</v>
      </c>
    </row>
    <row r="939" spans="1:25" ht="11.25" hidden="1" customHeight="1" x14ac:dyDescent="0.3">
      <c r="A939" s="126" t="s">
        <v>185</v>
      </c>
      <c r="B939" s="126">
        <v>39</v>
      </c>
      <c r="C939" s="126">
        <v>91</v>
      </c>
      <c r="D939" s="126" t="str">
        <f t="shared" si="72"/>
        <v>3991</v>
      </c>
      <c r="J939" s="101">
        <v>82</v>
      </c>
      <c r="K939" s="101">
        <v>255</v>
      </c>
      <c r="L939" s="101">
        <v>2652</v>
      </c>
      <c r="M939" s="101">
        <v>24867.010000000002</v>
      </c>
      <c r="N939" s="101">
        <v>10074.659</v>
      </c>
      <c r="O939" s="101">
        <v>53</v>
      </c>
      <c r="P939" s="101">
        <v>146</v>
      </c>
      <c r="Q939" s="101">
        <v>960</v>
      </c>
      <c r="R939" s="101">
        <v>8524.6200000000008</v>
      </c>
      <c r="S939" s="101">
        <v>3919.732</v>
      </c>
      <c r="T939" s="169">
        <v>1.02</v>
      </c>
      <c r="U939" s="101">
        <f t="shared" si="79"/>
        <v>54.06</v>
      </c>
      <c r="V939" s="101">
        <f t="shared" si="80"/>
        <v>148.92000000000002</v>
      </c>
      <c r="W939" s="101">
        <f t="shared" si="81"/>
        <v>979.2</v>
      </c>
      <c r="X939" s="101">
        <f t="shared" si="78"/>
        <v>8695.1124000000018</v>
      </c>
      <c r="Y939" s="101">
        <f t="shared" si="82"/>
        <v>3998.12664</v>
      </c>
    </row>
    <row r="940" spans="1:25" ht="11.25" hidden="1" customHeight="1" x14ac:dyDescent="0.3">
      <c r="A940" s="126" t="s">
        <v>185</v>
      </c>
      <c r="B940" s="126">
        <v>39</v>
      </c>
      <c r="C940" s="126">
        <v>48</v>
      </c>
      <c r="D940" s="126" t="str">
        <f t="shared" si="72"/>
        <v>3948</v>
      </c>
      <c r="J940" s="101">
        <v>0</v>
      </c>
      <c r="K940" s="101">
        <v>0</v>
      </c>
      <c r="L940" s="101">
        <v>0</v>
      </c>
      <c r="M940" s="101">
        <v>0</v>
      </c>
      <c r="N940" s="101">
        <v>0</v>
      </c>
      <c r="O940" s="101">
        <v>0</v>
      </c>
      <c r="P940" s="101">
        <v>0</v>
      </c>
      <c r="Q940" s="101">
        <v>0</v>
      </c>
      <c r="R940" s="101">
        <v>0</v>
      </c>
      <c r="S940" s="101">
        <v>0</v>
      </c>
      <c r="T940" s="169">
        <v>1.02</v>
      </c>
      <c r="U940" s="101">
        <f t="shared" si="79"/>
        <v>0</v>
      </c>
      <c r="V940" s="101">
        <f t="shared" si="80"/>
        <v>0</v>
      </c>
      <c r="W940" s="101">
        <f t="shared" si="81"/>
        <v>0</v>
      </c>
      <c r="X940" s="101">
        <f t="shared" si="78"/>
        <v>0</v>
      </c>
      <c r="Y940" s="101">
        <f t="shared" si="82"/>
        <v>0</v>
      </c>
    </row>
    <row r="941" spans="1:25" ht="11.25" hidden="1" customHeight="1" x14ac:dyDescent="0.3">
      <c r="A941" s="126" t="s">
        <v>185</v>
      </c>
      <c r="B941" s="126">
        <v>39</v>
      </c>
      <c r="C941" s="126">
        <v>27</v>
      </c>
      <c r="D941" s="126" t="str">
        <f t="shared" si="72"/>
        <v>3927</v>
      </c>
      <c r="E941" s="101">
        <v>76</v>
      </c>
      <c r="F941" s="101">
        <v>4314</v>
      </c>
      <c r="G941" s="101">
        <v>7433</v>
      </c>
      <c r="H941" s="101">
        <v>84943.02</v>
      </c>
      <c r="I941" s="101">
        <v>28916.736000000004</v>
      </c>
      <c r="J941" s="101">
        <v>102</v>
      </c>
      <c r="K941" s="101">
        <v>1663</v>
      </c>
      <c r="L941" s="101">
        <v>7442</v>
      </c>
      <c r="M941" s="101">
        <v>88984.77</v>
      </c>
      <c r="N941" s="101">
        <v>28758.645</v>
      </c>
      <c r="O941" s="101">
        <v>73</v>
      </c>
      <c r="P941" s="101">
        <v>1745</v>
      </c>
      <c r="Q941" s="101">
        <v>6807</v>
      </c>
      <c r="R941" s="101">
        <v>60830.75</v>
      </c>
      <c r="S941" s="101">
        <v>25448.512999999999</v>
      </c>
      <c r="T941" s="169">
        <v>1.02</v>
      </c>
      <c r="U941" s="101">
        <f t="shared" si="79"/>
        <v>74.460000000000008</v>
      </c>
      <c r="V941" s="101">
        <f t="shared" si="80"/>
        <v>1779.9</v>
      </c>
      <c r="W941" s="101">
        <f t="shared" si="81"/>
        <v>6943.14</v>
      </c>
      <c r="X941" s="101">
        <f t="shared" si="78"/>
        <v>62047.364999999998</v>
      </c>
      <c r="Y941" s="101">
        <f t="shared" si="82"/>
        <v>25957.483260000001</v>
      </c>
    </row>
    <row r="942" spans="1:25" ht="11.25" hidden="1" customHeight="1" x14ac:dyDescent="0.3">
      <c r="A942" s="126" t="s">
        <v>185</v>
      </c>
      <c r="B942" s="126">
        <v>39</v>
      </c>
      <c r="C942" s="126">
        <v>41</v>
      </c>
      <c r="D942" s="126" t="str">
        <f t="shared" si="72"/>
        <v>3941</v>
      </c>
      <c r="O942" s="101">
        <v>1</v>
      </c>
      <c r="P942" s="101">
        <v>1</v>
      </c>
      <c r="Q942" s="101">
        <v>1</v>
      </c>
      <c r="R942" s="101">
        <v>38.380000000000003</v>
      </c>
      <c r="S942" s="101">
        <v>1.609</v>
      </c>
      <c r="T942" s="169">
        <v>1.02</v>
      </c>
      <c r="U942" s="101">
        <f t="shared" si="79"/>
        <v>1.02</v>
      </c>
      <c r="V942" s="101">
        <f t="shared" si="80"/>
        <v>1.02</v>
      </c>
      <c r="W942" s="101">
        <f t="shared" si="81"/>
        <v>1.02</v>
      </c>
      <c r="X942" s="101">
        <f t="shared" si="78"/>
        <v>39.147600000000004</v>
      </c>
      <c r="Y942" s="101">
        <f t="shared" si="82"/>
        <v>1.6411800000000001</v>
      </c>
    </row>
    <row r="943" spans="1:25" ht="11.25" customHeight="1" x14ac:dyDescent="0.3">
      <c r="A943" s="126" t="s">
        <v>185</v>
      </c>
      <c r="B943" s="126">
        <v>39</v>
      </c>
      <c r="C943" s="126" t="s">
        <v>172</v>
      </c>
      <c r="D943" s="126" t="str">
        <f t="shared" si="72"/>
        <v>39Uml</v>
      </c>
      <c r="J943" s="101">
        <v>423</v>
      </c>
      <c r="K943" s="101">
        <v>428</v>
      </c>
      <c r="L943" s="101">
        <v>68432</v>
      </c>
      <c r="N943" s="101">
        <v>594789</v>
      </c>
      <c r="O943" s="101">
        <v>397</v>
      </c>
      <c r="P943" s="101">
        <v>398</v>
      </c>
      <c r="Q943" s="101">
        <v>77201</v>
      </c>
      <c r="S943" s="101">
        <v>297282</v>
      </c>
      <c r="T943" s="169">
        <v>1.02</v>
      </c>
      <c r="U943" s="101">
        <f t="shared" si="79"/>
        <v>404.94</v>
      </c>
      <c r="V943" s="101">
        <f t="shared" si="80"/>
        <v>405.96</v>
      </c>
      <c r="W943" s="101">
        <f t="shared" si="81"/>
        <v>78745.02</v>
      </c>
      <c r="X943" s="101">
        <f t="shared" si="78"/>
        <v>0</v>
      </c>
      <c r="Y943" s="101">
        <f t="shared" si="82"/>
        <v>303227.64</v>
      </c>
    </row>
    <row r="944" spans="1:25" ht="11.25" hidden="1" customHeight="1" x14ac:dyDescent="0.3">
      <c r="A944" s="126" t="s">
        <v>185</v>
      </c>
      <c r="B944" s="126">
        <v>39</v>
      </c>
      <c r="C944" s="126">
        <v>37</v>
      </c>
      <c r="D944" s="126" t="str">
        <f t="shared" si="72"/>
        <v>3937</v>
      </c>
      <c r="E944" s="101">
        <v>7</v>
      </c>
      <c r="F944" s="101">
        <v>36.25</v>
      </c>
      <c r="G944" s="101">
        <v>8479.75</v>
      </c>
      <c r="H944" s="101">
        <v>7655.7875000000013</v>
      </c>
      <c r="I944" s="101">
        <v>3624.9630000000002</v>
      </c>
      <c r="J944" s="101">
        <v>28</v>
      </c>
      <c r="K944" s="101">
        <v>79</v>
      </c>
      <c r="L944" s="101">
        <v>1291</v>
      </c>
      <c r="M944" s="101">
        <v>8083.5300000000007</v>
      </c>
      <c r="N944" s="101">
        <v>4978.79</v>
      </c>
      <c r="O944" s="101">
        <v>18</v>
      </c>
      <c r="P944" s="101">
        <v>68</v>
      </c>
      <c r="Q944" s="101">
        <v>1077</v>
      </c>
      <c r="R944" s="101">
        <v>7959.04</v>
      </c>
      <c r="S944" s="101">
        <v>2677.87</v>
      </c>
      <c r="T944" s="169">
        <v>1.02</v>
      </c>
      <c r="U944" s="101">
        <f t="shared" si="79"/>
        <v>18.36</v>
      </c>
      <c r="V944" s="101">
        <f t="shared" si="80"/>
        <v>69.36</v>
      </c>
      <c r="W944" s="101">
        <f t="shared" si="81"/>
        <v>1098.54</v>
      </c>
      <c r="X944" s="101">
        <f t="shared" si="78"/>
        <v>8118.2208000000001</v>
      </c>
      <c r="Y944" s="101">
        <f t="shared" si="82"/>
        <v>2731.4274</v>
      </c>
    </row>
    <row r="945" spans="1:25" ht="11.25" hidden="1" customHeight="1" x14ac:dyDescent="0.3">
      <c r="A945" s="126" t="s">
        <v>186</v>
      </c>
      <c r="B945" s="126">
        <v>40</v>
      </c>
      <c r="C945" s="126">
        <v>12</v>
      </c>
      <c r="D945" s="126" t="str">
        <f t="shared" si="72"/>
        <v>4012</v>
      </c>
      <c r="E945" s="101">
        <v>35</v>
      </c>
      <c r="F945" s="101">
        <v>43</v>
      </c>
      <c r="G945" s="101">
        <v>71</v>
      </c>
      <c r="H945" s="101">
        <v>1840.0700000000002</v>
      </c>
      <c r="I945" s="101">
        <v>273.99599999999998</v>
      </c>
      <c r="J945" s="101">
        <v>15</v>
      </c>
      <c r="K945" s="101">
        <v>19</v>
      </c>
      <c r="L945" s="101">
        <v>23</v>
      </c>
      <c r="M945" s="101">
        <v>502.65</v>
      </c>
      <c r="N945" s="101">
        <v>124.974</v>
      </c>
      <c r="O945" s="101">
        <v>12</v>
      </c>
      <c r="P945" s="101">
        <v>12</v>
      </c>
      <c r="Q945" s="101">
        <v>13</v>
      </c>
      <c r="R945" s="101">
        <v>573</v>
      </c>
      <c r="S945" s="101">
        <v>161</v>
      </c>
      <c r="T945" s="169">
        <v>1.02</v>
      </c>
      <c r="U945" s="101">
        <f t="shared" si="79"/>
        <v>12.24</v>
      </c>
      <c r="V945" s="101">
        <f t="shared" si="80"/>
        <v>12.24</v>
      </c>
      <c r="W945" s="101">
        <f t="shared" si="81"/>
        <v>13.26</v>
      </c>
      <c r="X945" s="101">
        <f t="shared" si="78"/>
        <v>584.46</v>
      </c>
      <c r="Y945" s="101">
        <f t="shared" si="82"/>
        <v>164.22</v>
      </c>
    </row>
    <row r="946" spans="1:25" ht="11.25" hidden="1" customHeight="1" x14ac:dyDescent="0.3">
      <c r="A946" s="126" t="s">
        <v>186</v>
      </c>
      <c r="B946" s="126">
        <v>40</v>
      </c>
      <c r="C946" s="126">
        <v>14</v>
      </c>
      <c r="D946" s="126" t="str">
        <f t="shared" si="72"/>
        <v>4014</v>
      </c>
      <c r="E946" s="101">
        <v>2</v>
      </c>
      <c r="F946" s="101">
        <v>9</v>
      </c>
      <c r="G946" s="101">
        <v>12</v>
      </c>
      <c r="H946" s="101">
        <v>1660.6</v>
      </c>
      <c r="I946" s="101">
        <v>272.69900000000001</v>
      </c>
      <c r="J946" s="101">
        <v>28</v>
      </c>
      <c r="K946" s="101">
        <v>62</v>
      </c>
      <c r="L946" s="101">
        <v>87</v>
      </c>
      <c r="M946" s="101">
        <v>8655.11</v>
      </c>
      <c r="N946" s="101">
        <v>1467.1959999999999</v>
      </c>
      <c r="O946" s="101">
        <v>53</v>
      </c>
      <c r="P946" s="101">
        <v>107</v>
      </c>
      <c r="Q946" s="101">
        <v>170</v>
      </c>
      <c r="R946" s="101">
        <v>9804</v>
      </c>
      <c r="S946" s="101">
        <v>1880</v>
      </c>
      <c r="T946" s="169">
        <v>1.02</v>
      </c>
      <c r="U946" s="101">
        <f t="shared" si="79"/>
        <v>54.06</v>
      </c>
      <c r="V946" s="101">
        <f t="shared" si="80"/>
        <v>109.14</v>
      </c>
      <c r="W946" s="101">
        <f t="shared" si="81"/>
        <v>173.4</v>
      </c>
      <c r="X946" s="101">
        <f t="shared" si="78"/>
        <v>10000.08</v>
      </c>
      <c r="Y946" s="101">
        <f t="shared" si="82"/>
        <v>1917.6000000000001</v>
      </c>
    </row>
    <row r="947" spans="1:25" ht="11.25" hidden="1" customHeight="1" x14ac:dyDescent="0.3">
      <c r="A947" s="126" t="s">
        <v>186</v>
      </c>
      <c r="B947" s="126">
        <v>40</v>
      </c>
      <c r="C947" s="126">
        <v>17</v>
      </c>
      <c r="D947" s="126" t="str">
        <f t="shared" si="72"/>
        <v>4017</v>
      </c>
      <c r="E947" s="101">
        <v>3914</v>
      </c>
      <c r="F947" s="101">
        <v>6421</v>
      </c>
      <c r="G947" s="101">
        <v>8217</v>
      </c>
      <c r="H947" s="101">
        <v>228703.73</v>
      </c>
      <c r="I947" s="101">
        <v>54012.688999999998</v>
      </c>
      <c r="J947" s="101">
        <v>1219</v>
      </c>
      <c r="K947" s="101">
        <v>5151</v>
      </c>
      <c r="L947" s="101">
        <v>6370</v>
      </c>
      <c r="M947" s="101">
        <v>90182.399999999994</v>
      </c>
      <c r="N947" s="101">
        <v>16489.210999999999</v>
      </c>
      <c r="O947" s="101">
        <v>1296</v>
      </c>
      <c r="P947" s="101">
        <v>2748</v>
      </c>
      <c r="Q947" s="101">
        <v>4117</v>
      </c>
      <c r="R947" s="101">
        <v>110493</v>
      </c>
      <c r="S947" s="101">
        <v>20970</v>
      </c>
      <c r="T947" s="169">
        <v>1.02</v>
      </c>
      <c r="U947" s="101">
        <v>4422</v>
      </c>
      <c r="V947" s="101">
        <v>7200</v>
      </c>
      <c r="W947" s="101">
        <v>10500</v>
      </c>
      <c r="X947" s="101">
        <f t="shared" si="78"/>
        <v>112702.86</v>
      </c>
      <c r="Y947" s="101">
        <v>40000</v>
      </c>
    </row>
    <row r="948" spans="1:25" ht="11.25" hidden="1" customHeight="1" x14ac:dyDescent="0.3">
      <c r="A948" s="126" t="s">
        <v>186</v>
      </c>
      <c r="B948" s="126">
        <v>40</v>
      </c>
      <c r="C948" s="126">
        <v>18</v>
      </c>
      <c r="D948" s="126" t="str">
        <f t="shared" si="72"/>
        <v>4018</v>
      </c>
      <c r="E948" s="101">
        <v>415</v>
      </c>
      <c r="F948" s="101">
        <v>560</v>
      </c>
      <c r="G948" s="101">
        <v>825</v>
      </c>
      <c r="H948" s="101">
        <v>31081.989999999998</v>
      </c>
      <c r="I948" s="101">
        <v>5588.1910000000007</v>
      </c>
      <c r="J948" s="101">
        <v>2102</v>
      </c>
      <c r="K948" s="101">
        <v>2329</v>
      </c>
      <c r="L948" s="101">
        <v>2566</v>
      </c>
      <c r="M948" s="101">
        <v>114729.59</v>
      </c>
      <c r="N948" s="101">
        <v>25491.324000000001</v>
      </c>
      <c r="O948" s="101">
        <v>1626</v>
      </c>
      <c r="P948" s="101">
        <v>1794</v>
      </c>
      <c r="Q948" s="101">
        <v>2079</v>
      </c>
      <c r="R948" s="101">
        <v>77112</v>
      </c>
      <c r="S948" s="101">
        <v>21843</v>
      </c>
      <c r="T948" s="169">
        <v>0.6</v>
      </c>
      <c r="U948" s="101">
        <f t="shared" si="79"/>
        <v>975.59999999999991</v>
      </c>
      <c r="V948" s="101">
        <f t="shared" si="80"/>
        <v>1076.3999999999999</v>
      </c>
      <c r="W948" s="101">
        <f t="shared" si="81"/>
        <v>1247.3999999999999</v>
      </c>
      <c r="X948" s="101">
        <f t="shared" si="78"/>
        <v>46267.199999999997</v>
      </c>
      <c r="Y948" s="101">
        <f t="shared" si="82"/>
        <v>13105.8</v>
      </c>
    </row>
    <row r="949" spans="1:25" ht="11.25" hidden="1" customHeight="1" x14ac:dyDescent="0.3">
      <c r="A949" s="126" t="s">
        <v>186</v>
      </c>
      <c r="B949" s="126">
        <v>40</v>
      </c>
      <c r="C949" s="126">
        <v>28</v>
      </c>
      <c r="D949" s="126" t="str">
        <f t="shared" si="72"/>
        <v>4028</v>
      </c>
      <c r="E949" s="101">
        <v>371</v>
      </c>
      <c r="F949" s="101">
        <v>6098</v>
      </c>
      <c r="G949" s="101">
        <v>51511</v>
      </c>
      <c r="H949" s="101">
        <v>951060.24</v>
      </c>
      <c r="I949" s="101">
        <v>200053.78599999999</v>
      </c>
      <c r="J949" s="101">
        <v>299</v>
      </c>
      <c r="K949" s="101">
        <v>5342</v>
      </c>
      <c r="L949" s="101">
        <v>35332</v>
      </c>
      <c r="M949" s="101">
        <v>1012864.63</v>
      </c>
      <c r="N949" s="101">
        <v>231059.40900000001</v>
      </c>
      <c r="O949" s="101">
        <v>431</v>
      </c>
      <c r="P949" s="101">
        <v>3606</v>
      </c>
      <c r="Q949" s="101">
        <v>20417</v>
      </c>
      <c r="R949" s="101">
        <v>597287</v>
      </c>
      <c r="S949" s="101">
        <v>147699</v>
      </c>
      <c r="T949" s="169">
        <v>1.02</v>
      </c>
      <c r="U949" s="101">
        <v>298</v>
      </c>
      <c r="V949" s="101">
        <v>1341</v>
      </c>
      <c r="W949" s="101">
        <v>3969</v>
      </c>
      <c r="X949" s="144">
        <f t="shared" si="78"/>
        <v>609232.74</v>
      </c>
      <c r="Y949" s="101">
        <v>44604</v>
      </c>
    </row>
    <row r="950" spans="1:25" ht="11.25" hidden="1" customHeight="1" x14ac:dyDescent="0.3">
      <c r="A950" s="126" t="s">
        <v>186</v>
      </c>
      <c r="B950" s="126">
        <v>40</v>
      </c>
      <c r="C950" s="126">
        <v>46</v>
      </c>
      <c r="D950" s="126" t="str">
        <f t="shared" si="72"/>
        <v>4046</v>
      </c>
      <c r="E950" s="101">
        <v>486</v>
      </c>
      <c r="F950" s="101">
        <v>1066</v>
      </c>
      <c r="G950" s="101">
        <v>11152</v>
      </c>
      <c r="H950" s="101">
        <v>244249.76</v>
      </c>
      <c r="I950" s="101">
        <v>63963.31</v>
      </c>
      <c r="J950" s="101">
        <v>181</v>
      </c>
      <c r="K950" s="101">
        <v>458</v>
      </c>
      <c r="L950" s="101">
        <v>25861</v>
      </c>
      <c r="M950" s="101">
        <v>391231.09</v>
      </c>
      <c r="N950" s="101">
        <v>118304.50599999999</v>
      </c>
      <c r="O950" s="101">
        <v>165</v>
      </c>
      <c r="P950" s="101">
        <v>386</v>
      </c>
      <c r="Q950" s="101">
        <v>27813</v>
      </c>
      <c r="R950" s="101">
        <v>403915</v>
      </c>
      <c r="S950" s="101">
        <v>169000</v>
      </c>
      <c r="T950" s="169">
        <v>1.02</v>
      </c>
      <c r="U950" s="101">
        <f t="shared" si="79"/>
        <v>168.3</v>
      </c>
      <c r="V950" s="101">
        <f t="shared" si="80"/>
        <v>393.72</v>
      </c>
      <c r="W950" s="101">
        <f t="shared" si="81"/>
        <v>28369.260000000002</v>
      </c>
      <c r="X950" s="101">
        <f t="shared" si="78"/>
        <v>411993.3</v>
      </c>
      <c r="Y950" s="101">
        <f t="shared" si="82"/>
        <v>172380</v>
      </c>
    </row>
    <row r="951" spans="1:25" ht="11.25" hidden="1" customHeight="1" x14ac:dyDescent="0.3">
      <c r="A951" s="126" t="s">
        <v>186</v>
      </c>
      <c r="B951" s="126">
        <v>40</v>
      </c>
      <c r="C951" s="126">
        <v>48</v>
      </c>
      <c r="D951" s="126" t="str">
        <f t="shared" ref="D951:D1067" si="83">CONCATENATE(B951,C951)</f>
        <v>4048</v>
      </c>
      <c r="E951" s="101">
        <v>1</v>
      </c>
      <c r="F951" s="101">
        <v>1</v>
      </c>
      <c r="G951" s="101">
        <v>400</v>
      </c>
      <c r="H951" s="101">
        <v>15568</v>
      </c>
      <c r="I951" s="101">
        <v>2873.28</v>
      </c>
      <c r="J951" s="101">
        <v>1</v>
      </c>
      <c r="K951" s="101">
        <v>1</v>
      </c>
      <c r="L951" s="101">
        <v>2000</v>
      </c>
      <c r="M951" s="101">
        <v>8920</v>
      </c>
      <c r="N951" s="101">
        <v>2535</v>
      </c>
      <c r="O951" s="101">
        <v>0</v>
      </c>
      <c r="P951" s="101">
        <v>0</v>
      </c>
      <c r="Q951" s="101">
        <v>0</v>
      </c>
      <c r="R951" s="101">
        <v>0</v>
      </c>
      <c r="S951" s="101">
        <v>0</v>
      </c>
      <c r="T951" s="169">
        <v>1.02</v>
      </c>
      <c r="U951" s="101">
        <f t="shared" si="79"/>
        <v>0</v>
      </c>
      <c r="V951" s="101">
        <f t="shared" si="80"/>
        <v>0</v>
      </c>
      <c r="W951" s="101">
        <f t="shared" si="81"/>
        <v>0</v>
      </c>
      <c r="X951" s="101">
        <f t="shared" si="78"/>
        <v>0</v>
      </c>
      <c r="Y951" s="101">
        <f t="shared" si="82"/>
        <v>0</v>
      </c>
    </row>
    <row r="952" spans="1:25" ht="11.25" hidden="1" customHeight="1" x14ac:dyDescent="0.3">
      <c r="A952" s="126" t="s">
        <v>186</v>
      </c>
      <c r="B952" s="126">
        <v>40</v>
      </c>
      <c r="C952" s="126">
        <v>66</v>
      </c>
      <c r="D952" s="126" t="str">
        <f t="shared" si="83"/>
        <v>4066</v>
      </c>
      <c r="E952" s="101">
        <v>154</v>
      </c>
      <c r="F952" s="101">
        <v>200</v>
      </c>
      <c r="G952" s="101">
        <v>1879</v>
      </c>
      <c r="H952" s="101">
        <v>24493.260000000002</v>
      </c>
      <c r="I952" s="101">
        <v>8472.7639999999992</v>
      </c>
      <c r="J952" s="101">
        <v>228</v>
      </c>
      <c r="K952" s="101">
        <v>1289</v>
      </c>
      <c r="L952" s="101">
        <v>24819</v>
      </c>
      <c r="M952" s="101">
        <v>185135.12</v>
      </c>
      <c r="N952" s="101">
        <v>159171.93400000001</v>
      </c>
      <c r="O952" s="101">
        <v>233</v>
      </c>
      <c r="P952" s="101">
        <v>1283</v>
      </c>
      <c r="Q952" s="101">
        <v>32805</v>
      </c>
      <c r="R952" s="101">
        <v>190114</v>
      </c>
      <c r="S952" s="101">
        <v>114161</v>
      </c>
      <c r="T952" s="169">
        <v>1.02</v>
      </c>
      <c r="U952" s="101">
        <f t="shared" si="79"/>
        <v>237.66</v>
      </c>
      <c r="V952" s="101">
        <f t="shared" si="80"/>
        <v>1308.6600000000001</v>
      </c>
      <c r="W952" s="101">
        <f t="shared" si="81"/>
        <v>33461.1</v>
      </c>
      <c r="X952" s="101">
        <f t="shared" si="78"/>
        <v>193916.28</v>
      </c>
      <c r="Y952" s="101">
        <f t="shared" si="82"/>
        <v>116444.22</v>
      </c>
    </row>
    <row r="953" spans="1:25" ht="11.25" hidden="1" customHeight="1" x14ac:dyDescent="0.3">
      <c r="A953" s="126" t="s">
        <v>186</v>
      </c>
      <c r="B953" s="126">
        <v>40</v>
      </c>
      <c r="C953" s="126">
        <v>30</v>
      </c>
      <c r="D953" s="126" t="str">
        <f t="shared" si="83"/>
        <v>4030</v>
      </c>
      <c r="E953" s="101">
        <v>378.5</v>
      </c>
      <c r="F953" s="101">
        <v>4778</v>
      </c>
      <c r="G953" s="101">
        <v>19557.5</v>
      </c>
      <c r="H953" s="101">
        <v>406089.25</v>
      </c>
      <c r="I953" s="101">
        <v>132503.2065</v>
      </c>
      <c r="J953" s="101">
        <v>0</v>
      </c>
      <c r="K953" s="101">
        <v>0</v>
      </c>
      <c r="L953" s="101">
        <v>0</v>
      </c>
      <c r="M953" s="101">
        <v>0</v>
      </c>
      <c r="N953" s="101">
        <v>0</v>
      </c>
      <c r="O953" s="101">
        <v>57</v>
      </c>
      <c r="P953" s="101">
        <v>58</v>
      </c>
      <c r="Q953" s="101">
        <v>2067</v>
      </c>
      <c r="R953" s="101">
        <v>76692</v>
      </c>
      <c r="S953" s="101">
        <v>49690</v>
      </c>
      <c r="T953" s="169">
        <v>1.02</v>
      </c>
      <c r="U953" s="101">
        <f t="shared" si="79"/>
        <v>58.14</v>
      </c>
      <c r="V953" s="101">
        <f t="shared" si="80"/>
        <v>59.160000000000004</v>
      </c>
      <c r="W953" s="101">
        <f t="shared" si="81"/>
        <v>2108.34</v>
      </c>
      <c r="X953" s="101">
        <f t="shared" si="78"/>
        <v>78225.84</v>
      </c>
      <c r="Y953" s="101">
        <f t="shared" si="82"/>
        <v>50683.8</v>
      </c>
    </row>
    <row r="954" spans="1:25" ht="11.25" hidden="1" customHeight="1" x14ac:dyDescent="0.3">
      <c r="A954" s="126" t="s">
        <v>186</v>
      </c>
      <c r="B954" s="126">
        <v>40</v>
      </c>
      <c r="C954" s="126">
        <v>21</v>
      </c>
      <c r="D954" s="126" t="str">
        <f t="shared" si="83"/>
        <v>4021</v>
      </c>
      <c r="E954" s="101">
        <v>737</v>
      </c>
      <c r="F954" s="101">
        <v>4671.5</v>
      </c>
      <c r="G954" s="101">
        <v>35806.5</v>
      </c>
      <c r="H954" s="101">
        <v>542656.07000000007</v>
      </c>
      <c r="I954" s="101">
        <v>168788.51199999999</v>
      </c>
      <c r="J954" s="101">
        <v>821</v>
      </c>
      <c r="K954" s="101">
        <v>6211</v>
      </c>
      <c r="L954" s="101">
        <v>35722</v>
      </c>
      <c r="M954" s="101">
        <v>558813.77</v>
      </c>
      <c r="N954" s="101">
        <v>212419.826</v>
      </c>
      <c r="O954" s="101">
        <v>751</v>
      </c>
      <c r="P954" s="101">
        <v>5417</v>
      </c>
      <c r="Q954" s="101">
        <v>36615</v>
      </c>
      <c r="R954" s="101">
        <v>659872</v>
      </c>
      <c r="S954" s="101">
        <v>300652</v>
      </c>
      <c r="T954" s="169">
        <v>1.02</v>
      </c>
      <c r="U954" s="101"/>
      <c r="V954" s="101"/>
      <c r="W954" s="101"/>
      <c r="X954" s="101"/>
      <c r="Y954" s="101"/>
    </row>
    <row r="955" spans="1:25" ht="11.25" hidden="1" customHeight="1" x14ac:dyDescent="0.3">
      <c r="A955" s="126" t="s">
        <v>186</v>
      </c>
      <c r="B955" s="126">
        <v>40</v>
      </c>
      <c r="C955" s="126">
        <v>71</v>
      </c>
      <c r="D955" s="126" t="str">
        <f t="shared" si="83"/>
        <v>4071</v>
      </c>
      <c r="E955" s="101">
        <v>109.5</v>
      </c>
      <c r="F955" s="101">
        <v>309.5</v>
      </c>
      <c r="G955" s="101">
        <v>466</v>
      </c>
      <c r="H955" s="101">
        <v>7177.67</v>
      </c>
      <c r="I955" s="101">
        <v>2722.3019999999997</v>
      </c>
      <c r="J955" s="101">
        <v>338</v>
      </c>
      <c r="K955" s="101">
        <v>3560</v>
      </c>
      <c r="L955" s="101">
        <v>9833</v>
      </c>
      <c r="M955" s="101">
        <v>78422.789999999994</v>
      </c>
      <c r="N955" s="101">
        <v>45304.514999999999</v>
      </c>
      <c r="O955" s="101">
        <v>194</v>
      </c>
      <c r="P955" s="101">
        <v>4421</v>
      </c>
      <c r="Q955" s="101">
        <v>12339</v>
      </c>
      <c r="R955" s="101">
        <v>83411</v>
      </c>
      <c r="S955" s="101">
        <v>39658</v>
      </c>
      <c r="T955" s="169">
        <v>0.98</v>
      </c>
      <c r="U955" s="101">
        <v>345</v>
      </c>
      <c r="V955" s="101">
        <v>10106</v>
      </c>
      <c r="W955" s="101">
        <v>28931</v>
      </c>
      <c r="X955" s="101">
        <v>200265</v>
      </c>
      <c r="Y955" s="101">
        <v>89216</v>
      </c>
    </row>
    <row r="956" spans="1:25" ht="11.25" hidden="1" customHeight="1" x14ac:dyDescent="0.3">
      <c r="A956" s="126" t="s">
        <v>186</v>
      </c>
      <c r="B956" s="126">
        <v>40</v>
      </c>
      <c r="C956" s="126">
        <v>25</v>
      </c>
      <c r="D956" s="126" t="str">
        <f t="shared" si="83"/>
        <v>4025</v>
      </c>
      <c r="E956" s="101">
        <v>1090</v>
      </c>
      <c r="F956" s="101">
        <v>7134</v>
      </c>
      <c r="G956" s="101">
        <v>46368</v>
      </c>
      <c r="H956" s="101">
        <v>627899.33999999985</v>
      </c>
      <c r="I956" s="101">
        <v>287377.57499999995</v>
      </c>
      <c r="J956" s="101">
        <v>762</v>
      </c>
      <c r="K956" s="101">
        <v>7330</v>
      </c>
      <c r="L956" s="101">
        <v>44470</v>
      </c>
      <c r="M956" s="101">
        <v>641184.59</v>
      </c>
      <c r="N956" s="101">
        <v>297214.90600000002</v>
      </c>
      <c r="O956" s="101">
        <v>639</v>
      </c>
      <c r="P956" s="101">
        <v>5224</v>
      </c>
      <c r="Q956" s="101">
        <v>24690</v>
      </c>
      <c r="R956" s="101">
        <v>227304</v>
      </c>
      <c r="S956" s="101">
        <v>139336</v>
      </c>
      <c r="T956" s="169">
        <v>1.02</v>
      </c>
      <c r="U956" s="101">
        <f t="shared" si="79"/>
        <v>651.78</v>
      </c>
      <c r="V956" s="101">
        <f t="shared" si="80"/>
        <v>5328.4800000000005</v>
      </c>
      <c r="W956" s="101">
        <f t="shared" si="81"/>
        <v>25183.8</v>
      </c>
      <c r="X956" s="101">
        <f t="shared" si="78"/>
        <v>231850.08000000002</v>
      </c>
      <c r="Y956" s="101">
        <f t="shared" si="82"/>
        <v>142122.72</v>
      </c>
    </row>
    <row r="957" spans="1:25" ht="11.25" hidden="1" customHeight="1" x14ac:dyDescent="0.3">
      <c r="A957" s="126" t="s">
        <v>186</v>
      </c>
      <c r="B957" s="126">
        <v>40</v>
      </c>
      <c r="C957" s="126">
        <v>22</v>
      </c>
      <c r="D957" s="126" t="str">
        <f t="shared" si="83"/>
        <v>4022</v>
      </c>
      <c r="J957" s="101">
        <v>11</v>
      </c>
      <c r="K957" s="101">
        <v>17</v>
      </c>
      <c r="L957" s="101">
        <v>121</v>
      </c>
      <c r="M957" s="101">
        <v>966.1</v>
      </c>
      <c r="N957" s="101">
        <v>951.47400000000005</v>
      </c>
      <c r="O957" s="101">
        <v>1</v>
      </c>
      <c r="P957" s="101">
        <v>2</v>
      </c>
      <c r="Q957" s="101">
        <v>8</v>
      </c>
      <c r="R957" s="101">
        <v>62</v>
      </c>
      <c r="S957" s="101">
        <v>23</v>
      </c>
      <c r="T957" s="169">
        <v>1.02</v>
      </c>
      <c r="U957" s="101">
        <f t="shared" si="79"/>
        <v>1.02</v>
      </c>
      <c r="V957" s="101">
        <f t="shared" si="80"/>
        <v>2.04</v>
      </c>
      <c r="W957" s="101">
        <f t="shared" si="81"/>
        <v>8.16</v>
      </c>
      <c r="X957" s="101">
        <f t="shared" si="78"/>
        <v>63.24</v>
      </c>
      <c r="Y957" s="101">
        <f t="shared" si="82"/>
        <v>23.46</v>
      </c>
    </row>
    <row r="958" spans="1:25" ht="11.25" hidden="1" customHeight="1" x14ac:dyDescent="0.3">
      <c r="A958" s="126" t="s">
        <v>186</v>
      </c>
      <c r="B958" s="126">
        <v>40</v>
      </c>
      <c r="C958" s="126">
        <v>26</v>
      </c>
      <c r="D958" s="126" t="str">
        <f t="shared" si="83"/>
        <v>4026</v>
      </c>
      <c r="J958" s="101">
        <v>6</v>
      </c>
      <c r="K958" s="101">
        <v>18</v>
      </c>
      <c r="L958" s="101">
        <v>124</v>
      </c>
      <c r="M958" s="101">
        <v>2698.09</v>
      </c>
      <c r="N958" s="101">
        <v>1039.336</v>
      </c>
      <c r="O958" s="101">
        <v>1</v>
      </c>
      <c r="P958" s="101">
        <v>2</v>
      </c>
      <c r="Q958" s="101">
        <v>2</v>
      </c>
      <c r="R958" s="101">
        <v>0</v>
      </c>
      <c r="S958" s="101">
        <v>0</v>
      </c>
      <c r="T958" s="169">
        <v>1.02</v>
      </c>
      <c r="U958" s="101">
        <f t="shared" si="79"/>
        <v>1.02</v>
      </c>
      <c r="V958" s="101">
        <f t="shared" si="80"/>
        <v>2.04</v>
      </c>
      <c r="W958" s="101">
        <f t="shared" si="81"/>
        <v>2.04</v>
      </c>
      <c r="X958" s="101">
        <f t="shared" si="78"/>
        <v>0</v>
      </c>
      <c r="Y958" s="101">
        <f t="shared" si="82"/>
        <v>0</v>
      </c>
    </row>
    <row r="959" spans="1:25" ht="11.25" hidden="1" customHeight="1" x14ac:dyDescent="0.3">
      <c r="A959" s="126" t="s">
        <v>186</v>
      </c>
      <c r="B959" s="126">
        <v>40</v>
      </c>
      <c r="C959" s="126">
        <v>32</v>
      </c>
      <c r="D959" s="126" t="str">
        <f t="shared" si="83"/>
        <v>4032</v>
      </c>
      <c r="J959" s="101">
        <v>27</v>
      </c>
      <c r="K959" s="101">
        <v>48</v>
      </c>
      <c r="L959" s="101">
        <v>901</v>
      </c>
      <c r="M959" s="101">
        <v>4622.3999999999996</v>
      </c>
      <c r="N959" s="101">
        <v>3384.3490000000002</v>
      </c>
      <c r="O959" s="101">
        <v>32</v>
      </c>
      <c r="P959" s="101">
        <v>49</v>
      </c>
      <c r="Q959" s="101">
        <v>1896</v>
      </c>
      <c r="R959" s="101">
        <v>71027</v>
      </c>
      <c r="S959" s="101">
        <v>14835</v>
      </c>
      <c r="T959" s="169">
        <v>1.02</v>
      </c>
      <c r="U959" s="101">
        <f t="shared" si="79"/>
        <v>32.64</v>
      </c>
      <c r="V959" s="101">
        <f t="shared" si="80"/>
        <v>49.980000000000004</v>
      </c>
      <c r="W959" s="101">
        <f t="shared" si="81"/>
        <v>1933.92</v>
      </c>
      <c r="X959" s="101">
        <f t="shared" si="78"/>
        <v>72447.540000000008</v>
      </c>
      <c r="Y959" s="101">
        <f t="shared" si="82"/>
        <v>15131.7</v>
      </c>
    </row>
    <row r="960" spans="1:25" ht="11.25" hidden="1" customHeight="1" x14ac:dyDescent="0.3">
      <c r="A960" s="126" t="s">
        <v>186</v>
      </c>
      <c r="B960" s="126">
        <v>40</v>
      </c>
      <c r="C960" s="126">
        <v>35</v>
      </c>
      <c r="D960" s="126" t="str">
        <f t="shared" si="83"/>
        <v>4035</v>
      </c>
      <c r="J960" s="101">
        <v>1</v>
      </c>
      <c r="K960" s="101">
        <v>1</v>
      </c>
      <c r="L960" s="101">
        <v>2</v>
      </c>
      <c r="M960" s="101">
        <v>0</v>
      </c>
      <c r="N960" s="101">
        <v>1.4630000000000001</v>
      </c>
      <c r="O960" s="101">
        <v>0</v>
      </c>
      <c r="P960" s="101">
        <v>0</v>
      </c>
      <c r="Q960" s="101">
        <v>0</v>
      </c>
      <c r="R960" s="101">
        <v>0</v>
      </c>
      <c r="S960" s="101">
        <v>0</v>
      </c>
      <c r="T960" s="169">
        <v>1.02</v>
      </c>
      <c r="U960" s="101">
        <f t="shared" si="79"/>
        <v>0</v>
      </c>
      <c r="V960" s="101">
        <f t="shared" si="80"/>
        <v>0</v>
      </c>
      <c r="W960" s="101">
        <f t="shared" si="81"/>
        <v>0</v>
      </c>
      <c r="X960" s="101">
        <f t="shared" si="78"/>
        <v>0</v>
      </c>
      <c r="Y960" s="101">
        <f t="shared" si="82"/>
        <v>0</v>
      </c>
    </row>
    <row r="961" spans="1:25" ht="11.25" hidden="1" customHeight="1" x14ac:dyDescent="0.3">
      <c r="A961" s="126" t="s">
        <v>186</v>
      </c>
      <c r="B961" s="126">
        <v>40</v>
      </c>
      <c r="C961" s="126">
        <v>41</v>
      </c>
      <c r="D961" s="126" t="str">
        <f t="shared" si="83"/>
        <v>4041</v>
      </c>
      <c r="J961" s="101">
        <v>2</v>
      </c>
      <c r="K961" s="101">
        <v>7</v>
      </c>
      <c r="L961" s="101">
        <v>10</v>
      </c>
      <c r="M961" s="101">
        <v>294.99</v>
      </c>
      <c r="N961" s="101">
        <v>128.756</v>
      </c>
      <c r="O961" s="101">
        <v>1</v>
      </c>
      <c r="P961" s="101">
        <v>1</v>
      </c>
      <c r="Q961" s="101">
        <v>1</v>
      </c>
      <c r="R961" s="101">
        <v>74</v>
      </c>
      <c r="S961" s="101">
        <v>21</v>
      </c>
      <c r="T961" s="169">
        <v>1.02</v>
      </c>
      <c r="U961" s="101">
        <f t="shared" si="79"/>
        <v>1.02</v>
      </c>
      <c r="V961" s="101">
        <f t="shared" si="80"/>
        <v>1.02</v>
      </c>
      <c r="W961" s="101">
        <f t="shared" si="81"/>
        <v>1.02</v>
      </c>
      <c r="X961" s="101">
        <f t="shared" si="78"/>
        <v>75.48</v>
      </c>
      <c r="Y961" s="101">
        <f t="shared" si="82"/>
        <v>21.42</v>
      </c>
    </row>
    <row r="962" spans="1:25" ht="11.25" hidden="1" customHeight="1" x14ac:dyDescent="0.3">
      <c r="A962" s="126" t="s">
        <v>186</v>
      </c>
      <c r="B962" s="126">
        <v>40</v>
      </c>
      <c r="C962" s="126">
        <v>43</v>
      </c>
      <c r="D962" s="126" t="str">
        <f t="shared" si="83"/>
        <v>4043</v>
      </c>
      <c r="J962" s="101">
        <v>0</v>
      </c>
      <c r="K962" s="101">
        <v>0</v>
      </c>
      <c r="L962" s="101">
        <v>0</v>
      </c>
      <c r="M962" s="101">
        <v>0</v>
      </c>
      <c r="N962" s="101">
        <v>0</v>
      </c>
      <c r="O962" s="101">
        <v>0</v>
      </c>
      <c r="P962" s="101">
        <v>0</v>
      </c>
      <c r="Q962" s="101">
        <v>0</v>
      </c>
      <c r="R962" s="101">
        <v>0</v>
      </c>
      <c r="S962" s="101">
        <v>0</v>
      </c>
      <c r="T962" s="169">
        <v>1.02</v>
      </c>
      <c r="U962" s="101">
        <f t="shared" si="79"/>
        <v>0</v>
      </c>
      <c r="V962" s="101">
        <f t="shared" si="80"/>
        <v>0</v>
      </c>
      <c r="W962" s="101">
        <f t="shared" si="81"/>
        <v>0</v>
      </c>
      <c r="X962" s="101">
        <f t="shared" si="78"/>
        <v>0</v>
      </c>
      <c r="Y962" s="101">
        <f t="shared" si="82"/>
        <v>0</v>
      </c>
    </row>
    <row r="963" spans="1:25" ht="11.25" hidden="1" customHeight="1" x14ac:dyDescent="0.3">
      <c r="A963" s="126" t="s">
        <v>186</v>
      </c>
      <c r="B963" s="126">
        <v>40</v>
      </c>
      <c r="C963" s="126">
        <v>44</v>
      </c>
      <c r="D963" s="126" t="str">
        <f t="shared" si="83"/>
        <v>4044</v>
      </c>
      <c r="J963" s="101">
        <v>0</v>
      </c>
      <c r="K963" s="101">
        <v>0</v>
      </c>
      <c r="L963" s="101">
        <v>0</v>
      </c>
      <c r="M963" s="101">
        <v>0</v>
      </c>
      <c r="N963" s="101">
        <v>0</v>
      </c>
      <c r="O963" s="101">
        <v>0</v>
      </c>
      <c r="P963" s="101">
        <v>0</v>
      </c>
      <c r="Q963" s="101">
        <v>0</v>
      </c>
      <c r="R963" s="101">
        <v>0</v>
      </c>
      <c r="S963" s="101">
        <v>0</v>
      </c>
      <c r="T963" s="169">
        <v>1.02</v>
      </c>
      <c r="U963" s="101">
        <f t="shared" si="79"/>
        <v>0</v>
      </c>
      <c r="V963" s="101">
        <f t="shared" si="80"/>
        <v>0</v>
      </c>
      <c r="W963" s="101">
        <f t="shared" si="81"/>
        <v>0</v>
      </c>
      <c r="X963" s="101">
        <f t="shared" si="78"/>
        <v>0</v>
      </c>
      <c r="Y963" s="101">
        <f t="shared" si="82"/>
        <v>0</v>
      </c>
    </row>
    <row r="964" spans="1:25" ht="11.25" hidden="1" customHeight="1" x14ac:dyDescent="0.3">
      <c r="A964" s="126" t="s">
        <v>186</v>
      </c>
      <c r="B964" s="126">
        <v>40</v>
      </c>
      <c r="C964" s="126">
        <v>45</v>
      </c>
      <c r="D964" s="126" t="str">
        <f t="shared" si="83"/>
        <v>4045</v>
      </c>
      <c r="J964" s="101">
        <v>0</v>
      </c>
      <c r="K964" s="101">
        <v>0</v>
      </c>
      <c r="L964" s="101">
        <v>0</v>
      </c>
      <c r="M964" s="101">
        <v>0</v>
      </c>
      <c r="N964" s="101">
        <v>0</v>
      </c>
      <c r="O964" s="101">
        <v>0</v>
      </c>
      <c r="P964" s="101">
        <v>0</v>
      </c>
      <c r="Q964" s="101">
        <v>0</v>
      </c>
      <c r="R964" s="101">
        <v>0</v>
      </c>
      <c r="S964" s="101">
        <v>0</v>
      </c>
      <c r="T964" s="169">
        <v>1.02</v>
      </c>
      <c r="U964" s="101">
        <f t="shared" si="79"/>
        <v>0</v>
      </c>
      <c r="V964" s="101">
        <f t="shared" si="80"/>
        <v>0</v>
      </c>
      <c r="W964" s="101">
        <f t="shared" si="81"/>
        <v>0</v>
      </c>
      <c r="X964" s="101">
        <f t="shared" si="78"/>
        <v>0</v>
      </c>
      <c r="Y964" s="101">
        <f t="shared" si="82"/>
        <v>0</v>
      </c>
    </row>
    <row r="965" spans="1:25" ht="11.25" hidden="1" customHeight="1" x14ac:dyDescent="0.3">
      <c r="A965" s="126" t="s">
        <v>186</v>
      </c>
      <c r="B965" s="126">
        <v>40</v>
      </c>
      <c r="C965" s="126">
        <v>47</v>
      </c>
      <c r="D965" s="126" t="str">
        <f t="shared" si="83"/>
        <v>4047</v>
      </c>
      <c r="J965" s="101">
        <v>1</v>
      </c>
      <c r="K965" s="101">
        <v>2</v>
      </c>
      <c r="L965" s="101">
        <v>7</v>
      </c>
      <c r="M965" s="101">
        <v>189.65</v>
      </c>
      <c r="N965" s="101">
        <v>79.271000000000001</v>
      </c>
      <c r="O965" s="101">
        <v>3</v>
      </c>
      <c r="P965" s="101">
        <v>3</v>
      </c>
      <c r="Q965" s="101">
        <v>2250</v>
      </c>
      <c r="R965" s="101">
        <v>18799</v>
      </c>
      <c r="S965" s="101">
        <v>2596</v>
      </c>
      <c r="T965" s="169">
        <v>1.02</v>
      </c>
      <c r="U965" s="101">
        <f t="shared" si="79"/>
        <v>3.06</v>
      </c>
      <c r="V965" s="101">
        <f t="shared" si="80"/>
        <v>3.06</v>
      </c>
      <c r="W965" s="101">
        <f t="shared" si="81"/>
        <v>2295</v>
      </c>
      <c r="X965" s="101">
        <f t="shared" si="78"/>
        <v>19174.98</v>
      </c>
      <c r="Y965" s="101">
        <f t="shared" si="82"/>
        <v>2647.92</v>
      </c>
    </row>
    <row r="966" spans="1:25" ht="11.25" hidden="1" customHeight="1" x14ac:dyDescent="0.3">
      <c r="A966" s="126" t="s">
        <v>186</v>
      </c>
      <c r="B966" s="126">
        <v>40</v>
      </c>
      <c r="C966" s="126">
        <v>91</v>
      </c>
      <c r="D966" s="126" t="str">
        <f t="shared" si="83"/>
        <v>4091</v>
      </c>
      <c r="J966" s="101">
        <v>60</v>
      </c>
      <c r="K966" s="101">
        <v>490</v>
      </c>
      <c r="L966" s="101">
        <v>1682</v>
      </c>
      <c r="M966" s="101">
        <v>10022.879999999999</v>
      </c>
      <c r="N966" s="101">
        <v>4889.1850000000004</v>
      </c>
      <c r="O966" s="101">
        <v>32</v>
      </c>
      <c r="P966" s="101">
        <v>130</v>
      </c>
      <c r="Q966" s="101">
        <v>831</v>
      </c>
      <c r="R966" s="101">
        <v>6829</v>
      </c>
      <c r="S966" s="101">
        <v>2845</v>
      </c>
      <c r="T966" s="169">
        <v>1.02</v>
      </c>
      <c r="U966" s="101">
        <f t="shared" si="79"/>
        <v>32.64</v>
      </c>
      <c r="V966" s="101">
        <f t="shared" si="80"/>
        <v>132.6</v>
      </c>
      <c r="W966" s="101">
        <f t="shared" si="81"/>
        <v>847.62</v>
      </c>
      <c r="X966" s="101">
        <f t="shared" ref="X966:X1029" si="84">R966*T966</f>
        <v>6965.58</v>
      </c>
      <c r="Y966" s="101">
        <f t="shared" si="82"/>
        <v>2901.9</v>
      </c>
    </row>
    <row r="967" spans="1:25" ht="11.25" hidden="1" customHeight="1" x14ac:dyDescent="0.3">
      <c r="A967" s="126" t="s">
        <v>186</v>
      </c>
      <c r="B967" s="126">
        <v>40</v>
      </c>
      <c r="C967" s="126">
        <v>27</v>
      </c>
      <c r="D967" s="126" t="str">
        <f t="shared" si="83"/>
        <v>4027</v>
      </c>
      <c r="E967" s="101">
        <v>33</v>
      </c>
      <c r="F967" s="101">
        <v>107</v>
      </c>
      <c r="G967" s="101">
        <v>438</v>
      </c>
      <c r="H967" s="101">
        <v>4727.3200000000006</v>
      </c>
      <c r="I967" s="101">
        <v>1813.0169999999998</v>
      </c>
      <c r="J967" s="101">
        <v>101</v>
      </c>
      <c r="K967" s="101">
        <v>1405</v>
      </c>
      <c r="L967" s="101">
        <v>8085</v>
      </c>
      <c r="M967" s="101">
        <v>87673.13</v>
      </c>
      <c r="N967" s="101">
        <v>33106.533000000003</v>
      </c>
      <c r="O967" s="101">
        <v>64</v>
      </c>
      <c r="P967" s="101">
        <v>2087</v>
      </c>
      <c r="Q967" s="101">
        <v>9332</v>
      </c>
      <c r="R967" s="101">
        <v>69622</v>
      </c>
      <c r="S967" s="101">
        <v>29363</v>
      </c>
      <c r="T967" s="169">
        <v>1.02</v>
      </c>
      <c r="U967" s="101">
        <f t="shared" si="79"/>
        <v>65.28</v>
      </c>
      <c r="V967" s="101">
        <f t="shared" si="80"/>
        <v>2128.7400000000002</v>
      </c>
      <c r="W967" s="101">
        <f t="shared" si="81"/>
        <v>9518.64</v>
      </c>
      <c r="X967" s="101">
        <f t="shared" si="84"/>
        <v>71014.44</v>
      </c>
      <c r="Y967" s="101">
        <f t="shared" si="82"/>
        <v>29950.260000000002</v>
      </c>
    </row>
    <row r="968" spans="1:25" ht="11.25" customHeight="1" x14ac:dyDescent="0.3">
      <c r="A968" s="126" t="s">
        <v>186</v>
      </c>
      <c r="B968" s="126">
        <v>40</v>
      </c>
      <c r="C968" s="126" t="s">
        <v>172</v>
      </c>
      <c r="D968" s="126" t="str">
        <f t="shared" si="83"/>
        <v>40Uml</v>
      </c>
      <c r="J968" s="101">
        <v>159</v>
      </c>
      <c r="K968" s="101">
        <v>174</v>
      </c>
      <c r="L968" s="101">
        <v>71734</v>
      </c>
      <c r="N968" s="101">
        <v>202928</v>
      </c>
      <c r="O968" s="101">
        <v>278</v>
      </c>
      <c r="P968" s="101">
        <v>286</v>
      </c>
      <c r="Q968" s="101">
        <v>113866</v>
      </c>
      <c r="S968" s="101">
        <v>243229</v>
      </c>
      <c r="T968" s="169">
        <v>1.02</v>
      </c>
      <c r="U968" s="101">
        <f t="shared" ref="U968:U1031" si="85">O968*T968</f>
        <v>283.56</v>
      </c>
      <c r="V968" s="101">
        <f t="shared" ref="V968:V1031" si="86">P968*T968</f>
        <v>291.72000000000003</v>
      </c>
      <c r="W968" s="101">
        <f t="shared" ref="W968:W1031" si="87">Q968*T968</f>
        <v>116143.32</v>
      </c>
      <c r="X968" s="101">
        <f t="shared" si="84"/>
        <v>0</v>
      </c>
      <c r="Y968" s="101">
        <f t="shared" ref="Y968:Y1031" si="88">S968*T968</f>
        <v>248093.58000000002</v>
      </c>
    </row>
    <row r="969" spans="1:25" ht="11.25" hidden="1" customHeight="1" x14ac:dyDescent="0.3">
      <c r="A969" s="126" t="s">
        <v>186</v>
      </c>
      <c r="B969" s="126">
        <v>40</v>
      </c>
      <c r="C969" s="126">
        <v>37</v>
      </c>
      <c r="D969" s="126" t="str">
        <f t="shared" si="83"/>
        <v>4037</v>
      </c>
      <c r="E969" s="101">
        <v>8.5</v>
      </c>
      <c r="F969" s="101">
        <v>38.5</v>
      </c>
      <c r="G969" s="101">
        <v>1407.75</v>
      </c>
      <c r="H969" s="101">
        <v>4033.1800000000003</v>
      </c>
      <c r="I969" s="101">
        <v>1611.3867499999999</v>
      </c>
      <c r="J969" s="101">
        <v>21</v>
      </c>
      <c r="K969" s="101">
        <v>79</v>
      </c>
      <c r="L969" s="101">
        <v>1228</v>
      </c>
      <c r="M969" s="101">
        <v>9068.49</v>
      </c>
      <c r="N969" s="101">
        <v>4541.3789999999999</v>
      </c>
      <c r="O969" s="101">
        <v>35</v>
      </c>
      <c r="P969" s="101">
        <v>113</v>
      </c>
      <c r="Q969" s="101">
        <v>3237</v>
      </c>
      <c r="R969" s="101">
        <v>12595</v>
      </c>
      <c r="S969" s="101">
        <v>3973</v>
      </c>
      <c r="T969" s="169">
        <v>1.02</v>
      </c>
      <c r="U969" s="101">
        <f t="shared" si="85"/>
        <v>35.700000000000003</v>
      </c>
      <c r="V969" s="101">
        <f t="shared" si="86"/>
        <v>115.26</v>
      </c>
      <c r="W969" s="101">
        <f t="shared" si="87"/>
        <v>3301.7400000000002</v>
      </c>
      <c r="X969" s="101">
        <f t="shared" si="84"/>
        <v>12846.9</v>
      </c>
      <c r="Y969" s="101">
        <f t="shared" si="88"/>
        <v>4052.46</v>
      </c>
    </row>
    <row r="970" spans="1:25" ht="11.25" hidden="1" customHeight="1" x14ac:dyDescent="0.3">
      <c r="A970" s="126" t="s">
        <v>186</v>
      </c>
      <c r="B970" s="126">
        <v>41</v>
      </c>
      <c r="C970" s="126">
        <v>12</v>
      </c>
      <c r="D970" s="126" t="str">
        <f t="shared" si="83"/>
        <v>4112</v>
      </c>
      <c r="E970" s="101">
        <v>34</v>
      </c>
      <c r="F970" s="101">
        <v>42</v>
      </c>
      <c r="G970" s="101">
        <v>57</v>
      </c>
      <c r="H970" s="101">
        <v>836.52</v>
      </c>
      <c r="I970" s="101">
        <v>181.76599999999999</v>
      </c>
      <c r="J970" s="101">
        <v>15</v>
      </c>
      <c r="K970" s="101">
        <v>24</v>
      </c>
      <c r="L970" s="101">
        <v>27</v>
      </c>
      <c r="M970" s="101">
        <v>649.87</v>
      </c>
      <c r="N970" s="101">
        <v>147.38200000000001</v>
      </c>
      <c r="O970" s="101">
        <v>13</v>
      </c>
      <c r="P970" s="101">
        <v>19</v>
      </c>
      <c r="Q970" s="101">
        <v>45</v>
      </c>
      <c r="R970" s="101">
        <v>654</v>
      </c>
      <c r="S970" s="101">
        <v>100</v>
      </c>
      <c r="T970" s="169">
        <v>1.02</v>
      </c>
      <c r="U970" s="101">
        <f t="shared" si="85"/>
        <v>13.26</v>
      </c>
      <c r="V970" s="101">
        <f t="shared" si="86"/>
        <v>19.38</v>
      </c>
      <c r="W970" s="101">
        <f t="shared" si="87"/>
        <v>45.9</v>
      </c>
      <c r="X970" s="101">
        <f t="shared" si="84"/>
        <v>667.08</v>
      </c>
      <c r="Y970" s="101">
        <f t="shared" si="88"/>
        <v>102</v>
      </c>
    </row>
    <row r="971" spans="1:25" ht="11.25" hidden="1" customHeight="1" x14ac:dyDescent="0.3">
      <c r="A971" s="126" t="s">
        <v>186</v>
      </c>
      <c r="B971" s="126">
        <v>41</v>
      </c>
      <c r="C971" s="126">
        <v>17</v>
      </c>
      <c r="D971" s="126" t="str">
        <f t="shared" si="83"/>
        <v>4117</v>
      </c>
      <c r="E971" s="101">
        <v>4709</v>
      </c>
      <c r="F971" s="101">
        <v>7878</v>
      </c>
      <c r="G971" s="101">
        <v>10299</v>
      </c>
      <c r="H971" s="101">
        <v>265330.48</v>
      </c>
      <c r="I971" s="101">
        <v>58485.148999999998</v>
      </c>
      <c r="J971" s="101">
        <v>1205</v>
      </c>
      <c r="K971" s="101">
        <v>5002</v>
      </c>
      <c r="L971" s="101">
        <v>6540</v>
      </c>
      <c r="M971" s="101">
        <v>83788.850000000006</v>
      </c>
      <c r="N971" s="101">
        <v>15596.816000000001</v>
      </c>
      <c r="O971" s="101">
        <v>1193</v>
      </c>
      <c r="P971" s="101">
        <v>2414</v>
      </c>
      <c r="Q971" s="101">
        <v>3354</v>
      </c>
      <c r="R971" s="101">
        <v>93913</v>
      </c>
      <c r="S971" s="101">
        <v>18294</v>
      </c>
      <c r="T971" s="169">
        <v>1.02</v>
      </c>
      <c r="U971" s="101">
        <v>2211</v>
      </c>
      <c r="V971" s="101">
        <v>5112</v>
      </c>
      <c r="W971" s="101">
        <v>7300</v>
      </c>
      <c r="X971" s="101">
        <f t="shared" si="84"/>
        <v>95791.26</v>
      </c>
      <c r="Y971" s="101">
        <v>35000</v>
      </c>
    </row>
    <row r="972" spans="1:25" ht="11.25" hidden="1" customHeight="1" x14ac:dyDescent="0.3">
      <c r="A972" s="126" t="s">
        <v>186</v>
      </c>
      <c r="B972" s="126">
        <v>41</v>
      </c>
      <c r="C972" s="126">
        <v>18</v>
      </c>
      <c r="D972" s="126" t="str">
        <f t="shared" si="83"/>
        <v>4118</v>
      </c>
      <c r="E972" s="101">
        <v>436</v>
      </c>
      <c r="F972" s="101">
        <v>578</v>
      </c>
      <c r="G972" s="101">
        <v>893</v>
      </c>
      <c r="H972" s="101">
        <v>29676.190000000002</v>
      </c>
      <c r="I972" s="101">
        <v>4993.822000000001</v>
      </c>
      <c r="J972" s="101">
        <v>1328</v>
      </c>
      <c r="K972" s="101">
        <v>1461</v>
      </c>
      <c r="L972" s="101">
        <v>1659</v>
      </c>
      <c r="M972" s="101">
        <v>81011.25</v>
      </c>
      <c r="N972" s="101">
        <v>16554.075000000001</v>
      </c>
      <c r="O972" s="101">
        <v>1604</v>
      </c>
      <c r="P972" s="101">
        <v>1825</v>
      </c>
      <c r="Q972" s="101">
        <v>2093</v>
      </c>
      <c r="R972" s="101">
        <v>81236</v>
      </c>
      <c r="S972" s="101">
        <v>21751</v>
      </c>
      <c r="T972" s="169">
        <v>0.6</v>
      </c>
      <c r="U972" s="101">
        <f t="shared" si="85"/>
        <v>962.4</v>
      </c>
      <c r="V972" s="101">
        <f t="shared" si="86"/>
        <v>1095</v>
      </c>
      <c r="W972" s="101">
        <f t="shared" si="87"/>
        <v>1255.8</v>
      </c>
      <c r="X972" s="101">
        <f t="shared" si="84"/>
        <v>48741.599999999999</v>
      </c>
      <c r="Y972" s="101">
        <f t="shared" si="88"/>
        <v>13050.6</v>
      </c>
    </row>
    <row r="973" spans="1:25" ht="11.25" hidden="1" customHeight="1" x14ac:dyDescent="0.3">
      <c r="A973" s="126" t="s">
        <v>186</v>
      </c>
      <c r="B973" s="126">
        <v>41</v>
      </c>
      <c r="C973" s="126">
        <v>28</v>
      </c>
      <c r="D973" s="126" t="str">
        <f t="shared" si="83"/>
        <v>4128</v>
      </c>
      <c r="E973" s="101">
        <v>393</v>
      </c>
      <c r="F973" s="101">
        <v>5389</v>
      </c>
      <c r="G973" s="101">
        <v>55222</v>
      </c>
      <c r="H973" s="101">
        <v>797915.35</v>
      </c>
      <c r="I973" s="101">
        <v>164308.606</v>
      </c>
      <c r="J973" s="101">
        <v>276</v>
      </c>
      <c r="K973" s="101">
        <v>5733</v>
      </c>
      <c r="L973" s="101">
        <v>38110</v>
      </c>
      <c r="M973" s="101">
        <v>731783.28</v>
      </c>
      <c r="N973" s="101">
        <v>158896.09599999999</v>
      </c>
      <c r="O973" s="101">
        <v>354</v>
      </c>
      <c r="P973" s="101">
        <v>6323</v>
      </c>
      <c r="Q973" s="101">
        <v>59173</v>
      </c>
      <c r="R973" s="101">
        <v>1135514</v>
      </c>
      <c r="S973" s="101">
        <v>294941</v>
      </c>
      <c r="T973" s="169">
        <v>1.02</v>
      </c>
      <c r="U973" s="101">
        <v>193</v>
      </c>
      <c r="V973" s="101">
        <v>868</v>
      </c>
      <c r="W973" s="101">
        <v>7201</v>
      </c>
      <c r="X973" s="144">
        <f t="shared" si="84"/>
        <v>1158224.28</v>
      </c>
      <c r="Y973" s="101">
        <v>76166</v>
      </c>
    </row>
    <row r="974" spans="1:25" ht="11.25" hidden="1" customHeight="1" x14ac:dyDescent="0.3">
      <c r="A974" s="126" t="s">
        <v>186</v>
      </c>
      <c r="B974" s="126">
        <v>41</v>
      </c>
      <c r="C974" s="126">
        <v>46</v>
      </c>
      <c r="D974" s="126" t="str">
        <f t="shared" si="83"/>
        <v>4146</v>
      </c>
      <c r="E974" s="101">
        <v>325</v>
      </c>
      <c r="F974" s="101">
        <v>656</v>
      </c>
      <c r="G974" s="101">
        <v>25765</v>
      </c>
      <c r="H974" s="101">
        <v>350099.06000000006</v>
      </c>
      <c r="I974" s="101">
        <v>260218.13300000003</v>
      </c>
      <c r="J974" s="101">
        <v>434</v>
      </c>
      <c r="K974" s="101">
        <v>1175</v>
      </c>
      <c r="L974" s="101">
        <v>30485</v>
      </c>
      <c r="M974" s="101">
        <v>461130.81</v>
      </c>
      <c r="N974" s="101">
        <v>123803.79</v>
      </c>
      <c r="O974" s="101">
        <v>189</v>
      </c>
      <c r="P974" s="101">
        <v>374</v>
      </c>
      <c r="Q974" s="101">
        <v>95912</v>
      </c>
      <c r="R974" s="101">
        <v>742483</v>
      </c>
      <c r="S974" s="101">
        <v>310730</v>
      </c>
      <c r="T974" s="169">
        <v>1.02</v>
      </c>
      <c r="U974" s="101">
        <f t="shared" si="85"/>
        <v>192.78</v>
      </c>
      <c r="V974" s="101">
        <f t="shared" si="86"/>
        <v>381.48</v>
      </c>
      <c r="W974" s="101">
        <f t="shared" si="87"/>
        <v>97830.24</v>
      </c>
      <c r="X974" s="101">
        <f t="shared" si="84"/>
        <v>757332.66</v>
      </c>
      <c r="Y974" s="101">
        <f t="shared" si="88"/>
        <v>316944.59999999998</v>
      </c>
    </row>
    <row r="975" spans="1:25" ht="11.25" hidden="1" customHeight="1" x14ac:dyDescent="0.3">
      <c r="A975" s="126" t="s">
        <v>186</v>
      </c>
      <c r="B975" s="126">
        <v>41</v>
      </c>
      <c r="C975" s="126">
        <v>48</v>
      </c>
      <c r="D975" s="126" t="str">
        <f t="shared" si="83"/>
        <v>4148</v>
      </c>
      <c r="E975" s="101">
        <v>2</v>
      </c>
      <c r="F975" s="101">
        <v>2</v>
      </c>
      <c r="G975" s="101">
        <v>40</v>
      </c>
      <c r="H975" s="101">
        <v>223.8</v>
      </c>
      <c r="I975" s="101">
        <v>254.458</v>
      </c>
      <c r="J975" s="101">
        <v>0</v>
      </c>
      <c r="K975" s="101">
        <v>0</v>
      </c>
      <c r="L975" s="101">
        <v>0</v>
      </c>
      <c r="M975" s="101">
        <v>0</v>
      </c>
      <c r="N975" s="101">
        <v>0</v>
      </c>
      <c r="O975" s="101">
        <v>0</v>
      </c>
      <c r="P975" s="101">
        <v>0</v>
      </c>
      <c r="Q975" s="101">
        <v>0</v>
      </c>
      <c r="R975" s="101">
        <v>0</v>
      </c>
      <c r="S975" s="101">
        <v>0</v>
      </c>
      <c r="T975" s="169">
        <v>1.02</v>
      </c>
      <c r="U975" s="101">
        <f t="shared" si="85"/>
        <v>0</v>
      </c>
      <c r="V975" s="101">
        <f t="shared" si="86"/>
        <v>0</v>
      </c>
      <c r="W975" s="101">
        <f t="shared" si="87"/>
        <v>0</v>
      </c>
      <c r="X975" s="101">
        <f t="shared" si="84"/>
        <v>0</v>
      </c>
      <c r="Y975" s="101">
        <f t="shared" si="88"/>
        <v>0</v>
      </c>
    </row>
    <row r="976" spans="1:25" ht="11.25" hidden="1" customHeight="1" x14ac:dyDescent="0.3">
      <c r="A976" s="126" t="s">
        <v>186</v>
      </c>
      <c r="B976" s="126">
        <v>41</v>
      </c>
      <c r="C976" s="126">
        <v>66</v>
      </c>
      <c r="D976" s="126" t="str">
        <f t="shared" si="83"/>
        <v>4166</v>
      </c>
      <c r="E976" s="101">
        <v>299</v>
      </c>
      <c r="F976" s="101">
        <v>3927</v>
      </c>
      <c r="G976" s="101">
        <v>76504</v>
      </c>
      <c r="H976" s="101">
        <v>469994.83999999997</v>
      </c>
      <c r="I976" s="101">
        <v>233071.79499999998</v>
      </c>
      <c r="J976" s="101">
        <v>249</v>
      </c>
      <c r="K976" s="101">
        <v>1532</v>
      </c>
      <c r="L976" s="101">
        <v>32375</v>
      </c>
      <c r="M976" s="101">
        <v>266185.73</v>
      </c>
      <c r="N976" s="101">
        <v>178999.48</v>
      </c>
      <c r="O976" s="101">
        <v>266</v>
      </c>
      <c r="P976" s="101">
        <v>1785</v>
      </c>
      <c r="Q976" s="101">
        <v>39566</v>
      </c>
      <c r="R976" s="101">
        <v>285961</v>
      </c>
      <c r="S976" s="101">
        <v>158603</v>
      </c>
      <c r="T976" s="169">
        <v>1.02</v>
      </c>
      <c r="U976" s="101">
        <f t="shared" si="85"/>
        <v>271.32</v>
      </c>
      <c r="V976" s="101">
        <f t="shared" si="86"/>
        <v>1820.7</v>
      </c>
      <c r="W976" s="101">
        <f t="shared" si="87"/>
        <v>40357.32</v>
      </c>
      <c r="X976" s="101">
        <f t="shared" si="84"/>
        <v>291680.22000000003</v>
      </c>
      <c r="Y976" s="101">
        <f t="shared" si="88"/>
        <v>161775.06</v>
      </c>
    </row>
    <row r="977" spans="1:25" ht="11.25" hidden="1" customHeight="1" x14ac:dyDescent="0.3">
      <c r="A977" s="126" t="s">
        <v>186</v>
      </c>
      <c r="B977" s="126">
        <v>41</v>
      </c>
      <c r="C977" s="126">
        <v>30</v>
      </c>
      <c r="D977" s="126" t="str">
        <f t="shared" si="83"/>
        <v>4130</v>
      </c>
      <c r="E977" s="101">
        <v>472.5</v>
      </c>
      <c r="F977" s="101">
        <v>4269.5</v>
      </c>
      <c r="G977" s="101">
        <v>17073.5</v>
      </c>
      <c r="H977" s="101">
        <v>307933.44000000006</v>
      </c>
      <c r="I977" s="101">
        <v>86022.560499999992</v>
      </c>
      <c r="J977" s="101">
        <v>0</v>
      </c>
      <c r="K977" s="101">
        <v>0</v>
      </c>
      <c r="L977" s="101">
        <v>0</v>
      </c>
      <c r="M977" s="101">
        <v>0</v>
      </c>
      <c r="N977" s="101">
        <v>0</v>
      </c>
      <c r="O977" s="101">
        <v>92</v>
      </c>
      <c r="P977" s="101">
        <v>302</v>
      </c>
      <c r="Q977" s="101">
        <v>7690</v>
      </c>
      <c r="R977" s="101">
        <v>54364</v>
      </c>
      <c r="S977" s="101">
        <v>22595</v>
      </c>
      <c r="T977" s="169">
        <v>1.02</v>
      </c>
      <c r="U977" s="101">
        <f t="shared" si="85"/>
        <v>93.84</v>
      </c>
      <c r="V977" s="101">
        <f t="shared" si="86"/>
        <v>308.04000000000002</v>
      </c>
      <c r="W977" s="101">
        <f t="shared" si="87"/>
        <v>7843.8</v>
      </c>
      <c r="X977" s="101">
        <f t="shared" si="84"/>
        <v>55451.28</v>
      </c>
      <c r="Y977" s="101">
        <f t="shared" si="88"/>
        <v>23046.9</v>
      </c>
    </row>
    <row r="978" spans="1:25" ht="11.25" hidden="1" customHeight="1" x14ac:dyDescent="0.3">
      <c r="A978" s="126" t="s">
        <v>186</v>
      </c>
      <c r="B978" s="126">
        <v>41</v>
      </c>
      <c r="C978" s="126">
        <v>21</v>
      </c>
      <c r="D978" s="126" t="str">
        <f t="shared" si="83"/>
        <v>4121</v>
      </c>
      <c r="E978" s="101">
        <v>1272</v>
      </c>
      <c r="F978" s="101">
        <v>5867.5</v>
      </c>
      <c r="G978" s="101">
        <v>37708</v>
      </c>
      <c r="H978" s="101">
        <v>461747.83500000002</v>
      </c>
      <c r="I978" s="101">
        <v>192636.08100000001</v>
      </c>
      <c r="J978" s="101">
        <v>1140</v>
      </c>
      <c r="K978" s="101">
        <v>9542</v>
      </c>
      <c r="L978" s="101">
        <v>58969</v>
      </c>
      <c r="M978" s="101">
        <v>699899.33</v>
      </c>
      <c r="N978" s="101">
        <v>205291.16600000003</v>
      </c>
      <c r="O978" s="101">
        <v>839</v>
      </c>
      <c r="P978" s="101">
        <v>8201</v>
      </c>
      <c r="Q978" s="101">
        <v>73135</v>
      </c>
      <c r="R978" s="101">
        <v>786884</v>
      </c>
      <c r="S978" s="101">
        <v>363809</v>
      </c>
      <c r="T978" s="169">
        <v>1.02</v>
      </c>
      <c r="U978" s="101"/>
      <c r="V978" s="101"/>
      <c r="W978" s="101"/>
      <c r="X978" s="101"/>
      <c r="Y978" s="101"/>
    </row>
    <row r="979" spans="1:25" ht="11.25" hidden="1" customHeight="1" x14ac:dyDescent="0.3">
      <c r="A979" s="126" t="s">
        <v>186</v>
      </c>
      <c r="B979" s="126">
        <v>41</v>
      </c>
      <c r="C979" s="126">
        <v>71</v>
      </c>
      <c r="D979" s="126" t="str">
        <f t="shared" si="83"/>
        <v>4171</v>
      </c>
      <c r="E979" s="101">
        <v>396</v>
      </c>
      <c r="F979" s="101">
        <v>10739.5</v>
      </c>
      <c r="G979" s="101">
        <v>53601.5</v>
      </c>
      <c r="H979" s="101">
        <v>354163.98500000004</v>
      </c>
      <c r="I979" s="101">
        <v>213054.77350000004</v>
      </c>
      <c r="J979" s="101">
        <v>465</v>
      </c>
      <c r="K979" s="101">
        <v>9399</v>
      </c>
      <c r="L979" s="101">
        <v>28157</v>
      </c>
      <c r="M979" s="101">
        <v>240741.72</v>
      </c>
      <c r="N979" s="101">
        <v>144638.02799999999</v>
      </c>
      <c r="O979" s="101">
        <v>278</v>
      </c>
      <c r="P979" s="101">
        <v>7635</v>
      </c>
      <c r="Q979" s="101">
        <v>26022</v>
      </c>
      <c r="R979" s="101">
        <v>201398</v>
      </c>
      <c r="S979" s="101">
        <v>104615</v>
      </c>
      <c r="T979" s="169">
        <v>0.98</v>
      </c>
      <c r="U979" s="101">
        <v>468</v>
      </c>
      <c r="V979" s="101">
        <v>17194</v>
      </c>
      <c r="W979" s="101">
        <v>56959</v>
      </c>
      <c r="X979" s="101">
        <v>438458</v>
      </c>
      <c r="Y979" s="101">
        <v>224479</v>
      </c>
    </row>
    <row r="980" spans="1:25" ht="11.25" hidden="1" customHeight="1" x14ac:dyDescent="0.3">
      <c r="A980" s="126" t="s">
        <v>186</v>
      </c>
      <c r="B980" s="126">
        <v>41</v>
      </c>
      <c r="C980" s="126">
        <v>25</v>
      </c>
      <c r="D980" s="126" t="str">
        <f t="shared" si="83"/>
        <v>4125</v>
      </c>
      <c r="E980" s="101">
        <v>1487</v>
      </c>
      <c r="F980" s="101">
        <v>8169</v>
      </c>
      <c r="G980" s="101">
        <v>62501</v>
      </c>
      <c r="H980" s="101">
        <v>736214.04</v>
      </c>
      <c r="I980" s="101">
        <v>336230.79299999995</v>
      </c>
      <c r="J980" s="101">
        <v>760</v>
      </c>
      <c r="K980" s="101">
        <v>8837</v>
      </c>
      <c r="L980" s="101">
        <v>43184</v>
      </c>
      <c r="M980" s="101">
        <v>481959.13</v>
      </c>
      <c r="N980" s="101">
        <v>211656.79300000001</v>
      </c>
      <c r="O980" s="101">
        <v>722</v>
      </c>
      <c r="P980" s="101">
        <v>6309</v>
      </c>
      <c r="Q980" s="101">
        <v>48324</v>
      </c>
      <c r="R980" s="101">
        <v>405945</v>
      </c>
      <c r="S980" s="101">
        <v>251690</v>
      </c>
      <c r="T980" s="169">
        <v>1.02</v>
      </c>
      <c r="U980" s="101">
        <f t="shared" si="85"/>
        <v>736.44</v>
      </c>
      <c r="V980" s="101">
        <f t="shared" si="86"/>
        <v>6435.18</v>
      </c>
      <c r="W980" s="101">
        <f t="shared" si="87"/>
        <v>49290.48</v>
      </c>
      <c r="X980" s="101">
        <f t="shared" si="84"/>
        <v>414063.9</v>
      </c>
      <c r="Y980" s="101">
        <f t="shared" si="88"/>
        <v>256723.80000000002</v>
      </c>
    </row>
    <row r="981" spans="1:25" ht="11.25" hidden="1" customHeight="1" x14ac:dyDescent="0.3">
      <c r="A981" s="126" t="s">
        <v>186</v>
      </c>
      <c r="B981" s="126">
        <v>41</v>
      </c>
      <c r="C981" s="126">
        <v>14</v>
      </c>
      <c r="D981" s="126" t="str">
        <f t="shared" si="83"/>
        <v>4114</v>
      </c>
      <c r="J981" s="101">
        <v>36</v>
      </c>
      <c r="K981" s="101">
        <v>78</v>
      </c>
      <c r="L981" s="101">
        <v>93</v>
      </c>
      <c r="M981" s="101">
        <v>12111.35</v>
      </c>
      <c r="N981" s="101">
        <v>2226.779</v>
      </c>
      <c r="O981" s="101">
        <v>47</v>
      </c>
      <c r="P981" s="101">
        <v>80</v>
      </c>
      <c r="Q981" s="101">
        <v>113</v>
      </c>
      <c r="R981" s="101">
        <v>5687</v>
      </c>
      <c r="S981" s="101">
        <v>1012</v>
      </c>
      <c r="T981" s="169">
        <v>1.02</v>
      </c>
      <c r="U981" s="101">
        <f t="shared" si="85"/>
        <v>47.94</v>
      </c>
      <c r="V981" s="101">
        <f t="shared" si="86"/>
        <v>81.599999999999994</v>
      </c>
      <c r="W981" s="101">
        <f t="shared" si="87"/>
        <v>115.26</v>
      </c>
      <c r="X981" s="101">
        <f t="shared" si="84"/>
        <v>5800.74</v>
      </c>
      <c r="Y981" s="101">
        <f t="shared" si="88"/>
        <v>1032.24</v>
      </c>
    </row>
    <row r="982" spans="1:25" ht="11.25" hidden="1" customHeight="1" x14ac:dyDescent="0.3">
      <c r="A982" s="126" t="s">
        <v>186</v>
      </c>
      <c r="B982" s="126">
        <v>41</v>
      </c>
      <c r="C982" s="126">
        <v>22</v>
      </c>
      <c r="D982" s="126" t="str">
        <f t="shared" si="83"/>
        <v>4122</v>
      </c>
      <c r="J982" s="101">
        <v>12</v>
      </c>
      <c r="K982" s="101">
        <v>18</v>
      </c>
      <c r="L982" s="101">
        <v>145</v>
      </c>
      <c r="M982" s="101">
        <v>1219.8399999999999</v>
      </c>
      <c r="N982" s="101">
        <v>289.23099999999999</v>
      </c>
      <c r="O982" s="101">
        <v>6</v>
      </c>
      <c r="P982" s="101">
        <v>12</v>
      </c>
      <c r="Q982" s="101">
        <v>46</v>
      </c>
      <c r="R982" s="101">
        <v>568</v>
      </c>
      <c r="S982" s="101">
        <v>160</v>
      </c>
      <c r="T982" s="169">
        <v>1.02</v>
      </c>
      <c r="U982" s="101">
        <f t="shared" si="85"/>
        <v>6.12</v>
      </c>
      <c r="V982" s="101">
        <f t="shared" si="86"/>
        <v>12.24</v>
      </c>
      <c r="W982" s="101">
        <f t="shared" si="87"/>
        <v>46.92</v>
      </c>
      <c r="X982" s="101">
        <f t="shared" si="84"/>
        <v>579.36</v>
      </c>
      <c r="Y982" s="101">
        <f t="shared" si="88"/>
        <v>163.19999999999999</v>
      </c>
    </row>
    <row r="983" spans="1:25" ht="11.25" hidden="1" customHeight="1" x14ac:dyDescent="0.3">
      <c r="A983" s="126" t="s">
        <v>186</v>
      </c>
      <c r="B983" s="126">
        <v>41</v>
      </c>
      <c r="C983" s="126">
        <v>26</v>
      </c>
      <c r="D983" s="126" t="str">
        <f t="shared" si="83"/>
        <v>4126</v>
      </c>
      <c r="J983" s="101">
        <v>10</v>
      </c>
      <c r="K983" s="101">
        <v>27</v>
      </c>
      <c r="L983" s="101">
        <v>195</v>
      </c>
      <c r="M983" s="101">
        <v>4438.18</v>
      </c>
      <c r="N983" s="101">
        <v>2249.0909999999999</v>
      </c>
      <c r="O983" s="101">
        <v>1</v>
      </c>
      <c r="P983" s="101">
        <v>1</v>
      </c>
      <c r="Q983" s="101">
        <v>2</v>
      </c>
      <c r="R983" s="101">
        <v>199</v>
      </c>
      <c r="S983" s="101">
        <v>13</v>
      </c>
      <c r="T983" s="169">
        <v>1.02</v>
      </c>
      <c r="U983" s="101">
        <f t="shared" si="85"/>
        <v>1.02</v>
      </c>
      <c r="V983" s="101">
        <f t="shared" si="86"/>
        <v>1.02</v>
      </c>
      <c r="W983" s="101">
        <f t="shared" si="87"/>
        <v>2.04</v>
      </c>
      <c r="X983" s="101">
        <f t="shared" si="84"/>
        <v>202.98</v>
      </c>
      <c r="Y983" s="101">
        <f t="shared" si="88"/>
        <v>13.26</v>
      </c>
    </row>
    <row r="984" spans="1:25" ht="11.25" hidden="1" customHeight="1" x14ac:dyDescent="0.3">
      <c r="A984" s="126" t="s">
        <v>186</v>
      </c>
      <c r="B984" s="126">
        <v>41</v>
      </c>
      <c r="C984" s="126">
        <v>41</v>
      </c>
      <c r="D984" s="126" t="str">
        <f t="shared" si="83"/>
        <v>4141</v>
      </c>
      <c r="J984" s="101">
        <v>3</v>
      </c>
      <c r="K984" s="101">
        <v>19</v>
      </c>
      <c r="L984" s="101">
        <v>130</v>
      </c>
      <c r="M984" s="101">
        <v>636.88</v>
      </c>
      <c r="N984" s="101">
        <v>230.39</v>
      </c>
      <c r="O984" s="101">
        <v>2</v>
      </c>
      <c r="P984" s="101">
        <v>2</v>
      </c>
      <c r="Q984" s="101">
        <v>2</v>
      </c>
      <c r="R984" s="101">
        <v>110</v>
      </c>
      <c r="S984" s="101">
        <v>5</v>
      </c>
      <c r="T984" s="169">
        <v>1.02</v>
      </c>
      <c r="U984" s="101">
        <f t="shared" si="85"/>
        <v>2.04</v>
      </c>
      <c r="V984" s="101">
        <f t="shared" si="86"/>
        <v>2.04</v>
      </c>
      <c r="W984" s="101">
        <f t="shared" si="87"/>
        <v>2.04</v>
      </c>
      <c r="X984" s="101">
        <f t="shared" si="84"/>
        <v>112.2</v>
      </c>
      <c r="Y984" s="101">
        <f t="shared" si="88"/>
        <v>5.0999999999999996</v>
      </c>
    </row>
    <row r="985" spans="1:25" ht="11.25" hidden="1" customHeight="1" x14ac:dyDescent="0.3">
      <c r="A985" s="126" t="s">
        <v>186</v>
      </c>
      <c r="B985" s="126">
        <v>41</v>
      </c>
      <c r="C985" s="126">
        <v>32</v>
      </c>
      <c r="D985" s="126" t="str">
        <f t="shared" si="83"/>
        <v>4132</v>
      </c>
      <c r="J985" s="101">
        <v>36</v>
      </c>
      <c r="K985" s="101">
        <v>56</v>
      </c>
      <c r="L985" s="101">
        <v>853</v>
      </c>
      <c r="M985" s="101">
        <v>18044.07</v>
      </c>
      <c r="N985" s="101">
        <v>5768.616</v>
      </c>
      <c r="O985" s="101">
        <v>44</v>
      </c>
      <c r="P985" s="101">
        <v>266</v>
      </c>
      <c r="Q985" s="101">
        <v>5174</v>
      </c>
      <c r="R985" s="101">
        <v>144229</v>
      </c>
      <c r="S985" s="101">
        <v>60247</v>
      </c>
      <c r="T985" s="169">
        <v>1.02</v>
      </c>
      <c r="U985" s="101">
        <f t="shared" si="85"/>
        <v>44.88</v>
      </c>
      <c r="V985" s="101">
        <f t="shared" si="86"/>
        <v>271.32</v>
      </c>
      <c r="W985" s="101">
        <f t="shared" si="87"/>
        <v>5277.4800000000005</v>
      </c>
      <c r="X985" s="101">
        <f t="shared" si="84"/>
        <v>147113.58000000002</v>
      </c>
      <c r="Y985" s="101">
        <f t="shared" si="88"/>
        <v>61451.94</v>
      </c>
    </row>
    <row r="986" spans="1:25" ht="11.25" hidden="1" customHeight="1" x14ac:dyDescent="0.3">
      <c r="A986" s="126" t="s">
        <v>186</v>
      </c>
      <c r="B986" s="126">
        <v>41</v>
      </c>
      <c r="C986" s="126">
        <v>43</v>
      </c>
      <c r="D986" s="126" t="str">
        <f t="shared" si="83"/>
        <v>4143</v>
      </c>
      <c r="J986" s="101">
        <v>0</v>
      </c>
      <c r="K986" s="101">
        <v>0</v>
      </c>
      <c r="L986" s="101">
        <v>0</v>
      </c>
      <c r="M986" s="101">
        <v>0</v>
      </c>
      <c r="N986" s="101">
        <v>0</v>
      </c>
      <c r="O986" s="101">
        <v>0</v>
      </c>
      <c r="P986" s="101">
        <v>0</v>
      </c>
      <c r="Q986" s="101">
        <v>0</v>
      </c>
      <c r="R986" s="101">
        <v>0</v>
      </c>
      <c r="S986" s="101">
        <v>0</v>
      </c>
      <c r="T986" s="169">
        <v>1.02</v>
      </c>
      <c r="U986" s="101">
        <f t="shared" si="85"/>
        <v>0</v>
      </c>
      <c r="V986" s="101">
        <f t="shared" si="86"/>
        <v>0</v>
      </c>
      <c r="W986" s="101">
        <f t="shared" si="87"/>
        <v>0</v>
      </c>
      <c r="X986" s="101">
        <f t="shared" si="84"/>
        <v>0</v>
      </c>
      <c r="Y986" s="101">
        <f t="shared" si="88"/>
        <v>0</v>
      </c>
    </row>
    <row r="987" spans="1:25" ht="11.25" hidden="1" customHeight="1" x14ac:dyDescent="0.3">
      <c r="A987" s="126" t="s">
        <v>186</v>
      </c>
      <c r="B987" s="126">
        <v>41</v>
      </c>
      <c r="C987" s="126">
        <v>44</v>
      </c>
      <c r="D987" s="126" t="str">
        <f t="shared" si="83"/>
        <v>4144</v>
      </c>
      <c r="J987" s="101">
        <v>0</v>
      </c>
      <c r="K987" s="101">
        <v>0</v>
      </c>
      <c r="L987" s="101">
        <v>0</v>
      </c>
      <c r="M987" s="101">
        <v>0</v>
      </c>
      <c r="N987" s="101">
        <v>0</v>
      </c>
      <c r="O987" s="101">
        <v>0</v>
      </c>
      <c r="P987" s="101">
        <v>0</v>
      </c>
      <c r="Q987" s="101">
        <v>0</v>
      </c>
      <c r="R987" s="101">
        <v>0</v>
      </c>
      <c r="S987" s="101">
        <v>0</v>
      </c>
      <c r="T987" s="169">
        <v>1.02</v>
      </c>
      <c r="U987" s="101">
        <f t="shared" si="85"/>
        <v>0</v>
      </c>
      <c r="V987" s="101">
        <f t="shared" si="86"/>
        <v>0</v>
      </c>
      <c r="W987" s="101">
        <f t="shared" si="87"/>
        <v>0</v>
      </c>
      <c r="X987" s="101">
        <f t="shared" si="84"/>
        <v>0</v>
      </c>
      <c r="Y987" s="101">
        <f t="shared" si="88"/>
        <v>0</v>
      </c>
    </row>
    <row r="988" spans="1:25" ht="11.25" hidden="1" customHeight="1" x14ac:dyDescent="0.3">
      <c r="A988" s="126" t="s">
        <v>186</v>
      </c>
      <c r="B988" s="126">
        <v>41</v>
      </c>
      <c r="C988" s="126">
        <v>45</v>
      </c>
      <c r="D988" s="126" t="str">
        <f t="shared" si="83"/>
        <v>4145</v>
      </c>
      <c r="J988" s="101">
        <v>0</v>
      </c>
      <c r="K988" s="101">
        <v>0</v>
      </c>
      <c r="L988" s="101">
        <v>0</v>
      </c>
      <c r="M988" s="101">
        <v>0</v>
      </c>
      <c r="N988" s="101">
        <v>0</v>
      </c>
      <c r="O988" s="101">
        <v>0</v>
      </c>
      <c r="P988" s="101">
        <v>0</v>
      </c>
      <c r="Q988" s="101">
        <v>0</v>
      </c>
      <c r="R988" s="101">
        <v>0</v>
      </c>
      <c r="S988" s="101">
        <v>0</v>
      </c>
      <c r="T988" s="169">
        <v>1.02</v>
      </c>
      <c r="U988" s="101">
        <f t="shared" si="85"/>
        <v>0</v>
      </c>
      <c r="V988" s="101">
        <f t="shared" si="86"/>
        <v>0</v>
      </c>
      <c r="W988" s="101">
        <f t="shared" si="87"/>
        <v>0</v>
      </c>
      <c r="X988" s="101">
        <f t="shared" si="84"/>
        <v>0</v>
      </c>
      <c r="Y988" s="101">
        <f t="shared" si="88"/>
        <v>0</v>
      </c>
    </row>
    <row r="989" spans="1:25" ht="11.25" hidden="1" customHeight="1" x14ac:dyDescent="0.3">
      <c r="A989" s="126" t="s">
        <v>186</v>
      </c>
      <c r="B989" s="126">
        <v>41</v>
      </c>
      <c r="C989" s="126">
        <v>47</v>
      </c>
      <c r="D989" s="126" t="str">
        <f t="shared" si="83"/>
        <v>4147</v>
      </c>
      <c r="J989" s="101">
        <v>0</v>
      </c>
      <c r="K989" s="101">
        <v>0</v>
      </c>
      <c r="L989" s="101">
        <v>0</v>
      </c>
      <c r="M989" s="101">
        <v>0</v>
      </c>
      <c r="N989" s="101">
        <v>0</v>
      </c>
      <c r="O989" s="101">
        <v>2</v>
      </c>
      <c r="P989" s="101">
        <v>6</v>
      </c>
      <c r="Q989" s="101">
        <v>113</v>
      </c>
      <c r="R989" s="101">
        <v>5311</v>
      </c>
      <c r="S989" s="101">
        <v>1365</v>
      </c>
      <c r="T989" s="169">
        <v>1.02</v>
      </c>
      <c r="U989" s="101">
        <f t="shared" si="85"/>
        <v>2.04</v>
      </c>
      <c r="V989" s="101">
        <f t="shared" si="86"/>
        <v>6.12</v>
      </c>
      <c r="W989" s="101">
        <f t="shared" si="87"/>
        <v>115.26</v>
      </c>
      <c r="X989" s="101">
        <f t="shared" si="84"/>
        <v>5417.22</v>
      </c>
      <c r="Y989" s="101">
        <f t="shared" si="88"/>
        <v>1392.3</v>
      </c>
    </row>
    <row r="990" spans="1:25" ht="11.25" hidden="1" customHeight="1" x14ac:dyDescent="0.3">
      <c r="A990" s="126" t="s">
        <v>186</v>
      </c>
      <c r="B990" s="126">
        <v>41</v>
      </c>
      <c r="C990" s="126">
        <v>91</v>
      </c>
      <c r="D990" s="126" t="str">
        <f t="shared" si="83"/>
        <v>4191</v>
      </c>
      <c r="J990" s="101">
        <v>50</v>
      </c>
      <c r="K990" s="101">
        <v>146</v>
      </c>
      <c r="L990" s="101">
        <v>656</v>
      </c>
      <c r="M990" s="101">
        <v>5247.24</v>
      </c>
      <c r="N990" s="101">
        <v>3338.6590000000001</v>
      </c>
      <c r="O990" s="101">
        <v>39</v>
      </c>
      <c r="P990" s="101">
        <v>251</v>
      </c>
      <c r="Q990" s="101">
        <v>2781</v>
      </c>
      <c r="R990" s="101">
        <v>18056</v>
      </c>
      <c r="S990" s="101">
        <v>7697</v>
      </c>
      <c r="T990" s="169">
        <v>1.02</v>
      </c>
      <c r="U990" s="101">
        <f t="shared" si="85"/>
        <v>39.78</v>
      </c>
      <c r="V990" s="101">
        <f t="shared" si="86"/>
        <v>256.02</v>
      </c>
      <c r="W990" s="101">
        <f t="shared" si="87"/>
        <v>2836.62</v>
      </c>
      <c r="X990" s="101">
        <f t="shared" si="84"/>
        <v>18417.12</v>
      </c>
      <c r="Y990" s="101">
        <f t="shared" si="88"/>
        <v>7850.9400000000005</v>
      </c>
    </row>
    <row r="991" spans="1:25" ht="11.25" hidden="1" customHeight="1" x14ac:dyDescent="0.3">
      <c r="A991" s="126" t="s">
        <v>186</v>
      </c>
      <c r="B991" s="126">
        <v>41</v>
      </c>
      <c r="C991" s="126">
        <v>27</v>
      </c>
      <c r="D991" s="126" t="str">
        <f t="shared" si="83"/>
        <v>4127</v>
      </c>
      <c r="E991" s="101">
        <v>86</v>
      </c>
      <c r="F991" s="101">
        <v>2449</v>
      </c>
      <c r="G991" s="101">
        <v>10576</v>
      </c>
      <c r="H991" s="101">
        <v>121180.16</v>
      </c>
      <c r="I991" s="101">
        <v>44579.121000000006</v>
      </c>
      <c r="J991" s="101">
        <v>106</v>
      </c>
      <c r="K991" s="101">
        <v>2285</v>
      </c>
      <c r="L991" s="101">
        <v>11638</v>
      </c>
      <c r="M991" s="101">
        <v>171498.85</v>
      </c>
      <c r="N991" s="101">
        <v>72918.887000000002</v>
      </c>
      <c r="O991" s="101">
        <v>71</v>
      </c>
      <c r="P991" s="101">
        <v>3158</v>
      </c>
      <c r="Q991" s="101">
        <v>14816</v>
      </c>
      <c r="R991" s="101">
        <v>146331</v>
      </c>
      <c r="S991" s="101">
        <v>57312</v>
      </c>
      <c r="T991" s="169">
        <v>1.02</v>
      </c>
      <c r="U991" s="101">
        <f t="shared" si="85"/>
        <v>72.42</v>
      </c>
      <c r="V991" s="101">
        <f t="shared" si="86"/>
        <v>3221.16</v>
      </c>
      <c r="W991" s="101">
        <f t="shared" si="87"/>
        <v>15112.32</v>
      </c>
      <c r="X991" s="101">
        <f t="shared" si="84"/>
        <v>149257.62</v>
      </c>
      <c r="Y991" s="101">
        <f t="shared" si="88"/>
        <v>58458.239999999998</v>
      </c>
    </row>
    <row r="992" spans="1:25" ht="11.25" customHeight="1" x14ac:dyDescent="0.3">
      <c r="A992" s="126" t="s">
        <v>186</v>
      </c>
      <c r="B992" s="126">
        <v>41</v>
      </c>
      <c r="C992" s="126" t="s">
        <v>172</v>
      </c>
      <c r="D992" s="126" t="str">
        <f t="shared" si="83"/>
        <v>41Uml</v>
      </c>
      <c r="J992" s="101">
        <v>384</v>
      </c>
      <c r="K992" s="101">
        <v>401</v>
      </c>
      <c r="L992" s="101">
        <v>104313</v>
      </c>
      <c r="N992" s="101">
        <v>264720</v>
      </c>
      <c r="O992" s="101">
        <v>377</v>
      </c>
      <c r="P992" s="101">
        <v>383</v>
      </c>
      <c r="Q992" s="101">
        <v>78391</v>
      </c>
      <c r="S992" s="101">
        <v>354983</v>
      </c>
      <c r="T992" s="169">
        <v>1.02</v>
      </c>
      <c r="U992" s="101">
        <f t="shared" si="85"/>
        <v>384.54</v>
      </c>
      <c r="V992" s="101">
        <f t="shared" si="86"/>
        <v>390.66</v>
      </c>
      <c r="W992" s="101">
        <f t="shared" si="87"/>
        <v>79958.820000000007</v>
      </c>
      <c r="X992" s="101">
        <f t="shared" si="84"/>
        <v>0</v>
      </c>
      <c r="Y992" s="101">
        <f t="shared" si="88"/>
        <v>362082.66000000003</v>
      </c>
    </row>
    <row r="993" spans="1:25" ht="11.25" hidden="1" customHeight="1" x14ac:dyDescent="0.3">
      <c r="A993" s="126" t="s">
        <v>186</v>
      </c>
      <c r="B993" s="126">
        <v>41</v>
      </c>
      <c r="C993" s="126">
        <v>37</v>
      </c>
      <c r="D993" s="126" t="str">
        <f t="shared" si="83"/>
        <v>4137</v>
      </c>
      <c r="E993" s="101">
        <v>10.5</v>
      </c>
      <c r="F993" s="101">
        <v>20.25</v>
      </c>
      <c r="G993" s="101">
        <v>531.25</v>
      </c>
      <c r="H993" s="101">
        <v>1989.5875000000001</v>
      </c>
      <c r="I993" s="101">
        <v>1092.4935</v>
      </c>
      <c r="J993" s="101">
        <v>27</v>
      </c>
      <c r="K993" s="101">
        <v>133</v>
      </c>
      <c r="L993" s="101">
        <v>2065</v>
      </c>
      <c r="M993" s="101">
        <v>10158.23</v>
      </c>
      <c r="N993" s="101">
        <v>8421.9950000000008</v>
      </c>
      <c r="O993" s="101">
        <v>22</v>
      </c>
      <c r="P993" s="101">
        <v>74</v>
      </c>
      <c r="Q993" s="101">
        <v>2225</v>
      </c>
      <c r="R993" s="101">
        <v>8633</v>
      </c>
      <c r="S993" s="101">
        <v>2649</v>
      </c>
      <c r="T993" s="169">
        <v>1.02</v>
      </c>
      <c r="U993" s="101">
        <f t="shared" si="85"/>
        <v>22.44</v>
      </c>
      <c r="V993" s="101">
        <f t="shared" si="86"/>
        <v>75.48</v>
      </c>
      <c r="W993" s="101">
        <f t="shared" si="87"/>
        <v>2269.5</v>
      </c>
      <c r="X993" s="101">
        <f t="shared" si="84"/>
        <v>8805.66</v>
      </c>
      <c r="Y993" s="101">
        <f t="shared" si="88"/>
        <v>2701.98</v>
      </c>
    </row>
    <row r="994" spans="1:25" ht="11.25" hidden="1" customHeight="1" x14ac:dyDescent="0.3">
      <c r="A994" s="126" t="s">
        <v>186</v>
      </c>
      <c r="B994" s="126">
        <v>42</v>
      </c>
      <c r="C994" s="126">
        <v>12</v>
      </c>
      <c r="D994" s="126" t="str">
        <f t="shared" si="83"/>
        <v>4212</v>
      </c>
      <c r="E994" s="101">
        <v>42</v>
      </c>
      <c r="F994" s="101">
        <v>70</v>
      </c>
      <c r="G994" s="101">
        <v>107</v>
      </c>
      <c r="H994" s="101">
        <v>1543.21</v>
      </c>
      <c r="I994" s="101">
        <v>229.66000000000003</v>
      </c>
      <c r="J994" s="101">
        <v>18</v>
      </c>
      <c r="K994" s="101">
        <v>27</v>
      </c>
      <c r="L994" s="101">
        <v>35</v>
      </c>
      <c r="M994" s="101">
        <v>698.94</v>
      </c>
      <c r="N994" s="101">
        <v>139.58000000000001</v>
      </c>
      <c r="O994" s="101">
        <v>14</v>
      </c>
      <c r="P994" s="101">
        <v>23</v>
      </c>
      <c r="Q994" s="101">
        <v>30</v>
      </c>
      <c r="R994" s="101">
        <v>678.42</v>
      </c>
      <c r="S994" s="101">
        <v>127.52200000000001</v>
      </c>
      <c r="T994" s="169">
        <v>1.02</v>
      </c>
      <c r="U994" s="101">
        <f t="shared" si="85"/>
        <v>14.280000000000001</v>
      </c>
      <c r="V994" s="101">
        <f t="shared" si="86"/>
        <v>23.46</v>
      </c>
      <c r="W994" s="101">
        <f t="shared" si="87"/>
        <v>30.6</v>
      </c>
      <c r="X994" s="101">
        <f t="shared" si="84"/>
        <v>691.98839999999996</v>
      </c>
      <c r="Y994" s="101">
        <f t="shared" si="88"/>
        <v>130.07244</v>
      </c>
    </row>
    <row r="995" spans="1:25" ht="11.25" hidden="1" customHeight="1" x14ac:dyDescent="0.3">
      <c r="A995" s="126" t="s">
        <v>186</v>
      </c>
      <c r="B995" s="126">
        <v>42</v>
      </c>
      <c r="C995" s="126">
        <v>14</v>
      </c>
      <c r="D995" s="126" t="str">
        <f t="shared" si="83"/>
        <v>4214</v>
      </c>
      <c r="E995" s="101">
        <v>6</v>
      </c>
      <c r="F995" s="101">
        <v>7</v>
      </c>
      <c r="G995" s="101">
        <v>7</v>
      </c>
      <c r="H995" s="101">
        <v>36.06</v>
      </c>
      <c r="I995" s="101">
        <v>4.0259999999999998</v>
      </c>
      <c r="J995" s="101">
        <v>15</v>
      </c>
      <c r="K995" s="101">
        <v>31</v>
      </c>
      <c r="L995" s="101">
        <v>49</v>
      </c>
      <c r="M995" s="101">
        <v>4277.09</v>
      </c>
      <c r="N995" s="101">
        <v>753.23099999999999</v>
      </c>
      <c r="O995" s="101">
        <v>40</v>
      </c>
      <c r="P995" s="101">
        <v>81</v>
      </c>
      <c r="Q995" s="101">
        <v>112</v>
      </c>
      <c r="R995" s="101">
        <v>5803.77</v>
      </c>
      <c r="S995" s="101">
        <v>872.72799999999995</v>
      </c>
      <c r="T995" s="169">
        <v>1.02</v>
      </c>
      <c r="U995" s="101">
        <f t="shared" si="85"/>
        <v>40.799999999999997</v>
      </c>
      <c r="V995" s="101">
        <f t="shared" si="86"/>
        <v>82.62</v>
      </c>
      <c r="W995" s="101">
        <f t="shared" si="87"/>
        <v>114.24000000000001</v>
      </c>
      <c r="X995" s="101">
        <f t="shared" si="84"/>
        <v>5919.8454000000002</v>
      </c>
      <c r="Y995" s="101">
        <f t="shared" si="88"/>
        <v>890.18255999999997</v>
      </c>
    </row>
    <row r="996" spans="1:25" ht="11.25" hidden="1" customHeight="1" x14ac:dyDescent="0.3">
      <c r="A996" s="126" t="s">
        <v>186</v>
      </c>
      <c r="B996" s="126">
        <v>42</v>
      </c>
      <c r="C996" s="126">
        <v>17</v>
      </c>
      <c r="D996" s="126" t="str">
        <f t="shared" si="83"/>
        <v>4217</v>
      </c>
      <c r="E996" s="101">
        <v>3127</v>
      </c>
      <c r="F996" s="101">
        <v>4744</v>
      </c>
      <c r="G996" s="101">
        <v>7161</v>
      </c>
      <c r="H996" s="101">
        <v>215947.63</v>
      </c>
      <c r="I996" s="101">
        <v>46171.567999999999</v>
      </c>
      <c r="J996" s="101">
        <v>1281</v>
      </c>
      <c r="K996" s="101">
        <v>5512</v>
      </c>
      <c r="L996" s="101">
        <v>6570</v>
      </c>
      <c r="M996" s="101">
        <v>92568.34</v>
      </c>
      <c r="N996" s="101">
        <v>17204.512999999999</v>
      </c>
      <c r="O996" s="101">
        <v>1532</v>
      </c>
      <c r="P996" s="101">
        <v>2873</v>
      </c>
      <c r="Q996" s="101">
        <v>3923</v>
      </c>
      <c r="R996" s="101">
        <v>112974.02</v>
      </c>
      <c r="S996" s="101">
        <v>22627.574000000001</v>
      </c>
      <c r="T996" s="169">
        <v>1.02</v>
      </c>
      <c r="U996" s="101">
        <v>2211</v>
      </c>
      <c r="V996" s="101">
        <v>5112</v>
      </c>
      <c r="W996" s="101">
        <v>7300</v>
      </c>
      <c r="X996" s="101">
        <f t="shared" si="84"/>
        <v>115233.5004</v>
      </c>
      <c r="Y996" s="101">
        <v>35000</v>
      </c>
    </row>
    <row r="997" spans="1:25" ht="11.25" hidden="1" customHeight="1" x14ac:dyDescent="0.3">
      <c r="A997" s="126" t="s">
        <v>186</v>
      </c>
      <c r="B997" s="126">
        <v>42</v>
      </c>
      <c r="C997" s="126">
        <v>18</v>
      </c>
      <c r="D997" s="126" t="str">
        <f t="shared" si="83"/>
        <v>4218</v>
      </c>
      <c r="E997" s="101">
        <v>322</v>
      </c>
      <c r="F997" s="101">
        <v>491</v>
      </c>
      <c r="G997" s="101">
        <v>735</v>
      </c>
      <c r="H997" s="101">
        <v>27573.489999999998</v>
      </c>
      <c r="I997" s="101">
        <v>4489.0529999999999</v>
      </c>
      <c r="J997" s="101">
        <v>1694</v>
      </c>
      <c r="K997" s="101">
        <v>1870</v>
      </c>
      <c r="L997" s="101">
        <v>2174</v>
      </c>
      <c r="M997" s="101">
        <v>98611.85</v>
      </c>
      <c r="N997" s="101">
        <v>21401.87</v>
      </c>
      <c r="O997" s="101">
        <v>1498</v>
      </c>
      <c r="P997" s="101">
        <v>1684</v>
      </c>
      <c r="Q997" s="101">
        <v>1857</v>
      </c>
      <c r="R997" s="101">
        <v>76220.929999999993</v>
      </c>
      <c r="S997" s="101">
        <v>20310.148000000001</v>
      </c>
      <c r="T997" s="169">
        <v>0.6</v>
      </c>
      <c r="U997" s="101">
        <f t="shared" si="85"/>
        <v>898.8</v>
      </c>
      <c r="V997" s="101">
        <f t="shared" si="86"/>
        <v>1010.4</v>
      </c>
      <c r="W997" s="101">
        <f t="shared" si="87"/>
        <v>1114.2</v>
      </c>
      <c r="X997" s="101">
        <f t="shared" si="84"/>
        <v>45732.557999999997</v>
      </c>
      <c r="Y997" s="101">
        <f t="shared" si="88"/>
        <v>12186.0888</v>
      </c>
    </row>
    <row r="998" spans="1:25" ht="11.25" hidden="1" customHeight="1" x14ac:dyDescent="0.3">
      <c r="A998" s="126" t="s">
        <v>186</v>
      </c>
      <c r="B998" s="126">
        <v>42</v>
      </c>
      <c r="C998" s="126">
        <v>28</v>
      </c>
      <c r="D998" s="126" t="str">
        <f t="shared" si="83"/>
        <v>4228</v>
      </c>
      <c r="E998" s="101">
        <v>404</v>
      </c>
      <c r="F998" s="101">
        <v>5214</v>
      </c>
      <c r="G998" s="101">
        <v>68568</v>
      </c>
      <c r="H998" s="101">
        <v>1473390.84</v>
      </c>
      <c r="I998" s="101">
        <v>381860.26099999994</v>
      </c>
      <c r="J998" s="101">
        <v>285</v>
      </c>
      <c r="K998" s="101">
        <v>6253</v>
      </c>
      <c r="L998" s="101">
        <v>58732</v>
      </c>
      <c r="M998" s="101">
        <v>1638793.23</v>
      </c>
      <c r="N998" s="101">
        <v>417679.09499999997</v>
      </c>
      <c r="O998" s="101">
        <v>469</v>
      </c>
      <c r="P998" s="101">
        <v>7590</v>
      </c>
      <c r="Q998" s="101">
        <v>91551</v>
      </c>
      <c r="R998" s="101">
        <v>2565284.19</v>
      </c>
      <c r="S998" s="101">
        <v>679288.26500000001</v>
      </c>
      <c r="T998" s="169">
        <v>1.02</v>
      </c>
      <c r="U998" s="101">
        <v>143</v>
      </c>
      <c r="V998" s="101">
        <v>795</v>
      </c>
      <c r="W998" s="101">
        <v>2896</v>
      </c>
      <c r="X998" s="144">
        <f t="shared" si="84"/>
        <v>2616589.8738000002</v>
      </c>
      <c r="Y998" s="101">
        <v>27323</v>
      </c>
    </row>
    <row r="999" spans="1:25" ht="11.25" hidden="1" customHeight="1" x14ac:dyDescent="0.3">
      <c r="A999" s="126" t="s">
        <v>186</v>
      </c>
      <c r="B999" s="126">
        <v>42</v>
      </c>
      <c r="C999" s="126">
        <v>46</v>
      </c>
      <c r="D999" s="126" t="str">
        <f t="shared" si="83"/>
        <v>4246</v>
      </c>
      <c r="E999" s="101">
        <v>366</v>
      </c>
      <c r="F999" s="101">
        <v>804</v>
      </c>
      <c r="G999" s="101">
        <v>22192</v>
      </c>
      <c r="H999" s="101">
        <v>345559.58999999997</v>
      </c>
      <c r="I999" s="101">
        <v>128558.23800000001</v>
      </c>
      <c r="J999" s="101">
        <v>238</v>
      </c>
      <c r="K999" s="101">
        <v>638</v>
      </c>
      <c r="L999" s="101">
        <v>23565</v>
      </c>
      <c r="M999" s="101">
        <v>275914.03999999998</v>
      </c>
      <c r="N999" s="101">
        <v>41599.536999999997</v>
      </c>
      <c r="O999" s="101">
        <v>201</v>
      </c>
      <c r="P999" s="101">
        <v>396</v>
      </c>
      <c r="Q999" s="101">
        <v>19825</v>
      </c>
      <c r="R999" s="101">
        <v>284060.86</v>
      </c>
      <c r="S999" s="101">
        <v>79038.676000000007</v>
      </c>
      <c r="T999" s="169">
        <v>1.02</v>
      </c>
      <c r="U999" s="101">
        <f t="shared" si="85"/>
        <v>205.02</v>
      </c>
      <c r="V999" s="101">
        <f t="shared" si="86"/>
        <v>403.92</v>
      </c>
      <c r="W999" s="101">
        <f t="shared" si="87"/>
        <v>20221.5</v>
      </c>
      <c r="X999" s="101">
        <f t="shared" si="84"/>
        <v>289742.0772</v>
      </c>
      <c r="Y999" s="101">
        <f t="shared" si="88"/>
        <v>80619.449520000009</v>
      </c>
    </row>
    <row r="1000" spans="1:25" ht="11.25" hidden="1" customHeight="1" x14ac:dyDescent="0.3">
      <c r="A1000" s="126" t="s">
        <v>186</v>
      </c>
      <c r="B1000" s="126">
        <v>42</v>
      </c>
      <c r="C1000" s="126">
        <v>48</v>
      </c>
      <c r="D1000" s="126" t="str">
        <f t="shared" si="83"/>
        <v>4248</v>
      </c>
      <c r="E1000" s="101">
        <v>1</v>
      </c>
      <c r="F1000" s="101">
        <v>1</v>
      </c>
      <c r="G1000" s="101">
        <v>300</v>
      </c>
      <c r="H1000" s="101">
        <v>9909</v>
      </c>
      <c r="I1000" s="101">
        <v>2154.96</v>
      </c>
      <c r="J1000" s="101">
        <v>0</v>
      </c>
      <c r="K1000" s="101">
        <v>0</v>
      </c>
      <c r="L1000" s="101">
        <v>0</v>
      </c>
      <c r="M1000" s="101">
        <v>0</v>
      </c>
      <c r="N1000" s="101">
        <v>0</v>
      </c>
      <c r="O1000" s="101">
        <v>0</v>
      </c>
      <c r="P1000" s="101">
        <v>0</v>
      </c>
      <c r="Q1000" s="101">
        <v>0</v>
      </c>
      <c r="R1000" s="101">
        <v>0</v>
      </c>
      <c r="S1000" s="101">
        <v>0</v>
      </c>
      <c r="T1000" s="169">
        <v>1.02</v>
      </c>
      <c r="U1000" s="101">
        <f t="shared" si="85"/>
        <v>0</v>
      </c>
      <c r="V1000" s="101">
        <f t="shared" si="86"/>
        <v>0</v>
      </c>
      <c r="W1000" s="101">
        <f t="shared" si="87"/>
        <v>0</v>
      </c>
      <c r="X1000" s="101">
        <f t="shared" si="84"/>
        <v>0</v>
      </c>
      <c r="Y1000" s="101">
        <f t="shared" si="88"/>
        <v>0</v>
      </c>
    </row>
    <row r="1001" spans="1:25" ht="11.25" hidden="1" customHeight="1" x14ac:dyDescent="0.3">
      <c r="A1001" s="126" t="s">
        <v>186</v>
      </c>
      <c r="B1001" s="126">
        <v>42</v>
      </c>
      <c r="C1001" s="126">
        <v>66</v>
      </c>
      <c r="D1001" s="126" t="str">
        <f t="shared" si="83"/>
        <v>4266</v>
      </c>
      <c r="E1001" s="101">
        <v>364</v>
      </c>
      <c r="F1001" s="101">
        <v>1467</v>
      </c>
      <c r="G1001" s="101">
        <v>55563</v>
      </c>
      <c r="H1001" s="101">
        <v>266303.59999999998</v>
      </c>
      <c r="I1001" s="101">
        <v>141333.739</v>
      </c>
      <c r="J1001" s="101">
        <v>254</v>
      </c>
      <c r="K1001" s="101">
        <v>1812</v>
      </c>
      <c r="L1001" s="101">
        <v>30496</v>
      </c>
      <c r="M1001" s="101">
        <v>250848.49</v>
      </c>
      <c r="N1001" s="101">
        <v>120386.86</v>
      </c>
      <c r="O1001" s="101">
        <v>309</v>
      </c>
      <c r="P1001" s="101">
        <v>1595</v>
      </c>
      <c r="Q1001" s="101">
        <v>38507</v>
      </c>
      <c r="R1001" s="101">
        <v>236196.85</v>
      </c>
      <c r="S1001" s="101">
        <v>103813.06200000001</v>
      </c>
      <c r="T1001" s="169">
        <v>1.02</v>
      </c>
      <c r="U1001" s="101">
        <f t="shared" si="85"/>
        <v>315.18</v>
      </c>
      <c r="V1001" s="101">
        <f t="shared" si="86"/>
        <v>1626.9</v>
      </c>
      <c r="W1001" s="101">
        <f t="shared" si="87"/>
        <v>39277.14</v>
      </c>
      <c r="X1001" s="101">
        <f t="shared" si="84"/>
        <v>240920.78700000001</v>
      </c>
      <c r="Y1001" s="101">
        <f t="shared" si="88"/>
        <v>105889.32324000001</v>
      </c>
    </row>
    <row r="1002" spans="1:25" ht="11.25" hidden="1" customHeight="1" x14ac:dyDescent="0.3">
      <c r="A1002" s="126" t="s">
        <v>186</v>
      </c>
      <c r="B1002" s="126">
        <v>42</v>
      </c>
      <c r="C1002" s="126">
        <v>30</v>
      </c>
      <c r="D1002" s="126" t="str">
        <f t="shared" si="83"/>
        <v>4230</v>
      </c>
      <c r="E1002" s="101">
        <v>266</v>
      </c>
      <c r="F1002" s="101">
        <v>4116</v>
      </c>
      <c r="G1002" s="101">
        <v>17771</v>
      </c>
      <c r="H1002" s="101">
        <v>424688.97499999998</v>
      </c>
      <c r="I1002" s="101">
        <v>127026.867</v>
      </c>
      <c r="J1002" s="101">
        <v>0</v>
      </c>
      <c r="K1002" s="101">
        <v>0</v>
      </c>
      <c r="L1002" s="101">
        <v>0</v>
      </c>
      <c r="M1002" s="101">
        <v>0</v>
      </c>
      <c r="N1002" s="101">
        <v>0</v>
      </c>
      <c r="O1002" s="101">
        <v>58</v>
      </c>
      <c r="P1002" s="101">
        <v>64</v>
      </c>
      <c r="Q1002" s="101">
        <v>510</v>
      </c>
      <c r="R1002" s="101">
        <v>36957.5</v>
      </c>
      <c r="S1002" s="101">
        <v>15199.98</v>
      </c>
      <c r="T1002" s="169">
        <v>1.02</v>
      </c>
      <c r="U1002" s="101">
        <f t="shared" si="85"/>
        <v>59.160000000000004</v>
      </c>
      <c r="V1002" s="101">
        <f t="shared" si="86"/>
        <v>65.28</v>
      </c>
      <c r="W1002" s="101">
        <f t="shared" si="87"/>
        <v>520.20000000000005</v>
      </c>
      <c r="X1002" s="101">
        <f t="shared" si="84"/>
        <v>37696.65</v>
      </c>
      <c r="Y1002" s="101">
        <f t="shared" si="88"/>
        <v>15503.979600000001</v>
      </c>
    </row>
    <row r="1003" spans="1:25" ht="11.25" hidden="1" customHeight="1" x14ac:dyDescent="0.3">
      <c r="A1003" s="126" t="s">
        <v>186</v>
      </c>
      <c r="B1003" s="126">
        <v>42</v>
      </c>
      <c r="C1003" s="126">
        <v>21</v>
      </c>
      <c r="D1003" s="126" t="str">
        <f t="shared" si="83"/>
        <v>4221</v>
      </c>
      <c r="E1003" s="101">
        <v>749.5</v>
      </c>
      <c r="F1003" s="101">
        <v>7907.5</v>
      </c>
      <c r="G1003" s="101">
        <v>41232</v>
      </c>
      <c r="H1003" s="101">
        <v>628038.91</v>
      </c>
      <c r="I1003" s="101">
        <v>187098.67449999999</v>
      </c>
      <c r="J1003" s="101">
        <v>1649</v>
      </c>
      <c r="K1003" s="101">
        <v>14195</v>
      </c>
      <c r="L1003" s="101">
        <v>73709</v>
      </c>
      <c r="M1003" s="101">
        <v>1302817.78</v>
      </c>
      <c r="N1003" s="101">
        <v>434547.52500000002</v>
      </c>
      <c r="O1003" s="101">
        <v>1510</v>
      </c>
      <c r="P1003" s="101">
        <v>11882</v>
      </c>
      <c r="Q1003" s="101">
        <v>67854</v>
      </c>
      <c r="R1003" s="101">
        <v>1036257.63</v>
      </c>
      <c r="S1003" s="101">
        <v>329318.54399999999</v>
      </c>
      <c r="T1003" s="169">
        <v>1.02</v>
      </c>
      <c r="U1003" s="101"/>
      <c r="V1003" s="101"/>
      <c r="W1003" s="101"/>
      <c r="X1003" s="101"/>
      <c r="Y1003" s="101"/>
    </row>
    <row r="1004" spans="1:25" ht="11.25" hidden="1" customHeight="1" x14ac:dyDescent="0.3">
      <c r="A1004" s="126" t="s">
        <v>186</v>
      </c>
      <c r="B1004" s="126">
        <v>42</v>
      </c>
      <c r="C1004" s="126">
        <v>71</v>
      </c>
      <c r="D1004" s="126" t="str">
        <f t="shared" si="83"/>
        <v>4271</v>
      </c>
      <c r="E1004" s="101">
        <v>551.5</v>
      </c>
      <c r="F1004" s="101">
        <v>6013</v>
      </c>
      <c r="G1004" s="101">
        <v>24283</v>
      </c>
      <c r="H1004" s="101">
        <v>150537</v>
      </c>
      <c r="I1004" s="101">
        <v>75422.188500000004</v>
      </c>
      <c r="J1004" s="101">
        <v>603</v>
      </c>
      <c r="K1004" s="101">
        <v>7452</v>
      </c>
      <c r="L1004" s="101">
        <v>25073</v>
      </c>
      <c r="M1004" s="101">
        <v>278695.65000000002</v>
      </c>
      <c r="N1004" s="101">
        <v>139227.10800000001</v>
      </c>
      <c r="O1004" s="101">
        <v>378</v>
      </c>
      <c r="P1004" s="101">
        <v>7911</v>
      </c>
      <c r="Q1004" s="101">
        <v>30006</v>
      </c>
      <c r="R1004" s="101">
        <v>229875.39</v>
      </c>
      <c r="S1004" s="101">
        <v>113971.651</v>
      </c>
      <c r="T1004" s="169">
        <v>0.98</v>
      </c>
      <c r="U1004" s="101">
        <v>556</v>
      </c>
      <c r="V1004" s="101">
        <v>16689</v>
      </c>
      <c r="W1004" s="101">
        <v>60554</v>
      </c>
      <c r="X1004" s="101">
        <v>446184</v>
      </c>
      <c r="Y1004" s="101">
        <v>230645</v>
      </c>
    </row>
    <row r="1005" spans="1:25" ht="11.25" hidden="1" customHeight="1" x14ac:dyDescent="0.3">
      <c r="A1005" s="126" t="s">
        <v>186</v>
      </c>
      <c r="B1005" s="126">
        <v>42</v>
      </c>
      <c r="C1005" s="126">
        <v>25</v>
      </c>
      <c r="D1005" s="126" t="str">
        <f t="shared" si="83"/>
        <v>4225</v>
      </c>
      <c r="E1005" s="101">
        <v>1409</v>
      </c>
      <c r="F1005" s="101">
        <v>7675</v>
      </c>
      <c r="G1005" s="101">
        <v>46024</v>
      </c>
      <c r="H1005" s="101">
        <v>883057.5</v>
      </c>
      <c r="I1005" s="101">
        <v>394179.92599999998</v>
      </c>
      <c r="J1005" s="101">
        <v>883</v>
      </c>
      <c r="K1005" s="101">
        <v>8263</v>
      </c>
      <c r="L1005" s="101">
        <v>43545</v>
      </c>
      <c r="M1005" s="101">
        <v>842284.81</v>
      </c>
      <c r="N1005" s="101">
        <v>328349.58299999998</v>
      </c>
      <c r="O1005" s="101">
        <v>693</v>
      </c>
      <c r="P1005" s="101">
        <v>7122</v>
      </c>
      <c r="Q1005" s="101">
        <v>68633</v>
      </c>
      <c r="R1005" s="101">
        <v>691234.51</v>
      </c>
      <c r="S1005" s="101">
        <v>392319.70799999998</v>
      </c>
      <c r="T1005" s="169">
        <v>1.02</v>
      </c>
      <c r="U1005" s="101">
        <f t="shared" si="85"/>
        <v>706.86</v>
      </c>
      <c r="V1005" s="101">
        <f t="shared" si="86"/>
        <v>7264.4400000000005</v>
      </c>
      <c r="W1005" s="101">
        <f t="shared" si="87"/>
        <v>70005.66</v>
      </c>
      <c r="X1005" s="101">
        <f t="shared" si="84"/>
        <v>705059.20020000008</v>
      </c>
      <c r="Y1005" s="101">
        <f t="shared" si="88"/>
        <v>400166.10216000001</v>
      </c>
    </row>
    <row r="1006" spans="1:25" ht="11.25" hidden="1" customHeight="1" x14ac:dyDescent="0.3">
      <c r="A1006" s="126" t="s">
        <v>186</v>
      </c>
      <c r="B1006" s="126">
        <v>42</v>
      </c>
      <c r="C1006" s="126">
        <v>22</v>
      </c>
      <c r="D1006" s="126" t="str">
        <f t="shared" si="83"/>
        <v>4222</v>
      </c>
      <c r="J1006" s="101">
        <v>30</v>
      </c>
      <c r="K1006" s="101">
        <v>146</v>
      </c>
      <c r="L1006" s="101">
        <v>1078</v>
      </c>
      <c r="M1006" s="101">
        <v>6050.27</v>
      </c>
      <c r="N1006" s="101">
        <v>3526.53</v>
      </c>
      <c r="O1006" s="101">
        <v>34</v>
      </c>
      <c r="P1006" s="101">
        <v>35</v>
      </c>
      <c r="Q1006" s="101">
        <v>308</v>
      </c>
      <c r="R1006" s="101">
        <v>1582.09</v>
      </c>
      <c r="S1006" s="101">
        <v>691.94500000000005</v>
      </c>
      <c r="T1006" s="169">
        <v>1.02</v>
      </c>
      <c r="U1006" s="101">
        <f t="shared" si="85"/>
        <v>34.68</v>
      </c>
      <c r="V1006" s="101">
        <f t="shared" si="86"/>
        <v>35.700000000000003</v>
      </c>
      <c r="W1006" s="101">
        <f t="shared" si="87"/>
        <v>314.16000000000003</v>
      </c>
      <c r="X1006" s="101">
        <f t="shared" si="84"/>
        <v>1613.7318</v>
      </c>
      <c r="Y1006" s="101">
        <f t="shared" si="88"/>
        <v>705.78390000000002</v>
      </c>
    </row>
    <row r="1007" spans="1:25" ht="11.25" hidden="1" customHeight="1" x14ac:dyDescent="0.3">
      <c r="A1007" s="126" t="s">
        <v>186</v>
      </c>
      <c r="B1007" s="126">
        <v>42</v>
      </c>
      <c r="C1007" s="126">
        <v>26</v>
      </c>
      <c r="D1007" s="126" t="str">
        <f t="shared" si="83"/>
        <v>4226</v>
      </c>
      <c r="J1007" s="101">
        <v>17</v>
      </c>
      <c r="K1007" s="101">
        <v>43</v>
      </c>
      <c r="L1007" s="101">
        <v>1000</v>
      </c>
      <c r="M1007" s="101">
        <v>10684.8</v>
      </c>
      <c r="N1007" s="101">
        <v>1485.56</v>
      </c>
      <c r="O1007" s="101">
        <v>0</v>
      </c>
      <c r="P1007" s="101">
        <v>0</v>
      </c>
      <c r="Q1007" s="101">
        <v>0</v>
      </c>
      <c r="R1007" s="101">
        <v>0</v>
      </c>
      <c r="S1007" s="101">
        <v>0</v>
      </c>
      <c r="T1007" s="169">
        <v>1.02</v>
      </c>
      <c r="U1007" s="101">
        <f t="shared" si="85"/>
        <v>0</v>
      </c>
      <c r="V1007" s="101">
        <f t="shared" si="86"/>
        <v>0</v>
      </c>
      <c r="W1007" s="101">
        <f>Q1007*T1007</f>
        <v>0</v>
      </c>
      <c r="X1007" s="101">
        <f t="shared" si="84"/>
        <v>0</v>
      </c>
      <c r="Y1007" s="101">
        <f t="shared" si="88"/>
        <v>0</v>
      </c>
    </row>
    <row r="1008" spans="1:25" ht="11.25" hidden="1" customHeight="1" x14ac:dyDescent="0.3">
      <c r="A1008" s="126" t="s">
        <v>186</v>
      </c>
      <c r="B1008" s="126">
        <v>42</v>
      </c>
      <c r="C1008" s="126">
        <v>32</v>
      </c>
      <c r="D1008" s="126" t="str">
        <f t="shared" si="83"/>
        <v>4232</v>
      </c>
      <c r="J1008" s="101">
        <v>53</v>
      </c>
      <c r="K1008" s="101">
        <v>113</v>
      </c>
      <c r="L1008" s="101">
        <v>2559</v>
      </c>
      <c r="M1008" s="101">
        <v>21295.31</v>
      </c>
      <c r="N1008" s="101">
        <v>9414.2139999999999</v>
      </c>
      <c r="O1008" s="101">
        <v>45</v>
      </c>
      <c r="P1008" s="101">
        <v>428</v>
      </c>
      <c r="Q1008" s="101">
        <v>10478</v>
      </c>
      <c r="R1008" s="101">
        <v>167844.57</v>
      </c>
      <c r="S1008" s="101">
        <v>47082.421000000002</v>
      </c>
      <c r="T1008" s="169">
        <v>1.02</v>
      </c>
      <c r="U1008" s="101">
        <f t="shared" si="85"/>
        <v>45.9</v>
      </c>
      <c r="V1008" s="101">
        <f t="shared" si="86"/>
        <v>436.56</v>
      </c>
      <c r="W1008" s="101">
        <f t="shared" si="87"/>
        <v>10687.56</v>
      </c>
      <c r="X1008" s="101">
        <f t="shared" si="84"/>
        <v>171201.4614</v>
      </c>
      <c r="Y1008" s="101">
        <f t="shared" si="88"/>
        <v>48024.06942</v>
      </c>
    </row>
    <row r="1009" spans="1:25" ht="11.25" hidden="1" customHeight="1" x14ac:dyDescent="0.3">
      <c r="A1009" s="126" t="s">
        <v>186</v>
      </c>
      <c r="B1009" s="126">
        <v>42</v>
      </c>
      <c r="C1009" s="126">
        <v>43</v>
      </c>
      <c r="D1009" s="126" t="str">
        <f t="shared" si="83"/>
        <v>4243</v>
      </c>
      <c r="J1009" s="101">
        <v>0</v>
      </c>
      <c r="K1009" s="101">
        <v>0</v>
      </c>
      <c r="L1009" s="101">
        <v>0</v>
      </c>
      <c r="M1009" s="101">
        <v>0</v>
      </c>
      <c r="N1009" s="101">
        <v>0</v>
      </c>
      <c r="O1009" s="101">
        <v>0</v>
      </c>
      <c r="P1009" s="101">
        <v>0</v>
      </c>
      <c r="Q1009" s="101">
        <v>0</v>
      </c>
      <c r="R1009" s="101">
        <v>0</v>
      </c>
      <c r="S1009" s="101">
        <v>0</v>
      </c>
      <c r="T1009" s="169">
        <v>1.02</v>
      </c>
      <c r="U1009" s="101">
        <f t="shared" si="85"/>
        <v>0</v>
      </c>
      <c r="V1009" s="101">
        <f t="shared" si="86"/>
        <v>0</v>
      </c>
      <c r="W1009" s="101">
        <f t="shared" si="87"/>
        <v>0</v>
      </c>
      <c r="X1009" s="101">
        <f t="shared" si="84"/>
        <v>0</v>
      </c>
      <c r="Y1009" s="101">
        <f t="shared" si="88"/>
        <v>0</v>
      </c>
    </row>
    <row r="1010" spans="1:25" ht="11.25" hidden="1" customHeight="1" x14ac:dyDescent="0.3">
      <c r="A1010" s="126" t="s">
        <v>186</v>
      </c>
      <c r="B1010" s="126">
        <v>42</v>
      </c>
      <c r="C1010" s="126">
        <v>44</v>
      </c>
      <c r="D1010" s="126" t="str">
        <f t="shared" si="83"/>
        <v>4244</v>
      </c>
      <c r="J1010" s="101">
        <v>0</v>
      </c>
      <c r="K1010" s="101">
        <v>0</v>
      </c>
      <c r="L1010" s="101">
        <v>0</v>
      </c>
      <c r="M1010" s="101">
        <v>0</v>
      </c>
      <c r="N1010" s="101">
        <v>0</v>
      </c>
      <c r="O1010" s="101">
        <v>0</v>
      </c>
      <c r="P1010" s="101">
        <v>0</v>
      </c>
      <c r="Q1010" s="101">
        <v>0</v>
      </c>
      <c r="R1010" s="101">
        <v>0</v>
      </c>
      <c r="S1010" s="101">
        <v>0</v>
      </c>
      <c r="T1010" s="169">
        <v>1.02</v>
      </c>
      <c r="U1010" s="101">
        <f t="shared" si="85"/>
        <v>0</v>
      </c>
      <c r="V1010" s="101">
        <f t="shared" si="86"/>
        <v>0</v>
      </c>
      <c r="W1010" s="101">
        <f t="shared" si="87"/>
        <v>0</v>
      </c>
      <c r="X1010" s="101">
        <f t="shared" si="84"/>
        <v>0</v>
      </c>
      <c r="Y1010" s="101">
        <f t="shared" si="88"/>
        <v>0</v>
      </c>
    </row>
    <row r="1011" spans="1:25" ht="11.25" hidden="1" customHeight="1" x14ac:dyDescent="0.3">
      <c r="A1011" s="126" t="s">
        <v>186</v>
      </c>
      <c r="B1011" s="126">
        <v>42</v>
      </c>
      <c r="C1011" s="126">
        <v>45</v>
      </c>
      <c r="D1011" s="126" t="str">
        <f t="shared" si="83"/>
        <v>4245</v>
      </c>
      <c r="J1011" s="101">
        <v>0</v>
      </c>
      <c r="K1011" s="101">
        <v>0</v>
      </c>
      <c r="L1011" s="101">
        <v>0</v>
      </c>
      <c r="M1011" s="101">
        <v>0</v>
      </c>
      <c r="N1011" s="101">
        <v>0</v>
      </c>
      <c r="O1011" s="101">
        <v>0</v>
      </c>
      <c r="P1011" s="101">
        <v>0</v>
      </c>
      <c r="Q1011" s="101">
        <v>0</v>
      </c>
      <c r="R1011" s="101">
        <v>0</v>
      </c>
      <c r="S1011" s="101">
        <v>0</v>
      </c>
      <c r="T1011" s="169">
        <v>1.02</v>
      </c>
      <c r="U1011" s="101">
        <f t="shared" si="85"/>
        <v>0</v>
      </c>
      <c r="V1011" s="101">
        <f t="shared" si="86"/>
        <v>0</v>
      </c>
      <c r="W1011" s="101">
        <f t="shared" si="87"/>
        <v>0</v>
      </c>
      <c r="X1011" s="101">
        <f t="shared" si="84"/>
        <v>0</v>
      </c>
      <c r="Y1011" s="101">
        <f t="shared" si="88"/>
        <v>0</v>
      </c>
    </row>
    <row r="1012" spans="1:25" ht="11.25" hidden="1" customHeight="1" x14ac:dyDescent="0.3">
      <c r="A1012" s="126" t="s">
        <v>186</v>
      </c>
      <c r="B1012" s="126">
        <v>42</v>
      </c>
      <c r="C1012" s="126">
        <v>47</v>
      </c>
      <c r="D1012" s="126" t="str">
        <f t="shared" si="83"/>
        <v>4247</v>
      </c>
      <c r="J1012" s="101">
        <v>0</v>
      </c>
      <c r="K1012" s="101">
        <v>0</v>
      </c>
      <c r="L1012" s="101">
        <v>0</v>
      </c>
      <c r="M1012" s="101">
        <v>0</v>
      </c>
      <c r="N1012" s="101">
        <v>0</v>
      </c>
      <c r="O1012" s="101">
        <v>6</v>
      </c>
      <c r="P1012" s="101">
        <v>9</v>
      </c>
      <c r="Q1012" s="101">
        <v>499</v>
      </c>
      <c r="R1012" s="101">
        <v>5996.8</v>
      </c>
      <c r="S1012" s="101">
        <v>1737.3679999999999</v>
      </c>
      <c r="T1012" s="169">
        <v>1.02</v>
      </c>
      <c r="U1012" s="101">
        <f t="shared" si="85"/>
        <v>6.12</v>
      </c>
      <c r="V1012" s="101">
        <f t="shared" si="86"/>
        <v>9.18</v>
      </c>
      <c r="W1012" s="101">
        <f t="shared" si="87"/>
        <v>508.98</v>
      </c>
      <c r="X1012" s="101">
        <f t="shared" si="84"/>
        <v>6116.7359999999999</v>
      </c>
      <c r="Y1012" s="101">
        <f t="shared" si="88"/>
        <v>1772.11536</v>
      </c>
    </row>
    <row r="1013" spans="1:25" ht="11.25" hidden="1" customHeight="1" x14ac:dyDescent="0.3">
      <c r="A1013" s="126" t="s">
        <v>186</v>
      </c>
      <c r="B1013" s="126">
        <v>42</v>
      </c>
      <c r="C1013" s="126">
        <v>41</v>
      </c>
      <c r="D1013" s="126" t="str">
        <f t="shared" si="83"/>
        <v>4241</v>
      </c>
      <c r="J1013" s="101">
        <v>1</v>
      </c>
      <c r="K1013" s="101">
        <v>3</v>
      </c>
      <c r="L1013" s="101">
        <v>400</v>
      </c>
      <c r="M1013" s="101">
        <v>1444</v>
      </c>
      <c r="N1013" s="101">
        <v>525.78300000000002</v>
      </c>
      <c r="O1013" s="101">
        <v>0</v>
      </c>
      <c r="P1013" s="101">
        <v>0</v>
      </c>
      <c r="Q1013" s="101">
        <v>0</v>
      </c>
      <c r="R1013" s="101">
        <v>0</v>
      </c>
      <c r="S1013" s="101">
        <v>0</v>
      </c>
      <c r="T1013" s="169">
        <v>1.02</v>
      </c>
      <c r="U1013" s="101">
        <f t="shared" si="85"/>
        <v>0</v>
      </c>
      <c r="V1013" s="101">
        <f t="shared" si="86"/>
        <v>0</v>
      </c>
      <c r="W1013" s="101">
        <f t="shared" si="87"/>
        <v>0</v>
      </c>
      <c r="X1013" s="101">
        <f t="shared" si="84"/>
        <v>0</v>
      </c>
      <c r="Y1013" s="101">
        <f t="shared" si="88"/>
        <v>0</v>
      </c>
    </row>
    <row r="1014" spans="1:25" ht="11.25" hidden="1" customHeight="1" x14ac:dyDescent="0.3">
      <c r="A1014" s="126" t="s">
        <v>186</v>
      </c>
      <c r="B1014" s="126">
        <v>42</v>
      </c>
      <c r="C1014" s="126">
        <v>91</v>
      </c>
      <c r="D1014" s="126" t="str">
        <f t="shared" si="83"/>
        <v>4291</v>
      </c>
      <c r="J1014" s="101">
        <v>41</v>
      </c>
      <c r="K1014" s="101">
        <v>181</v>
      </c>
      <c r="L1014" s="101">
        <v>956</v>
      </c>
      <c r="M1014" s="101">
        <v>6126.15</v>
      </c>
      <c r="N1014" s="101">
        <v>2895.364</v>
      </c>
      <c r="O1014" s="101">
        <v>42</v>
      </c>
      <c r="P1014" s="101">
        <v>92</v>
      </c>
      <c r="Q1014" s="101">
        <v>450</v>
      </c>
      <c r="R1014" s="101">
        <v>3625.1</v>
      </c>
      <c r="S1014" s="101">
        <v>2146.1559999999999</v>
      </c>
      <c r="T1014" s="169">
        <v>1.02</v>
      </c>
      <c r="U1014" s="101">
        <f t="shared" si="85"/>
        <v>42.84</v>
      </c>
      <c r="V1014" s="101">
        <f t="shared" si="86"/>
        <v>93.84</v>
      </c>
      <c r="W1014" s="101">
        <f t="shared" si="87"/>
        <v>459</v>
      </c>
      <c r="X1014" s="101">
        <f t="shared" si="84"/>
        <v>3697.6019999999999</v>
      </c>
      <c r="Y1014" s="101">
        <f t="shared" si="88"/>
        <v>2189.0791199999999</v>
      </c>
    </row>
    <row r="1015" spans="1:25" ht="11.25" hidden="1" customHeight="1" x14ac:dyDescent="0.3">
      <c r="A1015" s="126" t="s">
        <v>186</v>
      </c>
      <c r="B1015" s="126">
        <v>42</v>
      </c>
      <c r="C1015" s="126">
        <v>27</v>
      </c>
      <c r="D1015" s="126" t="str">
        <f t="shared" si="83"/>
        <v>4227</v>
      </c>
      <c r="E1015" s="101">
        <v>90</v>
      </c>
      <c r="F1015" s="101">
        <v>2141</v>
      </c>
      <c r="G1015" s="101">
        <v>10111</v>
      </c>
      <c r="H1015" s="101">
        <v>120179.33000000002</v>
      </c>
      <c r="I1015" s="101">
        <v>45307.433999999994</v>
      </c>
      <c r="J1015" s="101">
        <v>102</v>
      </c>
      <c r="K1015" s="101">
        <v>3598</v>
      </c>
      <c r="L1015" s="101">
        <v>17967</v>
      </c>
      <c r="M1015" s="101">
        <v>254070.46</v>
      </c>
      <c r="N1015" s="101">
        <v>91286.607000000004</v>
      </c>
      <c r="O1015" s="101">
        <v>96</v>
      </c>
      <c r="P1015" s="101">
        <v>2905</v>
      </c>
      <c r="Q1015" s="101">
        <v>16382</v>
      </c>
      <c r="R1015" s="101">
        <v>146280.19</v>
      </c>
      <c r="S1015" s="101">
        <v>58617.898999999998</v>
      </c>
      <c r="T1015" s="169">
        <v>1.02</v>
      </c>
      <c r="U1015" s="101">
        <f t="shared" si="85"/>
        <v>97.92</v>
      </c>
      <c r="V1015" s="101">
        <f t="shared" si="86"/>
        <v>2963.1</v>
      </c>
      <c r="W1015" s="101">
        <f t="shared" si="87"/>
        <v>16709.64</v>
      </c>
      <c r="X1015" s="101">
        <f t="shared" si="84"/>
        <v>149205.79380000001</v>
      </c>
      <c r="Y1015" s="101">
        <f t="shared" si="88"/>
        <v>59790.256979999998</v>
      </c>
    </row>
    <row r="1016" spans="1:25" ht="11.25" customHeight="1" x14ac:dyDescent="0.3">
      <c r="A1016" s="126" t="s">
        <v>186</v>
      </c>
      <c r="B1016" s="126">
        <v>42</v>
      </c>
      <c r="C1016" s="126" t="s">
        <v>172</v>
      </c>
      <c r="D1016" s="126" t="str">
        <f t="shared" si="83"/>
        <v>42Uml</v>
      </c>
      <c r="J1016" s="101">
        <v>300</v>
      </c>
      <c r="K1016" s="101">
        <v>301</v>
      </c>
      <c r="L1016" s="101">
        <v>145298</v>
      </c>
      <c r="N1016" s="101">
        <v>357575</v>
      </c>
      <c r="O1016" s="101">
        <v>304</v>
      </c>
      <c r="P1016" s="101">
        <v>314</v>
      </c>
      <c r="Q1016" s="101">
        <v>89639</v>
      </c>
      <c r="S1016" s="101">
        <v>293008</v>
      </c>
      <c r="T1016" s="169">
        <v>1.02</v>
      </c>
      <c r="U1016" s="101">
        <f t="shared" si="85"/>
        <v>310.08</v>
      </c>
      <c r="V1016" s="101">
        <f t="shared" si="86"/>
        <v>320.28000000000003</v>
      </c>
      <c r="W1016" s="101">
        <f t="shared" si="87"/>
        <v>91431.78</v>
      </c>
      <c r="X1016" s="101">
        <f t="shared" si="84"/>
        <v>0</v>
      </c>
      <c r="Y1016" s="101">
        <f t="shared" si="88"/>
        <v>298868.16000000003</v>
      </c>
    </row>
    <row r="1017" spans="1:25" ht="11.25" hidden="1" customHeight="1" x14ac:dyDescent="0.3">
      <c r="A1017" s="126" t="s">
        <v>186</v>
      </c>
      <c r="B1017" s="126">
        <v>42</v>
      </c>
      <c r="C1017" s="126">
        <v>37</v>
      </c>
      <c r="D1017" s="126" t="str">
        <f t="shared" si="83"/>
        <v>4237</v>
      </c>
      <c r="E1017" s="101">
        <v>6</v>
      </c>
      <c r="F1017" s="101">
        <v>19</v>
      </c>
      <c r="G1017" s="101">
        <v>322.5</v>
      </c>
      <c r="H1017" s="101">
        <v>1508.8425</v>
      </c>
      <c r="I1017" s="101">
        <v>514.52299999999991</v>
      </c>
      <c r="J1017" s="101">
        <v>26</v>
      </c>
      <c r="K1017" s="101">
        <v>183</v>
      </c>
      <c r="L1017" s="101">
        <v>50955</v>
      </c>
      <c r="M1017" s="101">
        <v>45568.28</v>
      </c>
      <c r="N1017" s="101">
        <v>26744.5</v>
      </c>
      <c r="O1017" s="101">
        <v>33</v>
      </c>
      <c r="P1017" s="101">
        <v>111</v>
      </c>
      <c r="Q1017" s="101">
        <v>1920</v>
      </c>
      <c r="R1017" s="101">
        <v>10587.14</v>
      </c>
      <c r="S1017" s="101">
        <v>6124.4319999999998</v>
      </c>
      <c r="T1017" s="169">
        <v>1.02</v>
      </c>
      <c r="U1017" s="101">
        <f t="shared" si="85"/>
        <v>33.660000000000004</v>
      </c>
      <c r="V1017" s="101">
        <f t="shared" si="86"/>
        <v>113.22</v>
      </c>
      <c r="W1017" s="101">
        <f t="shared" si="87"/>
        <v>1958.4</v>
      </c>
      <c r="X1017" s="101">
        <f t="shared" si="84"/>
        <v>10798.882799999999</v>
      </c>
      <c r="Y1017" s="101">
        <f t="shared" si="88"/>
        <v>6246.9206400000003</v>
      </c>
    </row>
    <row r="1018" spans="1:25" ht="11.25" hidden="1" customHeight="1" x14ac:dyDescent="0.3">
      <c r="A1018" s="126" t="s">
        <v>186</v>
      </c>
      <c r="B1018" s="126">
        <v>43</v>
      </c>
      <c r="C1018" s="126">
        <v>12</v>
      </c>
      <c r="D1018" s="126" t="str">
        <f t="shared" si="83"/>
        <v>4312</v>
      </c>
      <c r="E1018" s="101">
        <v>36</v>
      </c>
      <c r="F1018" s="101">
        <v>53</v>
      </c>
      <c r="G1018" s="101">
        <v>87</v>
      </c>
      <c r="H1018" s="101">
        <v>1332.8899999999999</v>
      </c>
      <c r="I1018" s="101">
        <v>333.99099999999999</v>
      </c>
      <c r="J1018" s="101">
        <v>28</v>
      </c>
      <c r="K1018" s="101">
        <v>39</v>
      </c>
      <c r="L1018" s="101">
        <v>56</v>
      </c>
      <c r="M1018" s="101">
        <v>923.09999999999991</v>
      </c>
      <c r="N1018" s="101">
        <v>329.899</v>
      </c>
      <c r="O1018" s="101">
        <v>12</v>
      </c>
      <c r="P1018" s="101">
        <v>17</v>
      </c>
      <c r="Q1018" s="101">
        <v>19</v>
      </c>
      <c r="R1018" s="101">
        <v>568.83000000000004</v>
      </c>
      <c r="S1018" s="101">
        <v>76.647000000000006</v>
      </c>
      <c r="T1018" s="169">
        <v>1.02</v>
      </c>
      <c r="U1018" s="101">
        <f t="shared" si="85"/>
        <v>12.24</v>
      </c>
      <c r="V1018" s="101">
        <f t="shared" si="86"/>
        <v>17.34</v>
      </c>
      <c r="W1018" s="101">
        <f t="shared" si="87"/>
        <v>19.38</v>
      </c>
      <c r="X1018" s="101">
        <f t="shared" si="84"/>
        <v>580.20660000000009</v>
      </c>
      <c r="Y1018" s="101">
        <f t="shared" si="88"/>
        <v>78.179940000000002</v>
      </c>
    </row>
    <row r="1019" spans="1:25" ht="11.25" hidden="1" customHeight="1" x14ac:dyDescent="0.3">
      <c r="A1019" s="126" t="s">
        <v>186</v>
      </c>
      <c r="B1019" s="126">
        <v>43</v>
      </c>
      <c r="C1019" s="126">
        <v>14</v>
      </c>
      <c r="D1019" s="126" t="str">
        <f t="shared" si="83"/>
        <v>4314</v>
      </c>
      <c r="E1019" s="101">
        <v>13</v>
      </c>
      <c r="F1019" s="101">
        <v>15</v>
      </c>
      <c r="G1019" s="101">
        <v>17</v>
      </c>
      <c r="H1019" s="101">
        <v>1901.79</v>
      </c>
      <c r="I1019" s="101">
        <v>544.255</v>
      </c>
      <c r="J1019" s="101">
        <v>24</v>
      </c>
      <c r="K1019" s="101">
        <v>64</v>
      </c>
      <c r="L1019" s="101">
        <v>83</v>
      </c>
      <c r="M1019" s="101">
        <v>6094.23</v>
      </c>
      <c r="N1019" s="101">
        <v>817.12700000000007</v>
      </c>
      <c r="O1019" s="101">
        <v>45</v>
      </c>
      <c r="P1019" s="101">
        <v>88</v>
      </c>
      <c r="Q1019" s="101">
        <v>131</v>
      </c>
      <c r="R1019" s="101">
        <v>5676.14</v>
      </c>
      <c r="S1019" s="101">
        <v>895.25400000000002</v>
      </c>
      <c r="T1019" s="169">
        <v>1.02</v>
      </c>
      <c r="U1019" s="101">
        <f t="shared" si="85"/>
        <v>45.9</v>
      </c>
      <c r="V1019" s="101">
        <f t="shared" si="86"/>
        <v>89.76</v>
      </c>
      <c r="W1019" s="101">
        <f t="shared" si="87"/>
        <v>133.62</v>
      </c>
      <c r="X1019" s="101">
        <f t="shared" si="84"/>
        <v>5789.6628000000001</v>
      </c>
      <c r="Y1019" s="101">
        <f t="shared" si="88"/>
        <v>913.15908000000002</v>
      </c>
    </row>
    <row r="1020" spans="1:25" ht="11.25" hidden="1" customHeight="1" x14ac:dyDescent="0.3">
      <c r="A1020" s="126" t="s">
        <v>186</v>
      </c>
      <c r="B1020" s="126">
        <v>43</v>
      </c>
      <c r="C1020" s="126">
        <v>17</v>
      </c>
      <c r="D1020" s="126" t="str">
        <f t="shared" si="83"/>
        <v>4317</v>
      </c>
      <c r="E1020" s="101">
        <v>2779</v>
      </c>
      <c r="F1020" s="101">
        <v>3898</v>
      </c>
      <c r="G1020" s="101">
        <v>5649</v>
      </c>
      <c r="H1020" s="101">
        <v>192343.67999999999</v>
      </c>
      <c r="I1020" s="101">
        <v>38366.851000000002</v>
      </c>
      <c r="J1020" s="101">
        <v>1185</v>
      </c>
      <c r="K1020" s="101">
        <v>3985</v>
      </c>
      <c r="L1020" s="101">
        <v>5049</v>
      </c>
      <c r="M1020" s="101">
        <v>93284.96</v>
      </c>
      <c r="N1020" s="101">
        <v>15866.66</v>
      </c>
      <c r="O1020" s="101">
        <v>1263</v>
      </c>
      <c r="P1020" s="101">
        <v>2304</v>
      </c>
      <c r="Q1020" s="101">
        <v>3297</v>
      </c>
      <c r="R1020" s="101">
        <v>98201.15</v>
      </c>
      <c r="S1020" s="101">
        <v>15846.462</v>
      </c>
      <c r="T1020" s="169">
        <v>1.02</v>
      </c>
      <c r="U1020" s="101">
        <v>2211</v>
      </c>
      <c r="V1020" s="101">
        <v>5112</v>
      </c>
      <c r="W1020" s="101">
        <v>7300</v>
      </c>
      <c r="X1020" s="101">
        <f t="shared" si="84"/>
        <v>100165.173</v>
      </c>
      <c r="Y1020" s="101">
        <v>35000</v>
      </c>
    </row>
    <row r="1021" spans="1:25" ht="11.25" hidden="1" customHeight="1" x14ac:dyDescent="0.3">
      <c r="A1021" s="126" t="s">
        <v>186</v>
      </c>
      <c r="B1021" s="126">
        <v>43</v>
      </c>
      <c r="C1021" s="126">
        <v>18</v>
      </c>
      <c r="D1021" s="126" t="str">
        <f t="shared" si="83"/>
        <v>4318</v>
      </c>
      <c r="E1021" s="101">
        <v>336</v>
      </c>
      <c r="F1021" s="101">
        <v>430</v>
      </c>
      <c r="G1021" s="101">
        <v>550</v>
      </c>
      <c r="H1021" s="101">
        <v>25344.26</v>
      </c>
      <c r="I1021" s="101">
        <v>4249.2730000000001</v>
      </c>
      <c r="J1021" s="101">
        <v>1983</v>
      </c>
      <c r="K1021" s="101">
        <v>2175</v>
      </c>
      <c r="L1021" s="101">
        <v>2406</v>
      </c>
      <c r="M1021" s="101">
        <v>122064.92000000001</v>
      </c>
      <c r="N1021" s="101">
        <v>28134.920999999998</v>
      </c>
      <c r="O1021" s="101">
        <v>1799</v>
      </c>
      <c r="P1021" s="101">
        <v>2090</v>
      </c>
      <c r="Q1021" s="101">
        <v>10107</v>
      </c>
      <c r="R1021" s="101">
        <v>104834.01</v>
      </c>
      <c r="S1021" s="101">
        <v>198541.79</v>
      </c>
      <c r="T1021" s="169">
        <v>0.6</v>
      </c>
      <c r="U1021" s="101">
        <f t="shared" si="85"/>
        <v>1079.3999999999999</v>
      </c>
      <c r="V1021" s="101">
        <f t="shared" si="86"/>
        <v>1254</v>
      </c>
      <c r="W1021" s="101">
        <f t="shared" si="87"/>
        <v>6064.2</v>
      </c>
      <c r="X1021" s="101">
        <f t="shared" si="84"/>
        <v>62900.405999999995</v>
      </c>
      <c r="Y1021" s="101">
        <f t="shared" si="88"/>
        <v>119125.07399999999</v>
      </c>
    </row>
    <row r="1022" spans="1:25" ht="11.25" hidden="1" customHeight="1" x14ac:dyDescent="0.3">
      <c r="A1022" s="126" t="s">
        <v>186</v>
      </c>
      <c r="B1022" s="126">
        <v>43</v>
      </c>
      <c r="C1022" s="126">
        <v>28</v>
      </c>
      <c r="D1022" s="126" t="str">
        <f t="shared" si="83"/>
        <v>4328</v>
      </c>
      <c r="E1022" s="101">
        <v>481</v>
      </c>
      <c r="F1022" s="101">
        <v>6113</v>
      </c>
      <c r="G1022" s="101">
        <v>85222</v>
      </c>
      <c r="H1022" s="101">
        <v>1782423.4499999997</v>
      </c>
      <c r="I1022" s="101">
        <v>406062.33199999994</v>
      </c>
      <c r="J1022" s="101">
        <v>390</v>
      </c>
      <c r="K1022" s="101">
        <v>8239</v>
      </c>
      <c r="L1022" s="101">
        <v>81607</v>
      </c>
      <c r="M1022" s="101">
        <v>1632003.93</v>
      </c>
      <c r="N1022" s="101">
        <v>556863.29</v>
      </c>
      <c r="O1022" s="101">
        <v>456</v>
      </c>
      <c r="P1022" s="101">
        <v>7249</v>
      </c>
      <c r="Q1022" s="101">
        <v>84111</v>
      </c>
      <c r="R1022" s="101">
        <v>2202313.4300000002</v>
      </c>
      <c r="S1022" s="101">
        <v>532246.87800000003</v>
      </c>
      <c r="T1022" s="169">
        <v>1.02</v>
      </c>
      <c r="U1022" s="101">
        <v>216</v>
      </c>
      <c r="V1022" s="101">
        <v>600</v>
      </c>
      <c r="W1022" s="101">
        <v>3032</v>
      </c>
      <c r="X1022" s="144">
        <f t="shared" si="84"/>
        <v>2246359.6986000002</v>
      </c>
      <c r="Y1022" s="101">
        <v>28083</v>
      </c>
    </row>
    <row r="1023" spans="1:25" ht="11.25" hidden="1" customHeight="1" x14ac:dyDescent="0.3">
      <c r="A1023" s="126" t="s">
        <v>186</v>
      </c>
      <c r="B1023" s="126">
        <v>43</v>
      </c>
      <c r="C1023" s="126">
        <v>46</v>
      </c>
      <c r="D1023" s="126" t="str">
        <f t="shared" si="83"/>
        <v>4346</v>
      </c>
      <c r="E1023" s="101">
        <v>362</v>
      </c>
      <c r="F1023" s="101">
        <v>812</v>
      </c>
      <c r="G1023" s="101">
        <v>28231</v>
      </c>
      <c r="H1023" s="101">
        <v>421986.81</v>
      </c>
      <c r="I1023" s="101">
        <v>126792.15100000001</v>
      </c>
      <c r="J1023" s="101">
        <v>247</v>
      </c>
      <c r="K1023" s="101">
        <v>539</v>
      </c>
      <c r="L1023" s="101">
        <v>12838</v>
      </c>
      <c r="M1023" s="101">
        <v>268554.77</v>
      </c>
      <c r="N1023" s="101">
        <v>69493.221999999994</v>
      </c>
      <c r="O1023" s="101">
        <v>385</v>
      </c>
      <c r="P1023" s="101">
        <v>596</v>
      </c>
      <c r="Q1023" s="101">
        <v>33902</v>
      </c>
      <c r="R1023" s="101">
        <v>669965.14</v>
      </c>
      <c r="S1023" s="101">
        <v>384511.57500000001</v>
      </c>
      <c r="T1023" s="169">
        <v>1.02</v>
      </c>
      <c r="U1023" s="101">
        <f t="shared" si="85"/>
        <v>392.7</v>
      </c>
      <c r="V1023" s="101">
        <f t="shared" si="86"/>
        <v>607.91999999999996</v>
      </c>
      <c r="W1023" s="101">
        <f t="shared" si="87"/>
        <v>34580.04</v>
      </c>
      <c r="X1023" s="101">
        <f t="shared" si="84"/>
        <v>683364.44280000008</v>
      </c>
      <c r="Y1023" s="101">
        <f t="shared" si="88"/>
        <v>392201.80650000001</v>
      </c>
    </row>
    <row r="1024" spans="1:25" ht="11.25" hidden="1" customHeight="1" x14ac:dyDescent="0.3">
      <c r="A1024" s="126" t="s">
        <v>186</v>
      </c>
      <c r="B1024" s="126">
        <v>43</v>
      </c>
      <c r="C1024" s="126">
        <v>66</v>
      </c>
      <c r="D1024" s="126" t="str">
        <f t="shared" si="83"/>
        <v>4366</v>
      </c>
      <c r="E1024" s="101">
        <v>447</v>
      </c>
      <c r="F1024" s="101">
        <v>2167</v>
      </c>
      <c r="G1024" s="101">
        <v>40120</v>
      </c>
      <c r="H1024" s="101">
        <v>224160.03999999998</v>
      </c>
      <c r="I1024" s="101">
        <v>136665.08099999998</v>
      </c>
      <c r="J1024" s="101">
        <v>198</v>
      </c>
      <c r="K1024" s="101">
        <v>1597</v>
      </c>
      <c r="L1024" s="101">
        <v>34743</v>
      </c>
      <c r="M1024" s="101">
        <v>213063.16</v>
      </c>
      <c r="N1024" s="101">
        <v>108730.62299999998</v>
      </c>
      <c r="O1024" s="101">
        <v>274</v>
      </c>
      <c r="P1024" s="101">
        <v>1578</v>
      </c>
      <c r="Q1024" s="101">
        <v>28148</v>
      </c>
      <c r="R1024" s="101">
        <v>171435.68</v>
      </c>
      <c r="S1024" s="101">
        <v>84291.337</v>
      </c>
      <c r="T1024" s="169">
        <v>1.02</v>
      </c>
      <c r="U1024" s="101">
        <f t="shared" si="85"/>
        <v>279.48</v>
      </c>
      <c r="V1024" s="101">
        <f t="shared" si="86"/>
        <v>1609.56</v>
      </c>
      <c r="W1024" s="101">
        <f t="shared" si="87"/>
        <v>28710.959999999999</v>
      </c>
      <c r="X1024" s="101">
        <f t="shared" si="84"/>
        <v>174864.39360000001</v>
      </c>
      <c r="Y1024" s="101">
        <f t="shared" si="88"/>
        <v>85977.163740000004</v>
      </c>
    </row>
    <row r="1025" spans="1:25" ht="11.25" hidden="1" customHeight="1" x14ac:dyDescent="0.3">
      <c r="A1025" s="126" t="s">
        <v>186</v>
      </c>
      <c r="B1025" s="126">
        <v>43</v>
      </c>
      <c r="C1025" s="126">
        <v>30</v>
      </c>
      <c r="D1025" s="126" t="str">
        <f t="shared" si="83"/>
        <v>4330</v>
      </c>
      <c r="E1025" s="101">
        <v>524.5</v>
      </c>
      <c r="F1025" s="101">
        <v>4989</v>
      </c>
      <c r="G1025" s="101">
        <v>22952</v>
      </c>
      <c r="H1025" s="101">
        <v>503427.45999999996</v>
      </c>
      <c r="I1025" s="101">
        <v>161119.33350000001</v>
      </c>
      <c r="J1025" s="101">
        <v>0</v>
      </c>
      <c r="K1025" s="101">
        <v>0</v>
      </c>
      <c r="L1025" s="101">
        <v>0</v>
      </c>
      <c r="M1025" s="101">
        <v>0</v>
      </c>
      <c r="N1025" s="101">
        <v>0</v>
      </c>
      <c r="O1025" s="101">
        <v>86</v>
      </c>
      <c r="P1025" s="101">
        <v>119</v>
      </c>
      <c r="Q1025" s="101">
        <v>1230</v>
      </c>
      <c r="R1025" s="101">
        <v>84097.29</v>
      </c>
      <c r="S1025" s="101">
        <v>29281.498</v>
      </c>
      <c r="T1025" s="169">
        <v>1.02</v>
      </c>
      <c r="U1025" s="101">
        <f t="shared" si="85"/>
        <v>87.72</v>
      </c>
      <c r="V1025" s="101">
        <f t="shared" si="86"/>
        <v>121.38</v>
      </c>
      <c r="W1025" s="101">
        <f t="shared" si="87"/>
        <v>1254.5999999999999</v>
      </c>
      <c r="X1025" s="101">
        <f t="shared" si="84"/>
        <v>85779.235799999995</v>
      </c>
      <c r="Y1025" s="101">
        <f t="shared" si="88"/>
        <v>29867.127960000002</v>
      </c>
    </row>
    <row r="1026" spans="1:25" ht="12" hidden="1" customHeight="1" x14ac:dyDescent="0.3">
      <c r="A1026" s="126" t="s">
        <v>186</v>
      </c>
      <c r="B1026" s="126">
        <v>43</v>
      </c>
      <c r="C1026" s="126">
        <v>21</v>
      </c>
      <c r="D1026" s="126" t="str">
        <f t="shared" si="83"/>
        <v>4321</v>
      </c>
      <c r="E1026" s="101">
        <v>1415.5</v>
      </c>
      <c r="F1026" s="101">
        <v>6871.5</v>
      </c>
      <c r="G1026" s="101">
        <v>36762</v>
      </c>
      <c r="H1026" s="101">
        <v>518764.67000000004</v>
      </c>
      <c r="I1026" s="101">
        <v>169111.78400000001</v>
      </c>
      <c r="J1026" s="101">
        <v>1130</v>
      </c>
      <c r="K1026" s="101">
        <v>8762</v>
      </c>
      <c r="L1026" s="101">
        <v>42523</v>
      </c>
      <c r="M1026" s="101">
        <v>655058.73</v>
      </c>
      <c r="N1026" s="101">
        <v>170053.24800000002</v>
      </c>
      <c r="O1026" s="101">
        <v>988</v>
      </c>
      <c r="P1026" s="101">
        <v>8808</v>
      </c>
      <c r="Q1026" s="101">
        <v>75912</v>
      </c>
      <c r="R1026" s="101">
        <v>804028.04</v>
      </c>
      <c r="S1026" s="101">
        <v>247157.14799999999</v>
      </c>
      <c r="T1026" s="169">
        <v>1.02</v>
      </c>
      <c r="U1026" s="101"/>
      <c r="V1026" s="101"/>
      <c r="W1026" s="101"/>
      <c r="X1026" s="101"/>
      <c r="Y1026" s="101"/>
    </row>
    <row r="1027" spans="1:25" ht="11.25" hidden="1" customHeight="1" x14ac:dyDescent="0.3">
      <c r="A1027" s="126" t="s">
        <v>186</v>
      </c>
      <c r="B1027" s="126">
        <v>43</v>
      </c>
      <c r="C1027" s="126">
        <v>71</v>
      </c>
      <c r="D1027" s="126" t="str">
        <f t="shared" si="83"/>
        <v>4371</v>
      </c>
      <c r="E1027" s="101">
        <v>578</v>
      </c>
      <c r="F1027" s="101">
        <v>11709</v>
      </c>
      <c r="G1027" s="101">
        <v>40190.5</v>
      </c>
      <c r="H1027" s="101">
        <v>345199.38999999996</v>
      </c>
      <c r="I1027" s="101">
        <v>168500.74900000001</v>
      </c>
      <c r="J1027" s="101">
        <v>475</v>
      </c>
      <c r="K1027" s="101">
        <v>5945</v>
      </c>
      <c r="L1027" s="101">
        <v>19062</v>
      </c>
      <c r="M1027" s="101">
        <v>186015.84999999998</v>
      </c>
      <c r="N1027" s="101">
        <v>133313.20000000001</v>
      </c>
      <c r="O1027" s="101">
        <v>356</v>
      </c>
      <c r="P1027" s="101">
        <v>7397</v>
      </c>
      <c r="Q1027" s="101">
        <v>35840</v>
      </c>
      <c r="R1027" s="101">
        <v>354381.7</v>
      </c>
      <c r="S1027" s="101">
        <v>159034.78899999999</v>
      </c>
      <c r="T1027" s="169">
        <v>0.98</v>
      </c>
      <c r="U1027" s="101">
        <v>612</v>
      </c>
      <c r="V1027" s="101">
        <v>17244</v>
      </c>
      <c r="W1027" s="101">
        <v>88797</v>
      </c>
      <c r="X1027" s="101">
        <v>847671</v>
      </c>
      <c r="Y1027" s="101">
        <v>381937</v>
      </c>
    </row>
    <row r="1028" spans="1:25" ht="11.25" hidden="1" customHeight="1" x14ac:dyDescent="0.3">
      <c r="A1028" s="126" t="s">
        <v>186</v>
      </c>
      <c r="B1028" s="126">
        <v>43</v>
      </c>
      <c r="C1028" s="126">
        <v>25</v>
      </c>
      <c r="D1028" s="126" t="str">
        <f t="shared" si="83"/>
        <v>4325</v>
      </c>
      <c r="E1028" s="101">
        <v>955</v>
      </c>
      <c r="F1028" s="101">
        <v>8128</v>
      </c>
      <c r="G1028" s="101">
        <v>43104</v>
      </c>
      <c r="H1028" s="101">
        <v>665752.65</v>
      </c>
      <c r="I1028" s="101">
        <v>312052.93500000006</v>
      </c>
      <c r="J1028" s="101">
        <v>773</v>
      </c>
      <c r="K1028" s="101">
        <v>9833</v>
      </c>
      <c r="L1028" s="101">
        <v>73902</v>
      </c>
      <c r="M1028" s="101">
        <v>1138866.99</v>
      </c>
      <c r="N1028" s="101">
        <v>416053.01500000001</v>
      </c>
      <c r="O1028" s="101">
        <v>756</v>
      </c>
      <c r="P1028" s="101">
        <v>7225</v>
      </c>
      <c r="Q1028" s="101">
        <v>46899</v>
      </c>
      <c r="R1028" s="101">
        <v>393388.87</v>
      </c>
      <c r="S1028" s="101">
        <v>256528.86600000001</v>
      </c>
      <c r="T1028" s="169">
        <v>1.02</v>
      </c>
      <c r="U1028" s="101">
        <f t="shared" si="85"/>
        <v>771.12</v>
      </c>
      <c r="V1028" s="101">
        <f t="shared" si="86"/>
        <v>7369.5</v>
      </c>
      <c r="W1028" s="101">
        <f t="shared" si="87"/>
        <v>47836.98</v>
      </c>
      <c r="X1028" s="101">
        <f t="shared" si="84"/>
        <v>401256.64740000002</v>
      </c>
      <c r="Y1028" s="101">
        <f t="shared" si="88"/>
        <v>261659.44332000002</v>
      </c>
    </row>
    <row r="1029" spans="1:25" ht="11.25" hidden="1" customHeight="1" x14ac:dyDescent="0.3">
      <c r="A1029" s="126" t="s">
        <v>186</v>
      </c>
      <c r="B1029" s="126">
        <v>43</v>
      </c>
      <c r="C1029" s="126">
        <v>34</v>
      </c>
      <c r="D1029" s="126" t="str">
        <f t="shared" si="83"/>
        <v>4334</v>
      </c>
      <c r="J1029" s="101">
        <v>1</v>
      </c>
      <c r="K1029" s="101">
        <v>1</v>
      </c>
      <c r="L1029" s="101">
        <v>1</v>
      </c>
      <c r="M1029" s="101">
        <v>108.4</v>
      </c>
      <c r="N1029" s="101">
        <v>21.672000000000001</v>
      </c>
      <c r="O1029" s="101">
        <v>0</v>
      </c>
      <c r="P1029" s="101">
        <v>0</v>
      </c>
      <c r="Q1029" s="101">
        <v>0</v>
      </c>
      <c r="R1029" s="101">
        <v>0</v>
      </c>
      <c r="S1029" s="101">
        <v>0</v>
      </c>
      <c r="T1029" s="169">
        <v>1.02</v>
      </c>
      <c r="U1029" s="101">
        <f t="shared" si="85"/>
        <v>0</v>
      </c>
      <c r="V1029" s="101">
        <f t="shared" si="86"/>
        <v>0</v>
      </c>
      <c r="W1029" s="101">
        <f t="shared" si="87"/>
        <v>0</v>
      </c>
      <c r="X1029" s="101">
        <f t="shared" si="84"/>
        <v>0</v>
      </c>
      <c r="Y1029" s="101">
        <f t="shared" si="88"/>
        <v>0</v>
      </c>
    </row>
    <row r="1030" spans="1:25" ht="11.25" hidden="1" customHeight="1" x14ac:dyDescent="0.3">
      <c r="A1030" s="126" t="s">
        <v>186</v>
      </c>
      <c r="B1030" s="126">
        <v>43</v>
      </c>
      <c r="C1030" s="126">
        <v>22</v>
      </c>
      <c r="D1030" s="126" t="str">
        <f t="shared" si="83"/>
        <v>4322</v>
      </c>
      <c r="J1030" s="101">
        <v>41</v>
      </c>
      <c r="K1030" s="101">
        <v>117</v>
      </c>
      <c r="L1030" s="101">
        <v>2991</v>
      </c>
      <c r="M1030" s="101">
        <v>72971.850000000006</v>
      </c>
      <c r="N1030" s="101">
        <v>40080.206000000006</v>
      </c>
      <c r="O1030" s="101">
        <v>7</v>
      </c>
      <c r="P1030" s="101">
        <v>69</v>
      </c>
      <c r="Q1030" s="101">
        <v>952</v>
      </c>
      <c r="R1030" s="101">
        <v>12173.52</v>
      </c>
      <c r="S1030" s="101">
        <v>2262.857</v>
      </c>
      <c r="T1030" s="169">
        <v>1.02</v>
      </c>
      <c r="U1030" s="101">
        <f t="shared" si="85"/>
        <v>7.1400000000000006</v>
      </c>
      <c r="V1030" s="101">
        <f t="shared" si="86"/>
        <v>70.38</v>
      </c>
      <c r="W1030" s="101">
        <f t="shared" si="87"/>
        <v>971.04</v>
      </c>
      <c r="X1030" s="101">
        <f t="shared" ref="X1030:X1093" si="89">R1030*T1030</f>
        <v>12416.990400000001</v>
      </c>
      <c r="Y1030" s="101">
        <f t="shared" si="88"/>
        <v>2308.1141400000001</v>
      </c>
    </row>
    <row r="1031" spans="1:25" ht="11.25" hidden="1" customHeight="1" x14ac:dyDescent="0.3">
      <c r="A1031" s="126" t="s">
        <v>186</v>
      </c>
      <c r="B1031" s="126">
        <v>43</v>
      </c>
      <c r="C1031" s="126">
        <v>26</v>
      </c>
      <c r="D1031" s="126" t="str">
        <f t="shared" si="83"/>
        <v>4326</v>
      </c>
      <c r="J1031" s="101">
        <v>12</v>
      </c>
      <c r="K1031" s="101">
        <v>19</v>
      </c>
      <c r="L1031" s="101">
        <v>69</v>
      </c>
      <c r="M1031" s="101">
        <v>997.3</v>
      </c>
      <c r="N1031" s="101">
        <v>193.58600000000001</v>
      </c>
      <c r="O1031" s="101">
        <v>2</v>
      </c>
      <c r="P1031" s="101">
        <v>2</v>
      </c>
      <c r="Q1031" s="101">
        <v>2</v>
      </c>
      <c r="R1031" s="101">
        <v>0</v>
      </c>
      <c r="S1031" s="101">
        <v>2.2719999999999998</v>
      </c>
      <c r="T1031" s="169">
        <v>1.02</v>
      </c>
      <c r="U1031" s="101">
        <f t="shared" si="85"/>
        <v>2.04</v>
      </c>
      <c r="V1031" s="101">
        <f t="shared" si="86"/>
        <v>2.04</v>
      </c>
      <c r="W1031" s="101">
        <f t="shared" si="87"/>
        <v>2.04</v>
      </c>
      <c r="X1031" s="101">
        <f t="shared" si="89"/>
        <v>0</v>
      </c>
      <c r="Y1031" s="101">
        <f t="shared" si="88"/>
        <v>2.3174399999999999</v>
      </c>
    </row>
    <row r="1032" spans="1:25" ht="11.25" hidden="1" customHeight="1" x14ac:dyDescent="0.3">
      <c r="A1032" s="126" t="s">
        <v>186</v>
      </c>
      <c r="B1032" s="126">
        <v>43</v>
      </c>
      <c r="C1032" s="126">
        <v>32</v>
      </c>
      <c r="D1032" s="126" t="str">
        <f t="shared" si="83"/>
        <v>4332</v>
      </c>
      <c r="J1032" s="101">
        <v>23</v>
      </c>
      <c r="K1032" s="101">
        <v>57</v>
      </c>
      <c r="L1032" s="101">
        <v>1058</v>
      </c>
      <c r="M1032" s="101">
        <v>19187.93</v>
      </c>
      <c r="N1032" s="101">
        <v>6304.6440000000002</v>
      </c>
      <c r="O1032" s="101">
        <v>65</v>
      </c>
      <c r="P1032" s="101">
        <v>276</v>
      </c>
      <c r="Q1032" s="101">
        <v>6013</v>
      </c>
      <c r="R1032" s="101">
        <v>80944.92</v>
      </c>
      <c r="S1032" s="101">
        <v>36766.014999999999</v>
      </c>
      <c r="T1032" s="169">
        <v>1.02</v>
      </c>
      <c r="U1032" s="101">
        <f t="shared" ref="U1032:U1092" si="90">O1032*T1032</f>
        <v>66.3</v>
      </c>
      <c r="V1032" s="101">
        <f t="shared" ref="V1032:V1092" si="91">P1032*T1032</f>
        <v>281.52</v>
      </c>
      <c r="W1032" s="101">
        <f t="shared" ref="W1032:W1092" si="92">Q1032*T1032</f>
        <v>6133.26</v>
      </c>
      <c r="X1032" s="101">
        <f t="shared" si="89"/>
        <v>82563.818400000004</v>
      </c>
      <c r="Y1032" s="101">
        <f t="shared" ref="Y1032:Y1092" si="93">S1032*T1032</f>
        <v>37501.335299999999</v>
      </c>
    </row>
    <row r="1033" spans="1:25" ht="11.25" hidden="1" customHeight="1" x14ac:dyDescent="0.3">
      <c r="A1033" s="126" t="s">
        <v>186</v>
      </c>
      <c r="B1033" s="126">
        <v>43</v>
      </c>
      <c r="C1033" s="126">
        <v>43</v>
      </c>
      <c r="D1033" s="126" t="str">
        <f t="shared" si="83"/>
        <v>4343</v>
      </c>
      <c r="J1033" s="101">
        <v>0</v>
      </c>
      <c r="K1033" s="101">
        <v>0</v>
      </c>
      <c r="L1033" s="101">
        <v>0</v>
      </c>
      <c r="M1033" s="101">
        <v>0</v>
      </c>
      <c r="N1033" s="101">
        <v>0</v>
      </c>
      <c r="O1033" s="101">
        <v>0</v>
      </c>
      <c r="P1033" s="101">
        <v>0</v>
      </c>
      <c r="Q1033" s="101">
        <v>0</v>
      </c>
      <c r="R1033" s="101">
        <v>0</v>
      </c>
      <c r="S1033" s="101">
        <v>0</v>
      </c>
      <c r="T1033" s="169">
        <v>1.02</v>
      </c>
      <c r="U1033" s="101">
        <f t="shared" si="90"/>
        <v>0</v>
      </c>
      <c r="V1033" s="101">
        <f t="shared" si="91"/>
        <v>0</v>
      </c>
      <c r="W1033" s="101">
        <f t="shared" si="92"/>
        <v>0</v>
      </c>
      <c r="X1033" s="101">
        <f t="shared" si="89"/>
        <v>0</v>
      </c>
      <c r="Y1033" s="101">
        <f t="shared" si="93"/>
        <v>0</v>
      </c>
    </row>
    <row r="1034" spans="1:25" ht="11.25" hidden="1" customHeight="1" x14ac:dyDescent="0.3">
      <c r="A1034" s="126" t="s">
        <v>186</v>
      </c>
      <c r="B1034" s="126">
        <v>43</v>
      </c>
      <c r="C1034" s="126">
        <v>44</v>
      </c>
      <c r="D1034" s="126" t="str">
        <f t="shared" si="83"/>
        <v>4344</v>
      </c>
      <c r="J1034" s="101">
        <v>0</v>
      </c>
      <c r="K1034" s="101">
        <v>0</v>
      </c>
      <c r="L1034" s="101">
        <v>0</v>
      </c>
      <c r="M1034" s="101">
        <v>0</v>
      </c>
      <c r="N1034" s="101">
        <v>0</v>
      </c>
      <c r="O1034" s="101">
        <v>0</v>
      </c>
      <c r="P1034" s="101">
        <v>0</v>
      </c>
      <c r="Q1034" s="101">
        <v>0</v>
      </c>
      <c r="R1034" s="101">
        <v>0</v>
      </c>
      <c r="S1034" s="101">
        <v>0</v>
      </c>
      <c r="T1034" s="169">
        <v>1.02</v>
      </c>
      <c r="U1034" s="101">
        <f t="shared" si="90"/>
        <v>0</v>
      </c>
      <c r="V1034" s="101">
        <f t="shared" si="91"/>
        <v>0</v>
      </c>
      <c r="W1034" s="101">
        <f t="shared" si="92"/>
        <v>0</v>
      </c>
      <c r="X1034" s="101">
        <f t="shared" si="89"/>
        <v>0</v>
      </c>
      <c r="Y1034" s="101">
        <f t="shared" si="93"/>
        <v>0</v>
      </c>
    </row>
    <row r="1035" spans="1:25" ht="11.25" hidden="1" customHeight="1" x14ac:dyDescent="0.3">
      <c r="A1035" s="126" t="s">
        <v>186</v>
      </c>
      <c r="B1035" s="126">
        <v>43</v>
      </c>
      <c r="C1035" s="126">
        <v>45</v>
      </c>
      <c r="D1035" s="126" t="str">
        <f t="shared" si="83"/>
        <v>4345</v>
      </c>
      <c r="J1035" s="101">
        <v>0</v>
      </c>
      <c r="K1035" s="101">
        <v>0</v>
      </c>
      <c r="L1035" s="101">
        <v>0</v>
      </c>
      <c r="M1035" s="101">
        <v>0</v>
      </c>
      <c r="N1035" s="101">
        <v>0</v>
      </c>
      <c r="O1035" s="101">
        <v>1</v>
      </c>
      <c r="P1035" s="101">
        <v>1</v>
      </c>
      <c r="Q1035" s="101">
        <v>1</v>
      </c>
      <c r="R1035" s="101">
        <v>26.62</v>
      </c>
      <c r="S1035" s="101">
        <v>20.905999999999999</v>
      </c>
      <c r="T1035" s="169">
        <v>1.02</v>
      </c>
      <c r="U1035" s="101">
        <f t="shared" si="90"/>
        <v>1.02</v>
      </c>
      <c r="V1035" s="101">
        <f t="shared" si="91"/>
        <v>1.02</v>
      </c>
      <c r="W1035" s="101">
        <f t="shared" si="92"/>
        <v>1.02</v>
      </c>
      <c r="X1035" s="101">
        <f t="shared" si="89"/>
        <v>27.1524</v>
      </c>
      <c r="Y1035" s="101">
        <f t="shared" si="93"/>
        <v>21.324120000000001</v>
      </c>
    </row>
    <row r="1036" spans="1:25" ht="11.25" hidden="1" customHeight="1" x14ac:dyDescent="0.3">
      <c r="A1036" s="126" t="s">
        <v>186</v>
      </c>
      <c r="B1036" s="126">
        <v>43</v>
      </c>
      <c r="C1036" s="126">
        <v>47</v>
      </c>
      <c r="D1036" s="126" t="str">
        <f t="shared" si="83"/>
        <v>4347</v>
      </c>
      <c r="J1036" s="101">
        <v>3</v>
      </c>
      <c r="K1036" s="101">
        <v>5</v>
      </c>
      <c r="L1036" s="101">
        <v>121</v>
      </c>
      <c r="M1036" s="101">
        <v>3075.95</v>
      </c>
      <c r="N1036" s="101">
        <v>1249.3130000000001</v>
      </c>
      <c r="O1036" s="101">
        <v>9</v>
      </c>
      <c r="P1036" s="101">
        <v>14</v>
      </c>
      <c r="Q1036" s="101">
        <v>1250</v>
      </c>
      <c r="R1036" s="101">
        <v>23090</v>
      </c>
      <c r="S1036" s="101">
        <v>7724.0330000000004</v>
      </c>
      <c r="T1036" s="169">
        <v>1.02</v>
      </c>
      <c r="U1036" s="101">
        <f t="shared" si="90"/>
        <v>9.18</v>
      </c>
      <c r="V1036" s="101">
        <f t="shared" si="91"/>
        <v>14.280000000000001</v>
      </c>
      <c r="W1036" s="101">
        <f t="shared" si="92"/>
        <v>1275</v>
      </c>
      <c r="X1036" s="101">
        <f t="shared" si="89"/>
        <v>23551.8</v>
      </c>
      <c r="Y1036" s="101">
        <f t="shared" si="93"/>
        <v>7878.5136600000005</v>
      </c>
    </row>
    <row r="1037" spans="1:25" ht="11.25" hidden="1" customHeight="1" x14ac:dyDescent="0.3">
      <c r="A1037" s="126" t="s">
        <v>186</v>
      </c>
      <c r="B1037" s="126">
        <v>43</v>
      </c>
      <c r="C1037" s="126">
        <v>91</v>
      </c>
      <c r="D1037" s="126" t="str">
        <f t="shared" si="83"/>
        <v>4391</v>
      </c>
      <c r="J1037" s="101">
        <v>79</v>
      </c>
      <c r="K1037" s="101">
        <v>257</v>
      </c>
      <c r="L1037" s="101">
        <v>1303</v>
      </c>
      <c r="M1037" s="101">
        <v>8310.9700000000012</v>
      </c>
      <c r="N1037" s="101">
        <v>5749.9599999999991</v>
      </c>
      <c r="O1037" s="101">
        <v>44</v>
      </c>
      <c r="P1037" s="101">
        <v>87</v>
      </c>
      <c r="Q1037" s="101">
        <v>573</v>
      </c>
      <c r="R1037" s="101">
        <v>5454.67</v>
      </c>
      <c r="S1037" s="101">
        <v>2522.2530000000002</v>
      </c>
      <c r="T1037" s="169">
        <v>1.02</v>
      </c>
      <c r="U1037" s="101">
        <f t="shared" si="90"/>
        <v>44.88</v>
      </c>
      <c r="V1037" s="101">
        <f t="shared" si="91"/>
        <v>88.74</v>
      </c>
      <c r="W1037" s="101">
        <f t="shared" si="92"/>
        <v>584.46</v>
      </c>
      <c r="X1037" s="101">
        <f t="shared" si="89"/>
        <v>5563.7633999999998</v>
      </c>
      <c r="Y1037" s="101">
        <f t="shared" si="93"/>
        <v>2572.6980600000002</v>
      </c>
    </row>
    <row r="1038" spans="1:25" ht="11.25" hidden="1" customHeight="1" x14ac:dyDescent="0.3">
      <c r="A1038" s="126" t="s">
        <v>186</v>
      </c>
      <c r="B1038" s="126">
        <v>43</v>
      </c>
      <c r="C1038" s="126">
        <v>48</v>
      </c>
      <c r="D1038" s="126" t="str">
        <f t="shared" si="83"/>
        <v>4348</v>
      </c>
      <c r="J1038" s="101">
        <v>0</v>
      </c>
      <c r="K1038" s="101">
        <v>0</v>
      </c>
      <c r="L1038" s="101">
        <v>0</v>
      </c>
      <c r="M1038" s="101">
        <v>0</v>
      </c>
      <c r="N1038" s="101">
        <v>0</v>
      </c>
      <c r="O1038" s="101">
        <v>1</v>
      </c>
      <c r="P1038" s="101">
        <v>1</v>
      </c>
      <c r="Q1038" s="101">
        <v>25</v>
      </c>
      <c r="R1038" s="101">
        <v>18.48</v>
      </c>
      <c r="S1038" s="101">
        <v>172.02099999999999</v>
      </c>
      <c r="T1038" s="169">
        <v>1.02</v>
      </c>
      <c r="U1038" s="101">
        <f t="shared" si="90"/>
        <v>1.02</v>
      </c>
      <c r="V1038" s="101">
        <f t="shared" si="91"/>
        <v>1.02</v>
      </c>
      <c r="W1038" s="101">
        <f t="shared" si="92"/>
        <v>25.5</v>
      </c>
      <c r="X1038" s="101">
        <f t="shared" si="89"/>
        <v>18.849600000000002</v>
      </c>
      <c r="Y1038" s="101">
        <f t="shared" si="93"/>
        <v>175.46141999999998</v>
      </c>
    </row>
    <row r="1039" spans="1:25" ht="11.25" hidden="1" customHeight="1" x14ac:dyDescent="0.3">
      <c r="A1039" s="126" t="s">
        <v>186</v>
      </c>
      <c r="B1039" s="126">
        <v>43</v>
      </c>
      <c r="C1039" s="126">
        <v>27</v>
      </c>
      <c r="D1039" s="126" t="str">
        <f t="shared" si="83"/>
        <v>4327</v>
      </c>
      <c r="E1039" s="101">
        <v>84</v>
      </c>
      <c r="F1039" s="101">
        <v>1378</v>
      </c>
      <c r="G1039" s="101">
        <v>7290</v>
      </c>
      <c r="H1039" s="101">
        <v>88319.13</v>
      </c>
      <c r="I1039" s="101">
        <v>36171.936000000002</v>
      </c>
      <c r="J1039" s="101">
        <v>85</v>
      </c>
      <c r="K1039" s="101">
        <v>1893</v>
      </c>
      <c r="L1039" s="101">
        <v>8152</v>
      </c>
      <c r="M1039" s="101">
        <v>115319.23000000001</v>
      </c>
      <c r="N1039" s="101">
        <v>49941.155000000006</v>
      </c>
      <c r="O1039" s="101">
        <v>96</v>
      </c>
      <c r="P1039" s="101">
        <v>2837</v>
      </c>
      <c r="Q1039" s="101">
        <v>15931</v>
      </c>
      <c r="R1039" s="101">
        <v>200399.3</v>
      </c>
      <c r="S1039" s="101">
        <v>75091.198999999993</v>
      </c>
      <c r="T1039" s="169">
        <v>1.02</v>
      </c>
      <c r="U1039" s="101">
        <f t="shared" si="90"/>
        <v>97.92</v>
      </c>
      <c r="V1039" s="101">
        <f t="shared" si="91"/>
        <v>2893.7400000000002</v>
      </c>
      <c r="W1039" s="101">
        <f t="shared" si="92"/>
        <v>16249.62</v>
      </c>
      <c r="X1039" s="101">
        <f t="shared" si="89"/>
        <v>204407.28599999999</v>
      </c>
      <c r="Y1039" s="101">
        <f t="shared" si="93"/>
        <v>76593.022979999994</v>
      </c>
    </row>
    <row r="1040" spans="1:25" ht="11.25" customHeight="1" x14ac:dyDescent="0.3">
      <c r="A1040" s="126" t="s">
        <v>186</v>
      </c>
      <c r="B1040" s="126">
        <v>43</v>
      </c>
      <c r="C1040" s="126" t="s">
        <v>172</v>
      </c>
      <c r="D1040" s="126" t="str">
        <f t="shared" si="83"/>
        <v>43Uml</v>
      </c>
      <c r="J1040" s="101">
        <v>249</v>
      </c>
      <c r="K1040" s="101">
        <v>256</v>
      </c>
      <c r="L1040" s="101">
        <v>78974</v>
      </c>
      <c r="N1040" s="101">
        <v>363635</v>
      </c>
      <c r="O1040" s="101">
        <v>380</v>
      </c>
      <c r="P1040" s="101">
        <v>388</v>
      </c>
      <c r="Q1040" s="101">
        <v>85498</v>
      </c>
      <c r="S1040" s="101">
        <v>623109</v>
      </c>
      <c r="T1040" s="169">
        <v>1.02</v>
      </c>
      <c r="U1040" s="101">
        <f t="shared" si="90"/>
        <v>387.6</v>
      </c>
      <c r="V1040" s="101">
        <f t="shared" si="91"/>
        <v>395.76</v>
      </c>
      <c r="W1040" s="101">
        <f t="shared" si="92"/>
        <v>87207.96</v>
      </c>
      <c r="X1040" s="101">
        <f t="shared" si="89"/>
        <v>0</v>
      </c>
      <c r="Y1040" s="101">
        <f t="shared" si="93"/>
        <v>635571.18000000005</v>
      </c>
    </row>
    <row r="1041" spans="1:25" ht="11.25" hidden="1" customHeight="1" x14ac:dyDescent="0.3">
      <c r="A1041" s="126" t="s">
        <v>186</v>
      </c>
      <c r="B1041" s="126">
        <v>43</v>
      </c>
      <c r="C1041" s="126">
        <v>37</v>
      </c>
      <c r="D1041" s="126" t="str">
        <f t="shared" si="83"/>
        <v>4337</v>
      </c>
      <c r="E1041" s="101">
        <v>6.5</v>
      </c>
      <c r="F1041" s="101">
        <v>19.75</v>
      </c>
      <c r="G1041" s="101">
        <v>354.25</v>
      </c>
      <c r="H1041" s="101">
        <v>978.3125</v>
      </c>
      <c r="I1041" s="101">
        <v>314.38825000000003</v>
      </c>
      <c r="J1041" s="101">
        <v>27</v>
      </c>
      <c r="K1041" s="101">
        <v>89</v>
      </c>
      <c r="L1041" s="101">
        <v>2999</v>
      </c>
      <c r="M1041" s="101">
        <v>10394.730000000001</v>
      </c>
      <c r="N1041" s="101">
        <v>5541.7669999999998</v>
      </c>
      <c r="O1041" s="101">
        <v>25</v>
      </c>
      <c r="P1041" s="101">
        <v>73</v>
      </c>
      <c r="Q1041" s="101">
        <v>2819</v>
      </c>
      <c r="R1041" s="101">
        <v>21711.11</v>
      </c>
      <c r="S1041" s="101">
        <v>17260.575000000001</v>
      </c>
      <c r="T1041" s="169">
        <v>1.02</v>
      </c>
      <c r="U1041" s="101">
        <f t="shared" si="90"/>
        <v>25.5</v>
      </c>
      <c r="V1041" s="101">
        <f t="shared" si="91"/>
        <v>74.460000000000008</v>
      </c>
      <c r="W1041" s="101">
        <f t="shared" si="92"/>
        <v>2875.38</v>
      </c>
      <c r="X1041" s="101">
        <f t="shared" si="89"/>
        <v>22145.332200000001</v>
      </c>
      <c r="Y1041" s="101">
        <f t="shared" si="93"/>
        <v>17605.786500000002</v>
      </c>
    </row>
    <row r="1042" spans="1:25" ht="11.25" hidden="1" customHeight="1" x14ac:dyDescent="0.3">
      <c r="A1042" s="126" t="s">
        <v>186</v>
      </c>
      <c r="B1042" s="126">
        <v>44</v>
      </c>
      <c r="C1042" s="126">
        <v>12</v>
      </c>
      <c r="D1042" s="126" t="str">
        <f t="shared" si="83"/>
        <v>4412</v>
      </c>
      <c r="E1042" s="101">
        <v>36</v>
      </c>
      <c r="F1042" s="101">
        <v>135</v>
      </c>
      <c r="G1042" s="101">
        <v>263</v>
      </c>
      <c r="H1042" s="101">
        <v>4683.4799999999996</v>
      </c>
      <c r="I1042" s="101">
        <v>1294.7739999999999</v>
      </c>
      <c r="J1042" s="101">
        <v>19</v>
      </c>
      <c r="K1042" s="101">
        <v>21</v>
      </c>
      <c r="L1042" s="101">
        <v>29</v>
      </c>
      <c r="M1042" s="101">
        <v>900.01</v>
      </c>
      <c r="N1042" s="101">
        <v>248.63200000000001</v>
      </c>
      <c r="O1042" s="101">
        <v>13</v>
      </c>
      <c r="P1042" s="101">
        <v>17</v>
      </c>
      <c r="Q1042" s="101">
        <v>23</v>
      </c>
      <c r="R1042" s="101">
        <v>258</v>
      </c>
      <c r="S1042" s="101">
        <v>50</v>
      </c>
      <c r="T1042" s="169">
        <v>1.02</v>
      </c>
      <c r="U1042" s="101">
        <f t="shared" si="90"/>
        <v>13.26</v>
      </c>
      <c r="V1042" s="101">
        <f t="shared" si="91"/>
        <v>17.34</v>
      </c>
      <c r="W1042" s="101">
        <f t="shared" si="92"/>
        <v>23.46</v>
      </c>
      <c r="X1042" s="101">
        <f t="shared" si="89"/>
        <v>263.16000000000003</v>
      </c>
      <c r="Y1042" s="101">
        <f t="shared" si="93"/>
        <v>51</v>
      </c>
    </row>
    <row r="1043" spans="1:25" ht="11.25" hidden="1" customHeight="1" x14ac:dyDescent="0.3">
      <c r="A1043" s="126" t="s">
        <v>186</v>
      </c>
      <c r="B1043" s="126">
        <v>44</v>
      </c>
      <c r="C1043" s="126">
        <v>17</v>
      </c>
      <c r="D1043" s="126" t="str">
        <f t="shared" si="83"/>
        <v>4417</v>
      </c>
      <c r="E1043" s="101">
        <v>2915</v>
      </c>
      <c r="F1043" s="101">
        <v>4067</v>
      </c>
      <c r="G1043" s="101">
        <v>5517</v>
      </c>
      <c r="H1043" s="101">
        <v>197081</v>
      </c>
      <c r="I1043" s="101">
        <v>38678.895000000004</v>
      </c>
      <c r="J1043" s="101">
        <v>1622</v>
      </c>
      <c r="K1043" s="101">
        <v>3533</v>
      </c>
      <c r="L1043" s="101">
        <v>4765</v>
      </c>
      <c r="M1043" s="101">
        <v>102767.58000000002</v>
      </c>
      <c r="N1043" s="101">
        <v>17690.107</v>
      </c>
      <c r="O1043" s="101">
        <v>1514</v>
      </c>
      <c r="P1043" s="101">
        <v>2742</v>
      </c>
      <c r="Q1043" s="101">
        <v>3845</v>
      </c>
      <c r="R1043" s="101">
        <v>109437</v>
      </c>
      <c r="S1043" s="101">
        <v>17518</v>
      </c>
      <c r="T1043" s="169">
        <v>1.02</v>
      </c>
      <c r="U1043" s="101">
        <v>2211</v>
      </c>
      <c r="V1043" s="101">
        <v>5112</v>
      </c>
      <c r="W1043" s="101">
        <v>7300</v>
      </c>
      <c r="X1043" s="101">
        <f t="shared" si="89"/>
        <v>111625.74</v>
      </c>
      <c r="Y1043" s="101">
        <v>35000</v>
      </c>
    </row>
    <row r="1044" spans="1:25" ht="11.25" hidden="1" customHeight="1" x14ac:dyDescent="0.3">
      <c r="A1044" s="126" t="s">
        <v>186</v>
      </c>
      <c r="B1044" s="126">
        <v>44</v>
      </c>
      <c r="C1044" s="126">
        <v>18</v>
      </c>
      <c r="D1044" s="126" t="str">
        <f t="shared" si="83"/>
        <v>4418</v>
      </c>
      <c r="E1044" s="101">
        <v>357</v>
      </c>
      <c r="F1044" s="101">
        <v>450</v>
      </c>
      <c r="G1044" s="101">
        <v>614</v>
      </c>
      <c r="H1044" s="101">
        <v>25587.590000000004</v>
      </c>
      <c r="I1044" s="101">
        <v>4159.3040000000001</v>
      </c>
      <c r="J1044" s="101">
        <v>3760</v>
      </c>
      <c r="K1044" s="101">
        <v>4337</v>
      </c>
      <c r="L1044" s="101">
        <v>4716</v>
      </c>
      <c r="M1044" s="101">
        <v>212884.09999999998</v>
      </c>
      <c r="N1044" s="101">
        <v>55008.536000000007</v>
      </c>
      <c r="O1044" s="101">
        <v>2326</v>
      </c>
      <c r="P1044" s="101">
        <v>2696</v>
      </c>
      <c r="Q1044" s="101">
        <v>3789</v>
      </c>
      <c r="R1044" s="101">
        <v>119790</v>
      </c>
      <c r="S1044" s="101">
        <v>46326</v>
      </c>
      <c r="T1044" s="169">
        <v>0.6</v>
      </c>
      <c r="U1044" s="101">
        <f t="shared" si="90"/>
        <v>1395.6</v>
      </c>
      <c r="V1044" s="101">
        <f t="shared" si="91"/>
        <v>1617.6</v>
      </c>
      <c r="W1044" s="101">
        <f t="shared" si="92"/>
        <v>2273.4</v>
      </c>
      <c r="X1044" s="101">
        <f t="shared" si="89"/>
        <v>71874</v>
      </c>
      <c r="Y1044" s="101">
        <f t="shared" si="93"/>
        <v>27795.599999999999</v>
      </c>
    </row>
    <row r="1045" spans="1:25" ht="11.25" hidden="1" customHeight="1" x14ac:dyDescent="0.3">
      <c r="A1045" s="126" t="s">
        <v>186</v>
      </c>
      <c r="B1045" s="126">
        <v>44</v>
      </c>
      <c r="C1045" s="126">
        <v>28</v>
      </c>
      <c r="D1045" s="126" t="str">
        <f t="shared" si="83"/>
        <v>4428</v>
      </c>
      <c r="E1045" s="101">
        <v>427</v>
      </c>
      <c r="F1045" s="101">
        <v>4349</v>
      </c>
      <c r="G1045" s="101">
        <v>60281</v>
      </c>
      <c r="H1045" s="101">
        <v>1093705</v>
      </c>
      <c r="I1045" s="101">
        <v>304778.60000000003</v>
      </c>
      <c r="J1045" s="101">
        <v>291</v>
      </c>
      <c r="K1045" s="101">
        <v>9704</v>
      </c>
      <c r="L1045" s="101">
        <v>92465</v>
      </c>
      <c r="M1045" s="101">
        <v>1701575.9999999998</v>
      </c>
      <c r="N1045" s="101">
        <v>450940.696</v>
      </c>
      <c r="O1045" s="101">
        <v>432</v>
      </c>
      <c r="P1045" s="101">
        <v>7646</v>
      </c>
      <c r="Q1045" s="101">
        <v>91054</v>
      </c>
      <c r="R1045" s="101">
        <v>2974401</v>
      </c>
      <c r="S1045" s="101">
        <v>856751</v>
      </c>
      <c r="T1045" s="169">
        <v>1.02</v>
      </c>
      <c r="U1045" s="101">
        <v>186</v>
      </c>
      <c r="V1045" s="101">
        <v>1222</v>
      </c>
      <c r="W1045" s="101">
        <v>8228</v>
      </c>
      <c r="X1045" s="144">
        <f t="shared" si="89"/>
        <v>3033889.02</v>
      </c>
      <c r="Y1045" s="101">
        <v>177676</v>
      </c>
    </row>
    <row r="1046" spans="1:25" ht="11.25" hidden="1" customHeight="1" x14ac:dyDescent="0.3">
      <c r="A1046" s="126" t="s">
        <v>186</v>
      </c>
      <c r="B1046" s="126">
        <v>44</v>
      </c>
      <c r="C1046" s="126">
        <v>46</v>
      </c>
      <c r="D1046" s="126" t="str">
        <f t="shared" si="83"/>
        <v>4446</v>
      </c>
      <c r="E1046" s="101">
        <v>341</v>
      </c>
      <c r="F1046" s="101">
        <v>829</v>
      </c>
      <c r="G1046" s="101">
        <v>16743</v>
      </c>
      <c r="H1046" s="101">
        <v>307217.13999999996</v>
      </c>
      <c r="I1046" s="101">
        <v>105289.56</v>
      </c>
      <c r="J1046" s="101">
        <v>137</v>
      </c>
      <c r="K1046" s="101">
        <v>349</v>
      </c>
      <c r="L1046" s="101">
        <v>29344</v>
      </c>
      <c r="M1046" s="101">
        <v>505745.94</v>
      </c>
      <c r="N1046" s="101">
        <v>194679.34100000001</v>
      </c>
      <c r="O1046" s="101">
        <v>232</v>
      </c>
      <c r="P1046" s="101">
        <v>486</v>
      </c>
      <c r="Q1046" s="101">
        <v>10923</v>
      </c>
      <c r="R1046" s="101">
        <v>211742</v>
      </c>
      <c r="S1046" s="101">
        <v>68794</v>
      </c>
      <c r="T1046" s="169">
        <v>1.02</v>
      </c>
      <c r="U1046" s="101">
        <f t="shared" si="90"/>
        <v>236.64000000000001</v>
      </c>
      <c r="V1046" s="101">
        <f t="shared" si="91"/>
        <v>495.72</v>
      </c>
      <c r="W1046" s="101">
        <f t="shared" si="92"/>
        <v>11141.460000000001</v>
      </c>
      <c r="X1046" s="101">
        <f t="shared" si="89"/>
        <v>215976.84</v>
      </c>
      <c r="Y1046" s="101">
        <f t="shared" si="93"/>
        <v>70169.88</v>
      </c>
    </row>
    <row r="1047" spans="1:25" ht="11.25" hidden="1" customHeight="1" x14ac:dyDescent="0.3">
      <c r="A1047" s="126" t="s">
        <v>186</v>
      </c>
      <c r="B1047" s="126">
        <v>44</v>
      </c>
      <c r="C1047" s="126">
        <v>48</v>
      </c>
      <c r="D1047" s="126" t="str">
        <f t="shared" si="83"/>
        <v>4448</v>
      </c>
      <c r="E1047" s="101">
        <v>2</v>
      </c>
      <c r="F1047" s="101">
        <v>2</v>
      </c>
      <c r="G1047" s="101">
        <v>162</v>
      </c>
      <c r="H1047" s="101">
        <v>1740.75</v>
      </c>
      <c r="I1047" s="101">
        <v>502.2</v>
      </c>
      <c r="J1047" s="101">
        <v>0</v>
      </c>
      <c r="K1047" s="101">
        <v>0</v>
      </c>
      <c r="L1047" s="101">
        <v>0</v>
      </c>
      <c r="M1047" s="101">
        <v>0</v>
      </c>
      <c r="N1047" s="101">
        <v>0</v>
      </c>
      <c r="O1047" s="101">
        <v>0</v>
      </c>
      <c r="P1047" s="101">
        <v>0</v>
      </c>
      <c r="Q1047" s="101">
        <v>0</v>
      </c>
      <c r="R1047" s="101">
        <v>0</v>
      </c>
      <c r="S1047" s="101">
        <v>0</v>
      </c>
      <c r="T1047" s="169">
        <v>1.02</v>
      </c>
      <c r="U1047" s="101">
        <f t="shared" si="90"/>
        <v>0</v>
      </c>
      <c r="V1047" s="101">
        <f t="shared" si="91"/>
        <v>0</v>
      </c>
      <c r="W1047" s="101">
        <f t="shared" si="92"/>
        <v>0</v>
      </c>
      <c r="X1047" s="101">
        <f t="shared" si="89"/>
        <v>0</v>
      </c>
      <c r="Y1047" s="101">
        <f t="shared" si="93"/>
        <v>0</v>
      </c>
    </row>
    <row r="1048" spans="1:25" ht="11.25" hidden="1" customHeight="1" x14ac:dyDescent="0.3">
      <c r="A1048" s="126" t="s">
        <v>186</v>
      </c>
      <c r="B1048" s="126">
        <v>44</v>
      </c>
      <c r="C1048" s="126">
        <v>66</v>
      </c>
      <c r="D1048" s="126" t="str">
        <f t="shared" si="83"/>
        <v>4466</v>
      </c>
      <c r="E1048" s="101">
        <v>396</v>
      </c>
      <c r="F1048" s="101">
        <v>2165</v>
      </c>
      <c r="G1048" s="101">
        <v>31278</v>
      </c>
      <c r="H1048" s="101">
        <v>185003.52000000002</v>
      </c>
      <c r="I1048" s="101">
        <v>102792.23400000001</v>
      </c>
      <c r="J1048" s="101">
        <v>189</v>
      </c>
      <c r="K1048" s="101">
        <v>1872</v>
      </c>
      <c r="L1048" s="101">
        <v>30114</v>
      </c>
      <c r="M1048" s="101">
        <v>210396.96999999997</v>
      </c>
      <c r="N1048" s="101">
        <v>105896.872</v>
      </c>
      <c r="O1048" s="101">
        <v>242</v>
      </c>
      <c r="P1048" s="101">
        <v>1808</v>
      </c>
      <c r="Q1048" s="101">
        <v>37288</v>
      </c>
      <c r="R1048" s="101">
        <v>222299</v>
      </c>
      <c r="S1048" s="101">
        <v>103787</v>
      </c>
      <c r="T1048" s="169">
        <v>1.02</v>
      </c>
      <c r="U1048" s="101">
        <f t="shared" si="90"/>
        <v>246.84</v>
      </c>
      <c r="V1048" s="101">
        <f t="shared" si="91"/>
        <v>1844.16</v>
      </c>
      <c r="W1048" s="101">
        <f t="shared" si="92"/>
        <v>38033.760000000002</v>
      </c>
      <c r="X1048" s="101">
        <f t="shared" si="89"/>
        <v>226744.98</v>
      </c>
      <c r="Y1048" s="101">
        <f t="shared" si="93"/>
        <v>105862.74</v>
      </c>
    </row>
    <row r="1049" spans="1:25" ht="12" hidden="1" customHeight="1" x14ac:dyDescent="0.3">
      <c r="A1049" s="126" t="s">
        <v>186</v>
      </c>
      <c r="B1049" s="126">
        <v>44</v>
      </c>
      <c r="C1049" s="126">
        <v>30</v>
      </c>
      <c r="D1049" s="126" t="str">
        <f t="shared" si="83"/>
        <v>4430</v>
      </c>
      <c r="E1049" s="101">
        <v>272.5</v>
      </c>
      <c r="F1049" s="101">
        <v>4011</v>
      </c>
      <c r="G1049" s="101">
        <v>19552</v>
      </c>
      <c r="H1049" s="101">
        <v>585682.52</v>
      </c>
      <c r="I1049" s="101">
        <v>192349.905</v>
      </c>
      <c r="J1049" s="101">
        <v>0</v>
      </c>
      <c r="K1049" s="101">
        <v>0</v>
      </c>
      <c r="L1049" s="101">
        <v>0</v>
      </c>
      <c r="M1049" s="101">
        <v>0</v>
      </c>
      <c r="N1049" s="101">
        <v>0</v>
      </c>
      <c r="O1049" s="101">
        <v>89</v>
      </c>
      <c r="P1049" s="101">
        <v>136</v>
      </c>
      <c r="Q1049" s="101">
        <v>1878</v>
      </c>
      <c r="R1049" s="101">
        <v>124551</v>
      </c>
      <c r="S1049" s="101">
        <v>42079</v>
      </c>
      <c r="T1049" s="169">
        <v>1.02</v>
      </c>
      <c r="U1049" s="101">
        <f t="shared" si="90"/>
        <v>90.78</v>
      </c>
      <c r="V1049" s="101">
        <f t="shared" si="91"/>
        <v>138.72</v>
      </c>
      <c r="W1049" s="101">
        <f t="shared" si="92"/>
        <v>1915.56</v>
      </c>
      <c r="X1049" s="101">
        <f t="shared" si="89"/>
        <v>127042.02</v>
      </c>
      <c r="Y1049" s="101">
        <f t="shared" si="93"/>
        <v>42920.58</v>
      </c>
    </row>
    <row r="1050" spans="1:25" ht="11.25" hidden="1" customHeight="1" x14ac:dyDescent="0.3">
      <c r="A1050" s="126" t="s">
        <v>186</v>
      </c>
      <c r="B1050" s="126">
        <v>44</v>
      </c>
      <c r="C1050" s="126">
        <v>21</v>
      </c>
      <c r="D1050" s="126" t="str">
        <f t="shared" si="83"/>
        <v>4421</v>
      </c>
      <c r="E1050" s="101">
        <v>684.5</v>
      </c>
      <c r="F1050" s="101">
        <v>4070.5</v>
      </c>
      <c r="G1050" s="101">
        <v>35313</v>
      </c>
      <c r="H1050" s="101">
        <v>348112.26</v>
      </c>
      <c r="I1050" s="101">
        <v>100338.11499999999</v>
      </c>
      <c r="J1050" s="101">
        <v>605</v>
      </c>
      <c r="K1050" s="101">
        <v>5718</v>
      </c>
      <c r="L1050" s="101">
        <v>31853</v>
      </c>
      <c r="M1050" s="101">
        <v>469158.38</v>
      </c>
      <c r="N1050" s="101">
        <v>123410.829</v>
      </c>
      <c r="O1050" s="101">
        <v>805</v>
      </c>
      <c r="P1050" s="101">
        <v>7967</v>
      </c>
      <c r="Q1050" s="101">
        <v>53638</v>
      </c>
      <c r="R1050" s="101">
        <v>752154</v>
      </c>
      <c r="S1050" s="101">
        <v>239705</v>
      </c>
      <c r="T1050" s="169">
        <v>1.02</v>
      </c>
      <c r="U1050" s="101"/>
      <c r="V1050" s="101"/>
      <c r="W1050" s="101"/>
      <c r="X1050" s="101"/>
      <c r="Y1050" s="101"/>
    </row>
    <row r="1051" spans="1:25" ht="11.25" hidden="1" customHeight="1" x14ac:dyDescent="0.3">
      <c r="A1051" s="126" t="s">
        <v>186</v>
      </c>
      <c r="B1051" s="126">
        <v>44</v>
      </c>
      <c r="C1051" s="126">
        <v>71</v>
      </c>
      <c r="D1051" s="126" t="str">
        <f t="shared" si="83"/>
        <v>4471</v>
      </c>
      <c r="E1051" s="101">
        <v>547.5</v>
      </c>
      <c r="F1051" s="101">
        <v>10591</v>
      </c>
      <c r="G1051" s="101">
        <v>34289</v>
      </c>
      <c r="H1051" s="101">
        <v>291950.04000000004</v>
      </c>
      <c r="I1051" s="101">
        <v>142624.63</v>
      </c>
      <c r="J1051" s="101">
        <v>518</v>
      </c>
      <c r="K1051" s="101">
        <v>7743</v>
      </c>
      <c r="L1051" s="101">
        <v>34785</v>
      </c>
      <c r="M1051" s="101">
        <v>340096.11999999994</v>
      </c>
      <c r="N1051" s="101">
        <v>185810.83499999996</v>
      </c>
      <c r="O1051" s="101">
        <v>243</v>
      </c>
      <c r="P1051" s="101">
        <v>5528</v>
      </c>
      <c r="Q1051" s="101">
        <v>23465</v>
      </c>
      <c r="R1051" s="101">
        <v>164252</v>
      </c>
      <c r="S1051" s="101">
        <v>95040</v>
      </c>
      <c r="T1051" s="169">
        <v>0.98</v>
      </c>
      <c r="U1051" s="101">
        <v>394</v>
      </c>
      <c r="V1051" s="101">
        <v>11684</v>
      </c>
      <c r="W1051" s="101">
        <v>49926</v>
      </c>
      <c r="X1051" s="101">
        <v>336382</v>
      </c>
      <c r="Y1051" s="101">
        <v>184939</v>
      </c>
    </row>
    <row r="1052" spans="1:25" ht="11.25" hidden="1" customHeight="1" x14ac:dyDescent="0.3">
      <c r="A1052" s="126" t="s">
        <v>186</v>
      </c>
      <c r="B1052" s="126">
        <v>44</v>
      </c>
      <c r="C1052" s="126">
        <v>25</v>
      </c>
      <c r="D1052" s="126" t="str">
        <f t="shared" si="83"/>
        <v>4425</v>
      </c>
      <c r="E1052" s="101">
        <v>941</v>
      </c>
      <c r="F1052" s="101">
        <v>7766</v>
      </c>
      <c r="G1052" s="101">
        <v>63176</v>
      </c>
      <c r="H1052" s="101">
        <v>608657.43000000005</v>
      </c>
      <c r="I1052" s="101">
        <v>301432.359</v>
      </c>
      <c r="J1052" s="101">
        <v>630</v>
      </c>
      <c r="K1052" s="101">
        <v>6625</v>
      </c>
      <c r="L1052" s="101">
        <v>50350</v>
      </c>
      <c r="M1052" s="101">
        <v>752983.21000000008</v>
      </c>
      <c r="N1052" s="101">
        <v>339316.924</v>
      </c>
      <c r="O1052" s="101">
        <v>554</v>
      </c>
      <c r="P1052" s="101">
        <v>3977</v>
      </c>
      <c r="Q1052" s="101">
        <v>16941</v>
      </c>
      <c r="R1052" s="101">
        <v>276853</v>
      </c>
      <c r="S1052" s="101">
        <v>151913</v>
      </c>
      <c r="T1052" s="169">
        <v>1.02</v>
      </c>
      <c r="U1052" s="101">
        <f t="shared" si="90"/>
        <v>565.08000000000004</v>
      </c>
      <c r="V1052" s="101">
        <f t="shared" si="91"/>
        <v>4056.54</v>
      </c>
      <c r="W1052" s="101">
        <f t="shared" si="92"/>
        <v>17279.82</v>
      </c>
      <c r="X1052" s="101">
        <f t="shared" si="89"/>
        <v>282390.06</v>
      </c>
      <c r="Y1052" s="101">
        <f t="shared" si="93"/>
        <v>154951.26</v>
      </c>
    </row>
    <row r="1053" spans="1:25" ht="11.25" hidden="1" customHeight="1" x14ac:dyDescent="0.3">
      <c r="A1053" s="126" t="s">
        <v>186</v>
      </c>
      <c r="B1053" s="126">
        <v>44</v>
      </c>
      <c r="C1053" s="126">
        <v>14</v>
      </c>
      <c r="D1053" s="126" t="str">
        <f t="shared" si="83"/>
        <v>4414</v>
      </c>
      <c r="J1053" s="101">
        <v>21</v>
      </c>
      <c r="K1053" s="101">
        <v>44</v>
      </c>
      <c r="L1053" s="101">
        <v>72</v>
      </c>
      <c r="M1053" s="101">
        <v>5155.2699999999995</v>
      </c>
      <c r="N1053" s="101">
        <v>839.46400000000006</v>
      </c>
      <c r="O1053" s="101">
        <v>48</v>
      </c>
      <c r="P1053" s="101">
        <v>90</v>
      </c>
      <c r="Q1053" s="101">
        <v>131</v>
      </c>
      <c r="R1053" s="101">
        <v>7131</v>
      </c>
      <c r="S1053" s="101">
        <v>1417</v>
      </c>
      <c r="T1053" s="169">
        <v>1.02</v>
      </c>
      <c r="U1053" s="101">
        <f t="shared" si="90"/>
        <v>48.96</v>
      </c>
      <c r="V1053" s="101">
        <f t="shared" si="91"/>
        <v>91.8</v>
      </c>
      <c r="W1053" s="101">
        <f t="shared" si="92"/>
        <v>133.62</v>
      </c>
      <c r="X1053" s="101">
        <f t="shared" si="89"/>
        <v>7273.62</v>
      </c>
      <c r="Y1053" s="101">
        <f t="shared" si="93"/>
        <v>1445.34</v>
      </c>
    </row>
    <row r="1054" spans="1:25" ht="11.25" hidden="1" customHeight="1" x14ac:dyDescent="0.3">
      <c r="A1054" s="126" t="s">
        <v>186</v>
      </c>
      <c r="B1054" s="126">
        <v>44</v>
      </c>
      <c r="C1054" s="126">
        <v>22</v>
      </c>
      <c r="D1054" s="126" t="str">
        <f t="shared" si="83"/>
        <v>4422</v>
      </c>
      <c r="J1054" s="101">
        <v>16</v>
      </c>
      <c r="K1054" s="101">
        <v>26</v>
      </c>
      <c r="L1054" s="101">
        <v>1215</v>
      </c>
      <c r="M1054" s="101">
        <v>5477.94</v>
      </c>
      <c r="N1054" s="101">
        <v>4848.92</v>
      </c>
      <c r="O1054" s="101">
        <v>16</v>
      </c>
      <c r="P1054" s="101">
        <v>18</v>
      </c>
      <c r="Q1054" s="101">
        <v>115</v>
      </c>
      <c r="R1054" s="101">
        <v>5455</v>
      </c>
      <c r="S1054" s="101">
        <v>4055</v>
      </c>
      <c r="T1054" s="169">
        <v>1.02</v>
      </c>
      <c r="U1054" s="101">
        <f t="shared" si="90"/>
        <v>16.32</v>
      </c>
      <c r="V1054" s="101">
        <f t="shared" si="91"/>
        <v>18.36</v>
      </c>
      <c r="W1054" s="101">
        <f t="shared" si="92"/>
        <v>117.3</v>
      </c>
      <c r="X1054" s="101">
        <f t="shared" si="89"/>
        <v>5564.1</v>
      </c>
      <c r="Y1054" s="101">
        <f t="shared" si="93"/>
        <v>4136.1000000000004</v>
      </c>
    </row>
    <row r="1055" spans="1:25" ht="11.25" hidden="1" customHeight="1" x14ac:dyDescent="0.3">
      <c r="A1055" s="126" t="s">
        <v>186</v>
      </c>
      <c r="B1055" s="126">
        <v>44</v>
      </c>
      <c r="C1055" s="126">
        <v>26</v>
      </c>
      <c r="D1055" s="126" t="str">
        <f t="shared" si="83"/>
        <v>4426</v>
      </c>
      <c r="J1055" s="101">
        <v>11</v>
      </c>
      <c r="K1055" s="101">
        <v>19</v>
      </c>
      <c r="L1055" s="101">
        <v>249</v>
      </c>
      <c r="M1055" s="101">
        <v>11971.49</v>
      </c>
      <c r="N1055" s="101">
        <v>4114.424</v>
      </c>
      <c r="O1055" s="101">
        <v>3</v>
      </c>
      <c r="P1055" s="101">
        <v>4</v>
      </c>
      <c r="Q1055" s="101">
        <v>23</v>
      </c>
      <c r="R1055" s="101">
        <v>200</v>
      </c>
      <c r="S1055" s="101">
        <v>40</v>
      </c>
      <c r="T1055" s="169">
        <v>1.02</v>
      </c>
      <c r="U1055" s="101">
        <f t="shared" si="90"/>
        <v>3.06</v>
      </c>
      <c r="V1055" s="101">
        <f t="shared" si="91"/>
        <v>4.08</v>
      </c>
      <c r="W1055" s="101">
        <f t="shared" si="92"/>
        <v>23.46</v>
      </c>
      <c r="X1055" s="101">
        <f t="shared" si="89"/>
        <v>204</v>
      </c>
      <c r="Y1055" s="101">
        <f t="shared" si="93"/>
        <v>40.799999999999997</v>
      </c>
    </row>
    <row r="1056" spans="1:25" ht="11.25" hidden="1" customHeight="1" x14ac:dyDescent="0.3">
      <c r="A1056" s="126" t="s">
        <v>186</v>
      </c>
      <c r="B1056" s="126">
        <v>44</v>
      </c>
      <c r="C1056" s="126">
        <v>32</v>
      </c>
      <c r="D1056" s="126" t="str">
        <f t="shared" si="83"/>
        <v>4432</v>
      </c>
      <c r="J1056" s="101">
        <v>19</v>
      </c>
      <c r="K1056" s="101">
        <v>43</v>
      </c>
      <c r="L1056" s="101">
        <v>492</v>
      </c>
      <c r="M1056" s="101">
        <v>10445.379999999999</v>
      </c>
      <c r="N1056" s="101">
        <v>5087.3909999999996</v>
      </c>
      <c r="O1056" s="101">
        <v>26</v>
      </c>
      <c r="P1056" s="101">
        <v>34</v>
      </c>
      <c r="Q1056" s="101">
        <v>6531</v>
      </c>
      <c r="R1056" s="101">
        <v>211682</v>
      </c>
      <c r="S1056" s="101">
        <v>162002</v>
      </c>
      <c r="T1056" s="169">
        <v>1.02</v>
      </c>
      <c r="U1056" s="101">
        <f t="shared" si="90"/>
        <v>26.52</v>
      </c>
      <c r="V1056" s="101">
        <f t="shared" si="91"/>
        <v>34.68</v>
      </c>
      <c r="W1056" s="101">
        <f t="shared" si="92"/>
        <v>6661.62</v>
      </c>
      <c r="X1056" s="101">
        <f t="shared" si="89"/>
        <v>215915.64</v>
      </c>
      <c r="Y1056" s="101">
        <f t="shared" si="93"/>
        <v>165242.04</v>
      </c>
    </row>
    <row r="1057" spans="1:25" ht="11.25" hidden="1" customHeight="1" x14ac:dyDescent="0.3">
      <c r="A1057" s="126" t="s">
        <v>186</v>
      </c>
      <c r="B1057" s="126">
        <v>44</v>
      </c>
      <c r="C1057" s="126">
        <v>43</v>
      </c>
      <c r="D1057" s="126" t="str">
        <f t="shared" si="83"/>
        <v>4443</v>
      </c>
      <c r="J1057" s="101">
        <v>0</v>
      </c>
      <c r="K1057" s="101">
        <v>0</v>
      </c>
      <c r="L1057" s="101">
        <v>0</v>
      </c>
      <c r="M1057" s="101">
        <v>0</v>
      </c>
      <c r="N1057" s="101">
        <v>0</v>
      </c>
      <c r="O1057" s="101">
        <v>0</v>
      </c>
      <c r="P1057" s="101">
        <v>0</v>
      </c>
      <c r="Q1057" s="101">
        <v>0</v>
      </c>
      <c r="R1057" s="101">
        <v>0</v>
      </c>
      <c r="S1057" s="101">
        <v>0</v>
      </c>
      <c r="T1057" s="169">
        <v>1.02</v>
      </c>
      <c r="U1057" s="101">
        <f t="shared" si="90"/>
        <v>0</v>
      </c>
      <c r="V1057" s="101">
        <f t="shared" si="91"/>
        <v>0</v>
      </c>
      <c r="W1057" s="101">
        <f t="shared" si="92"/>
        <v>0</v>
      </c>
      <c r="X1057" s="101">
        <f t="shared" si="89"/>
        <v>0</v>
      </c>
      <c r="Y1057" s="101">
        <f t="shared" si="93"/>
        <v>0</v>
      </c>
    </row>
    <row r="1058" spans="1:25" ht="11.25" hidden="1" customHeight="1" x14ac:dyDescent="0.3">
      <c r="A1058" s="126" t="s">
        <v>186</v>
      </c>
      <c r="B1058" s="126">
        <v>44</v>
      </c>
      <c r="C1058" s="126">
        <v>44</v>
      </c>
      <c r="D1058" s="126" t="str">
        <f t="shared" si="83"/>
        <v>4444</v>
      </c>
      <c r="J1058" s="101">
        <v>0</v>
      </c>
      <c r="K1058" s="101">
        <v>0</v>
      </c>
      <c r="L1058" s="101">
        <v>0</v>
      </c>
      <c r="M1058" s="101">
        <v>0</v>
      </c>
      <c r="N1058" s="101">
        <v>0</v>
      </c>
      <c r="O1058" s="101">
        <v>0</v>
      </c>
      <c r="P1058" s="101">
        <v>0</v>
      </c>
      <c r="Q1058" s="101">
        <v>0</v>
      </c>
      <c r="R1058" s="101">
        <v>0</v>
      </c>
      <c r="S1058" s="101">
        <v>0</v>
      </c>
      <c r="T1058" s="169">
        <v>1.02</v>
      </c>
      <c r="U1058" s="101">
        <f t="shared" si="90"/>
        <v>0</v>
      </c>
      <c r="V1058" s="101">
        <f t="shared" si="91"/>
        <v>0</v>
      </c>
      <c r="W1058" s="101">
        <f t="shared" si="92"/>
        <v>0</v>
      </c>
      <c r="X1058" s="101">
        <f t="shared" si="89"/>
        <v>0</v>
      </c>
      <c r="Y1058" s="101">
        <f t="shared" si="93"/>
        <v>0</v>
      </c>
    </row>
    <row r="1059" spans="1:25" ht="11.25" hidden="1" customHeight="1" x14ac:dyDescent="0.3">
      <c r="A1059" s="126" t="s">
        <v>186</v>
      </c>
      <c r="B1059" s="126">
        <v>44</v>
      </c>
      <c r="C1059" s="126">
        <v>45</v>
      </c>
      <c r="D1059" s="126" t="str">
        <f t="shared" si="83"/>
        <v>4445</v>
      </c>
      <c r="J1059" s="101">
        <v>0</v>
      </c>
      <c r="K1059" s="101">
        <v>0</v>
      </c>
      <c r="L1059" s="101">
        <v>0</v>
      </c>
      <c r="M1059" s="101">
        <v>0</v>
      </c>
      <c r="N1059" s="101">
        <v>0</v>
      </c>
      <c r="O1059" s="101">
        <v>0</v>
      </c>
      <c r="P1059" s="101">
        <v>0</v>
      </c>
      <c r="Q1059" s="101">
        <v>0</v>
      </c>
      <c r="R1059" s="101">
        <v>0</v>
      </c>
      <c r="S1059" s="101">
        <v>0</v>
      </c>
      <c r="T1059" s="169">
        <v>1.02</v>
      </c>
      <c r="U1059" s="101">
        <f t="shared" si="90"/>
        <v>0</v>
      </c>
      <c r="V1059" s="101">
        <f t="shared" si="91"/>
        <v>0</v>
      </c>
      <c r="W1059" s="101">
        <f t="shared" si="92"/>
        <v>0</v>
      </c>
      <c r="X1059" s="101">
        <f t="shared" si="89"/>
        <v>0</v>
      </c>
      <c r="Y1059" s="101">
        <f t="shared" si="93"/>
        <v>0</v>
      </c>
    </row>
    <row r="1060" spans="1:25" ht="11.25" hidden="1" customHeight="1" x14ac:dyDescent="0.3">
      <c r="A1060" s="126" t="s">
        <v>186</v>
      </c>
      <c r="B1060" s="126">
        <v>44</v>
      </c>
      <c r="C1060" s="126">
        <v>47</v>
      </c>
      <c r="D1060" s="126" t="str">
        <f t="shared" si="83"/>
        <v>4447</v>
      </c>
      <c r="J1060" s="101">
        <v>0</v>
      </c>
      <c r="K1060" s="101">
        <v>0</v>
      </c>
      <c r="L1060" s="101">
        <v>0</v>
      </c>
      <c r="M1060" s="101">
        <v>0</v>
      </c>
      <c r="N1060" s="101">
        <v>0</v>
      </c>
      <c r="O1060" s="101">
        <v>0</v>
      </c>
      <c r="P1060" s="101">
        <v>0</v>
      </c>
      <c r="Q1060" s="101">
        <v>0</v>
      </c>
      <c r="R1060" s="101">
        <v>0</v>
      </c>
      <c r="S1060" s="101">
        <v>0</v>
      </c>
      <c r="T1060" s="169">
        <v>1.02</v>
      </c>
      <c r="U1060" s="101">
        <f t="shared" si="90"/>
        <v>0</v>
      </c>
      <c r="V1060" s="101">
        <f t="shared" si="91"/>
        <v>0</v>
      </c>
      <c r="W1060" s="101">
        <f t="shared" si="92"/>
        <v>0</v>
      </c>
      <c r="X1060" s="101">
        <f t="shared" si="89"/>
        <v>0</v>
      </c>
      <c r="Y1060" s="101">
        <f t="shared" si="93"/>
        <v>0</v>
      </c>
    </row>
    <row r="1061" spans="1:25" ht="11.25" hidden="1" customHeight="1" x14ac:dyDescent="0.3">
      <c r="A1061" s="126" t="s">
        <v>186</v>
      </c>
      <c r="B1061" s="126">
        <v>44</v>
      </c>
      <c r="C1061" s="126">
        <v>91</v>
      </c>
      <c r="D1061" s="126" t="str">
        <f t="shared" si="83"/>
        <v>4491</v>
      </c>
      <c r="J1061" s="101">
        <v>13</v>
      </c>
      <c r="K1061" s="101">
        <v>26</v>
      </c>
      <c r="L1061" s="101">
        <v>273</v>
      </c>
      <c r="M1061" s="101">
        <v>1269.8900000000001</v>
      </c>
      <c r="N1061" s="101">
        <v>713.22799999999995</v>
      </c>
      <c r="O1061" s="101">
        <v>50</v>
      </c>
      <c r="P1061" s="101">
        <v>215</v>
      </c>
      <c r="Q1061" s="101">
        <v>2425</v>
      </c>
      <c r="R1061" s="101">
        <v>9782</v>
      </c>
      <c r="S1061" s="101">
        <v>5245</v>
      </c>
      <c r="T1061" s="169">
        <v>1.02</v>
      </c>
      <c r="U1061" s="101">
        <f t="shared" si="90"/>
        <v>51</v>
      </c>
      <c r="V1061" s="101">
        <f t="shared" si="91"/>
        <v>219.3</v>
      </c>
      <c r="W1061" s="101">
        <f t="shared" si="92"/>
        <v>2473.5</v>
      </c>
      <c r="X1061" s="101">
        <f t="shared" si="89"/>
        <v>9977.64</v>
      </c>
      <c r="Y1061" s="101">
        <f t="shared" si="93"/>
        <v>5349.9000000000005</v>
      </c>
    </row>
    <row r="1062" spans="1:25" ht="11.25" hidden="1" customHeight="1" x14ac:dyDescent="0.3">
      <c r="A1062" s="126" t="s">
        <v>186</v>
      </c>
      <c r="B1062" s="126">
        <v>44</v>
      </c>
      <c r="C1062" s="126">
        <v>27</v>
      </c>
      <c r="D1062" s="126" t="str">
        <f t="shared" si="83"/>
        <v>4427</v>
      </c>
      <c r="E1062" s="101">
        <v>78</v>
      </c>
      <c r="F1062" s="101">
        <v>4693</v>
      </c>
      <c r="G1062" s="101">
        <v>17098</v>
      </c>
      <c r="H1062" s="101">
        <v>217165.03999999998</v>
      </c>
      <c r="I1062" s="101">
        <v>76967.923999999999</v>
      </c>
      <c r="J1062" s="101">
        <v>50</v>
      </c>
      <c r="K1062" s="101">
        <v>2831</v>
      </c>
      <c r="L1062" s="101">
        <v>19073</v>
      </c>
      <c r="M1062" s="101">
        <v>200540.33</v>
      </c>
      <c r="N1062" s="101">
        <v>65563.557000000001</v>
      </c>
      <c r="O1062" s="101">
        <v>67</v>
      </c>
      <c r="P1062" s="101">
        <v>2506</v>
      </c>
      <c r="Q1062" s="101">
        <v>14393</v>
      </c>
      <c r="R1062" s="101">
        <v>122136</v>
      </c>
      <c r="S1062" s="101">
        <v>55123</v>
      </c>
      <c r="T1062" s="169">
        <v>1.02</v>
      </c>
      <c r="U1062" s="101">
        <f t="shared" si="90"/>
        <v>68.34</v>
      </c>
      <c r="V1062" s="101">
        <f t="shared" si="91"/>
        <v>2556.12</v>
      </c>
      <c r="W1062" s="101">
        <f t="shared" si="92"/>
        <v>14680.86</v>
      </c>
      <c r="X1062" s="101">
        <f t="shared" si="89"/>
        <v>124578.72</v>
      </c>
      <c r="Y1062" s="101">
        <f t="shared" si="93"/>
        <v>56225.46</v>
      </c>
    </row>
    <row r="1063" spans="1:25" ht="11.25" customHeight="1" x14ac:dyDescent="0.3">
      <c r="A1063" s="126" t="s">
        <v>186</v>
      </c>
      <c r="B1063" s="126">
        <v>44</v>
      </c>
      <c r="C1063" s="126" t="s">
        <v>172</v>
      </c>
      <c r="D1063" s="126" t="str">
        <f t="shared" si="83"/>
        <v>44Uml</v>
      </c>
      <c r="J1063" s="101">
        <v>222</v>
      </c>
      <c r="K1063" s="101">
        <v>230</v>
      </c>
      <c r="L1063" s="101">
        <v>19307</v>
      </c>
      <c r="N1063" s="101">
        <v>84938</v>
      </c>
      <c r="O1063" s="101">
        <v>349</v>
      </c>
      <c r="P1063" s="101">
        <v>359</v>
      </c>
      <c r="Q1063" s="101">
        <v>110214</v>
      </c>
      <c r="S1063" s="101">
        <v>328346.14899999998</v>
      </c>
      <c r="T1063" s="169">
        <v>1.02</v>
      </c>
      <c r="U1063" s="101">
        <f t="shared" si="90"/>
        <v>355.98</v>
      </c>
      <c r="V1063" s="101">
        <f t="shared" si="91"/>
        <v>366.18</v>
      </c>
      <c r="W1063" s="101">
        <f t="shared" si="92"/>
        <v>112418.28</v>
      </c>
      <c r="X1063" s="101">
        <f t="shared" si="89"/>
        <v>0</v>
      </c>
      <c r="Y1063" s="101">
        <f t="shared" si="93"/>
        <v>334913.07198000001</v>
      </c>
    </row>
    <row r="1064" spans="1:25" ht="11.25" hidden="1" customHeight="1" x14ac:dyDescent="0.3">
      <c r="A1064" s="126" t="s">
        <v>186</v>
      </c>
      <c r="B1064" s="126">
        <v>44</v>
      </c>
      <c r="C1064" s="126">
        <v>37</v>
      </c>
      <c r="D1064" s="126" t="str">
        <f t="shared" si="83"/>
        <v>4437</v>
      </c>
      <c r="E1064" s="101">
        <v>6.75</v>
      </c>
      <c r="F1064" s="101">
        <v>14</v>
      </c>
      <c r="G1064" s="101">
        <v>719</v>
      </c>
      <c r="H1064" s="101">
        <v>12145.655000000001</v>
      </c>
      <c r="I1064" s="101">
        <v>492.15199999999999</v>
      </c>
      <c r="J1064" s="101">
        <v>14</v>
      </c>
      <c r="K1064" s="101">
        <v>27</v>
      </c>
      <c r="L1064" s="101">
        <v>848</v>
      </c>
      <c r="M1064" s="101">
        <v>2491.11</v>
      </c>
      <c r="N1064" s="101">
        <v>942.84099999999989</v>
      </c>
      <c r="O1064" s="101">
        <v>26</v>
      </c>
      <c r="P1064" s="101">
        <v>123</v>
      </c>
      <c r="Q1064" s="101">
        <v>1104</v>
      </c>
      <c r="R1064" s="101">
        <v>8374</v>
      </c>
      <c r="S1064" s="101">
        <v>3935</v>
      </c>
      <c r="T1064" s="169">
        <v>1.02</v>
      </c>
      <c r="U1064" s="101">
        <f t="shared" si="90"/>
        <v>26.52</v>
      </c>
      <c r="V1064" s="101">
        <f t="shared" si="91"/>
        <v>125.46000000000001</v>
      </c>
      <c r="W1064" s="101">
        <f t="shared" si="92"/>
        <v>1126.08</v>
      </c>
      <c r="X1064" s="101">
        <f t="shared" si="89"/>
        <v>8541.48</v>
      </c>
      <c r="Y1064" s="101">
        <f t="shared" si="93"/>
        <v>4013.7000000000003</v>
      </c>
    </row>
    <row r="1065" spans="1:25" ht="11.25" hidden="1" customHeight="1" x14ac:dyDescent="0.3">
      <c r="A1065" s="126" t="s">
        <v>187</v>
      </c>
      <c r="B1065" s="126">
        <v>45</v>
      </c>
      <c r="C1065" s="126">
        <v>12</v>
      </c>
      <c r="D1065" s="126" t="str">
        <f t="shared" si="83"/>
        <v>4512</v>
      </c>
      <c r="E1065" s="101">
        <v>2843</v>
      </c>
      <c r="F1065" s="101">
        <v>12708</v>
      </c>
      <c r="G1065" s="101">
        <v>18052</v>
      </c>
      <c r="H1065" s="101">
        <v>325689.61</v>
      </c>
      <c r="I1065" s="101">
        <v>93500.714000000007</v>
      </c>
      <c r="J1065" s="101">
        <v>24</v>
      </c>
      <c r="K1065" s="101">
        <v>32</v>
      </c>
      <c r="L1065" s="101">
        <v>33</v>
      </c>
      <c r="M1065" s="101">
        <v>668.81999999999994</v>
      </c>
      <c r="N1065" s="101">
        <v>238.90999999999997</v>
      </c>
      <c r="O1065" s="101">
        <v>14</v>
      </c>
      <c r="P1065" s="101">
        <v>19</v>
      </c>
      <c r="Q1065" s="101">
        <v>19</v>
      </c>
      <c r="R1065" s="101">
        <v>465</v>
      </c>
      <c r="S1065" s="101">
        <v>113</v>
      </c>
      <c r="T1065" s="169">
        <v>1.02</v>
      </c>
      <c r="U1065" s="101">
        <f t="shared" si="90"/>
        <v>14.280000000000001</v>
      </c>
      <c r="V1065" s="101">
        <f t="shared" si="91"/>
        <v>19.38</v>
      </c>
      <c r="W1065" s="101">
        <f t="shared" si="92"/>
        <v>19.38</v>
      </c>
      <c r="X1065" s="101">
        <f t="shared" si="89"/>
        <v>474.3</v>
      </c>
      <c r="Y1065" s="101">
        <f t="shared" si="93"/>
        <v>115.26</v>
      </c>
    </row>
    <row r="1066" spans="1:25" ht="11.25" hidden="1" customHeight="1" x14ac:dyDescent="0.3">
      <c r="A1066" s="126" t="s">
        <v>187</v>
      </c>
      <c r="B1066" s="126">
        <v>45</v>
      </c>
      <c r="C1066" s="126">
        <v>17</v>
      </c>
      <c r="D1066" s="126" t="str">
        <f t="shared" si="83"/>
        <v>4517</v>
      </c>
      <c r="E1066" s="101">
        <v>2560</v>
      </c>
      <c r="F1066" s="101">
        <v>3223</v>
      </c>
      <c r="G1066" s="101">
        <v>4572</v>
      </c>
      <c r="H1066" s="101">
        <v>156918.29</v>
      </c>
      <c r="I1066" s="101">
        <v>31952.911</v>
      </c>
      <c r="J1066" s="101">
        <v>1136</v>
      </c>
      <c r="K1066" s="101">
        <v>1910</v>
      </c>
      <c r="L1066" s="101">
        <v>3100</v>
      </c>
      <c r="M1066" s="101">
        <v>80342.080000000002</v>
      </c>
      <c r="N1066" s="101">
        <v>12345.895</v>
      </c>
      <c r="O1066" s="101">
        <v>1332</v>
      </c>
      <c r="P1066" s="101">
        <v>2216</v>
      </c>
      <c r="Q1066" s="101">
        <v>3375</v>
      </c>
      <c r="R1066" s="101">
        <v>90020</v>
      </c>
      <c r="S1066" s="101">
        <v>14887</v>
      </c>
      <c r="T1066" s="169">
        <v>1.02</v>
      </c>
      <c r="U1066" s="101">
        <v>5144</v>
      </c>
      <c r="V1066" s="101">
        <v>10871</v>
      </c>
      <c r="W1066" s="101">
        <v>15806</v>
      </c>
      <c r="X1066" s="101">
        <f t="shared" si="89"/>
        <v>91820.400000000009</v>
      </c>
      <c r="Y1066" s="101">
        <v>55000</v>
      </c>
    </row>
    <row r="1067" spans="1:25" ht="11.25" hidden="1" customHeight="1" x14ac:dyDescent="0.3">
      <c r="A1067" s="126" t="s">
        <v>187</v>
      </c>
      <c r="B1067" s="126">
        <v>45</v>
      </c>
      <c r="C1067" s="126">
        <v>18</v>
      </c>
      <c r="D1067" s="126" t="str">
        <f t="shared" si="83"/>
        <v>4518</v>
      </c>
      <c r="E1067" s="101">
        <v>858</v>
      </c>
      <c r="F1067" s="101">
        <v>964</v>
      </c>
      <c r="G1067" s="101">
        <v>1113</v>
      </c>
      <c r="H1067" s="101">
        <v>100243.69</v>
      </c>
      <c r="I1067" s="101">
        <v>9989.5589999999993</v>
      </c>
      <c r="J1067" s="101">
        <v>3556</v>
      </c>
      <c r="K1067" s="101">
        <v>4049</v>
      </c>
      <c r="L1067" s="101">
        <v>4493</v>
      </c>
      <c r="M1067" s="101">
        <v>197058.21000000002</v>
      </c>
      <c r="N1067" s="101">
        <v>47624.932000000001</v>
      </c>
      <c r="O1067" s="101">
        <v>1871</v>
      </c>
      <c r="P1067" s="101">
        <v>2157</v>
      </c>
      <c r="Q1067" s="101">
        <v>4548</v>
      </c>
      <c r="R1067" s="101">
        <v>101215</v>
      </c>
      <c r="S1067" s="101">
        <v>97584</v>
      </c>
      <c r="T1067" s="169">
        <v>1.32</v>
      </c>
      <c r="U1067" s="101">
        <f t="shared" si="90"/>
        <v>2469.7200000000003</v>
      </c>
      <c r="V1067" s="101">
        <f t="shared" si="91"/>
        <v>2847.2400000000002</v>
      </c>
      <c r="W1067" s="101">
        <f t="shared" si="92"/>
        <v>6003.3600000000006</v>
      </c>
      <c r="X1067" s="101">
        <f t="shared" si="89"/>
        <v>133603.80000000002</v>
      </c>
      <c r="Y1067" s="101">
        <f t="shared" si="93"/>
        <v>128810.88</v>
      </c>
    </row>
    <row r="1068" spans="1:25" ht="11.25" hidden="1" customHeight="1" x14ac:dyDescent="0.3">
      <c r="A1068" s="126" t="s">
        <v>187</v>
      </c>
      <c r="B1068" s="126">
        <v>45</v>
      </c>
      <c r="C1068" s="126">
        <v>28</v>
      </c>
      <c r="D1068" s="126" t="str">
        <f t="shared" ref="D1068:D1170" si="94">CONCATENATE(B1068,C1068)</f>
        <v>4528</v>
      </c>
      <c r="E1068" s="101">
        <v>619</v>
      </c>
      <c r="F1068" s="101">
        <v>6174</v>
      </c>
      <c r="G1068" s="101">
        <v>102128</v>
      </c>
      <c r="H1068" s="101">
        <v>1974350.95</v>
      </c>
      <c r="I1068" s="101">
        <v>431831.603</v>
      </c>
      <c r="J1068" s="101">
        <v>286</v>
      </c>
      <c r="K1068" s="101">
        <v>3035</v>
      </c>
      <c r="L1068" s="101">
        <v>25912</v>
      </c>
      <c r="M1068" s="101">
        <v>852353.13000000012</v>
      </c>
      <c r="N1068" s="101">
        <v>205522.83300000001</v>
      </c>
      <c r="O1068" s="101">
        <v>347</v>
      </c>
      <c r="P1068" s="101">
        <v>6263</v>
      </c>
      <c r="Q1068" s="101">
        <v>59256</v>
      </c>
      <c r="R1068" s="101">
        <v>1390948</v>
      </c>
      <c r="S1068" s="101">
        <v>384175</v>
      </c>
      <c r="T1068" s="169">
        <v>1.02</v>
      </c>
      <c r="U1068" s="101">
        <v>121</v>
      </c>
      <c r="V1068" s="101">
        <v>761</v>
      </c>
      <c r="W1068" s="101">
        <v>8944</v>
      </c>
      <c r="X1068" s="144">
        <f t="shared" si="89"/>
        <v>1418766.96</v>
      </c>
      <c r="Y1068" s="101">
        <v>136066</v>
      </c>
    </row>
    <row r="1069" spans="1:25" ht="11.25" hidden="1" customHeight="1" x14ac:dyDescent="0.3">
      <c r="A1069" s="126" t="s">
        <v>187</v>
      </c>
      <c r="B1069" s="126">
        <v>45</v>
      </c>
      <c r="C1069" s="126">
        <v>46</v>
      </c>
      <c r="D1069" s="126" t="str">
        <f t="shared" si="94"/>
        <v>4546</v>
      </c>
      <c r="E1069" s="101">
        <v>414</v>
      </c>
      <c r="F1069" s="101">
        <v>897</v>
      </c>
      <c r="G1069" s="101">
        <v>26529</v>
      </c>
      <c r="H1069" s="101">
        <v>556779.21</v>
      </c>
      <c r="I1069" s="101">
        <v>191997.31999999998</v>
      </c>
      <c r="J1069" s="101">
        <v>267</v>
      </c>
      <c r="K1069" s="101">
        <v>560</v>
      </c>
      <c r="L1069" s="101">
        <v>24122</v>
      </c>
      <c r="M1069" s="101">
        <v>511958.21</v>
      </c>
      <c r="N1069" s="101">
        <v>205950.24499999997</v>
      </c>
      <c r="O1069" s="101">
        <v>305</v>
      </c>
      <c r="P1069" s="101">
        <v>641</v>
      </c>
      <c r="Q1069" s="101">
        <v>71761</v>
      </c>
      <c r="R1069" s="101">
        <v>922739</v>
      </c>
      <c r="S1069" s="101">
        <v>376246</v>
      </c>
      <c r="T1069" s="169">
        <v>1.02</v>
      </c>
      <c r="U1069" s="101">
        <f t="shared" si="90"/>
        <v>311.10000000000002</v>
      </c>
      <c r="V1069" s="101">
        <f t="shared" si="91"/>
        <v>653.82000000000005</v>
      </c>
      <c r="W1069" s="101">
        <f t="shared" si="92"/>
        <v>73196.22</v>
      </c>
      <c r="X1069" s="101">
        <f t="shared" si="89"/>
        <v>941193.78</v>
      </c>
      <c r="Y1069" s="101">
        <f t="shared" si="93"/>
        <v>383770.92</v>
      </c>
    </row>
    <row r="1070" spans="1:25" ht="11.25" hidden="1" customHeight="1" x14ac:dyDescent="0.3">
      <c r="A1070" s="126" t="s">
        <v>187</v>
      </c>
      <c r="B1070" s="126">
        <v>45</v>
      </c>
      <c r="C1070" s="126">
        <v>48</v>
      </c>
      <c r="D1070" s="126" t="str">
        <f t="shared" si="94"/>
        <v>4548</v>
      </c>
      <c r="E1070" s="101">
        <v>3</v>
      </c>
      <c r="F1070" s="101">
        <v>3</v>
      </c>
      <c r="G1070" s="101">
        <v>512</v>
      </c>
      <c r="H1070" s="101">
        <v>3216.9</v>
      </c>
      <c r="I1070" s="101">
        <v>259.91200000000003</v>
      </c>
      <c r="J1070" s="101">
        <v>1</v>
      </c>
      <c r="K1070" s="101">
        <v>1</v>
      </c>
      <c r="L1070" s="101">
        <v>65</v>
      </c>
      <c r="M1070" s="101">
        <v>545.35</v>
      </c>
      <c r="N1070" s="101">
        <v>144.67699999999999</v>
      </c>
      <c r="O1070" s="101">
        <v>0</v>
      </c>
      <c r="P1070" s="101">
        <v>0</v>
      </c>
      <c r="Q1070" s="101">
        <v>0</v>
      </c>
      <c r="R1070" s="101">
        <v>0</v>
      </c>
      <c r="S1070" s="101">
        <v>0</v>
      </c>
      <c r="T1070" s="169">
        <v>1.02</v>
      </c>
      <c r="U1070" s="101">
        <f t="shared" si="90"/>
        <v>0</v>
      </c>
      <c r="V1070" s="101">
        <f t="shared" si="91"/>
        <v>0</v>
      </c>
      <c r="W1070" s="101">
        <f t="shared" si="92"/>
        <v>0</v>
      </c>
      <c r="X1070" s="101">
        <f t="shared" si="89"/>
        <v>0</v>
      </c>
      <c r="Y1070" s="101">
        <f t="shared" si="93"/>
        <v>0</v>
      </c>
    </row>
    <row r="1071" spans="1:25" ht="11.25" hidden="1" customHeight="1" x14ac:dyDescent="0.3">
      <c r="A1071" s="126" t="s">
        <v>187</v>
      </c>
      <c r="B1071" s="126">
        <v>45</v>
      </c>
      <c r="C1071" s="126">
        <v>66</v>
      </c>
      <c r="D1071" s="126" t="str">
        <f t="shared" si="94"/>
        <v>4566</v>
      </c>
      <c r="E1071" s="101">
        <v>588</v>
      </c>
      <c r="F1071" s="101">
        <v>3235</v>
      </c>
      <c r="G1071" s="101">
        <v>56856</v>
      </c>
      <c r="H1071" s="101">
        <v>345168.49</v>
      </c>
      <c r="I1071" s="101">
        <v>154565.685</v>
      </c>
      <c r="J1071" s="101">
        <v>298</v>
      </c>
      <c r="K1071" s="101">
        <v>2257</v>
      </c>
      <c r="L1071" s="101">
        <v>35473</v>
      </c>
      <c r="M1071" s="101">
        <v>334203.3</v>
      </c>
      <c r="N1071" s="101">
        <v>188631.519</v>
      </c>
      <c r="O1071" s="101">
        <v>377</v>
      </c>
      <c r="P1071" s="101">
        <v>2233</v>
      </c>
      <c r="Q1071" s="101">
        <v>62759</v>
      </c>
      <c r="R1071" s="101">
        <v>372793</v>
      </c>
      <c r="S1071" s="101">
        <v>241031</v>
      </c>
      <c r="T1071" s="169">
        <v>1.02</v>
      </c>
      <c r="U1071" s="101">
        <f t="shared" si="90"/>
        <v>384.54</v>
      </c>
      <c r="V1071" s="101">
        <f t="shared" si="91"/>
        <v>2277.66</v>
      </c>
      <c r="W1071" s="101">
        <f t="shared" si="92"/>
        <v>64014.18</v>
      </c>
      <c r="X1071" s="101">
        <f t="shared" si="89"/>
        <v>380248.86</v>
      </c>
      <c r="Y1071" s="101">
        <f t="shared" si="93"/>
        <v>245851.62</v>
      </c>
    </row>
    <row r="1072" spans="1:25" ht="11.25" hidden="1" customHeight="1" x14ac:dyDescent="0.3">
      <c r="A1072" s="126" t="s">
        <v>187</v>
      </c>
      <c r="B1072" s="126">
        <v>45</v>
      </c>
      <c r="C1072" s="126">
        <v>30</v>
      </c>
      <c r="D1072" s="126" t="str">
        <f t="shared" si="94"/>
        <v>4530</v>
      </c>
      <c r="E1072" s="101">
        <v>306.5</v>
      </c>
      <c r="F1072" s="101">
        <v>4947.5</v>
      </c>
      <c r="G1072" s="101">
        <v>20836.5</v>
      </c>
      <c r="H1072" s="101">
        <v>485326.79500000004</v>
      </c>
      <c r="I1072" s="101">
        <v>167408.35999999999</v>
      </c>
      <c r="J1072" s="101">
        <v>0</v>
      </c>
      <c r="K1072" s="101">
        <v>0</v>
      </c>
      <c r="L1072" s="101">
        <v>0</v>
      </c>
      <c r="M1072" s="101">
        <v>0</v>
      </c>
      <c r="N1072" s="101">
        <v>0</v>
      </c>
      <c r="O1072" s="101">
        <v>113</v>
      </c>
      <c r="P1072" s="101">
        <v>164</v>
      </c>
      <c r="Q1072" s="101">
        <v>3357</v>
      </c>
      <c r="R1072" s="101">
        <v>291882</v>
      </c>
      <c r="S1072" s="101">
        <v>130394</v>
      </c>
      <c r="T1072" s="169">
        <v>1.02</v>
      </c>
      <c r="U1072" s="101">
        <f t="shared" si="90"/>
        <v>115.26</v>
      </c>
      <c r="V1072" s="101">
        <f t="shared" si="91"/>
        <v>167.28</v>
      </c>
      <c r="W1072" s="101">
        <f t="shared" si="92"/>
        <v>3424.14</v>
      </c>
      <c r="X1072" s="101">
        <f t="shared" si="89"/>
        <v>297719.64</v>
      </c>
      <c r="Y1072" s="101">
        <f t="shared" si="93"/>
        <v>133001.88</v>
      </c>
    </row>
    <row r="1073" spans="1:25" ht="11.25" hidden="1" customHeight="1" x14ac:dyDescent="0.3">
      <c r="A1073" s="126" t="s">
        <v>187</v>
      </c>
      <c r="B1073" s="126">
        <v>45</v>
      </c>
      <c r="C1073" s="126">
        <v>21</v>
      </c>
      <c r="D1073" s="126" t="str">
        <f t="shared" si="94"/>
        <v>4521</v>
      </c>
      <c r="E1073" s="101">
        <v>922.5</v>
      </c>
      <c r="F1073" s="101">
        <v>6424.5</v>
      </c>
      <c r="G1073" s="101">
        <v>37668</v>
      </c>
      <c r="H1073" s="101">
        <v>464265.05000000005</v>
      </c>
      <c r="I1073" s="101">
        <v>123178.67850000001</v>
      </c>
      <c r="J1073" s="101">
        <v>1236</v>
      </c>
      <c r="K1073" s="101">
        <v>9907</v>
      </c>
      <c r="L1073" s="101">
        <v>62102</v>
      </c>
      <c r="M1073" s="101">
        <v>680048.37</v>
      </c>
      <c r="N1073" s="101">
        <v>214481.777</v>
      </c>
      <c r="O1073" s="101">
        <v>1112</v>
      </c>
      <c r="P1073" s="101">
        <v>10041</v>
      </c>
      <c r="Q1073" s="101">
        <v>69228</v>
      </c>
      <c r="R1073" s="101">
        <v>912510</v>
      </c>
      <c r="S1073" s="101">
        <v>298470</v>
      </c>
      <c r="T1073" s="169">
        <v>1.02</v>
      </c>
      <c r="U1073" s="101"/>
      <c r="V1073" s="101"/>
      <c r="W1073" s="101"/>
      <c r="X1073" s="101"/>
      <c r="Y1073" s="101"/>
    </row>
    <row r="1074" spans="1:25" ht="11.25" hidden="1" customHeight="1" x14ac:dyDescent="0.3">
      <c r="A1074" s="126" t="s">
        <v>187</v>
      </c>
      <c r="B1074" s="126">
        <v>45</v>
      </c>
      <c r="C1074" s="126">
        <v>71</v>
      </c>
      <c r="D1074" s="126" t="str">
        <f t="shared" si="94"/>
        <v>4571</v>
      </c>
      <c r="E1074" s="101">
        <v>691.5</v>
      </c>
      <c r="F1074" s="101">
        <v>9071.5</v>
      </c>
      <c r="G1074" s="101">
        <v>39524</v>
      </c>
      <c r="H1074" s="101">
        <v>351780.995</v>
      </c>
      <c r="I1074" s="101">
        <v>213428.78350000002</v>
      </c>
      <c r="J1074" s="101">
        <v>569</v>
      </c>
      <c r="K1074" s="101">
        <v>7146</v>
      </c>
      <c r="L1074" s="101">
        <v>31768</v>
      </c>
      <c r="M1074" s="101">
        <v>271746.41000000003</v>
      </c>
      <c r="N1074" s="101">
        <v>147462.75200000001</v>
      </c>
      <c r="O1074" s="101">
        <v>462</v>
      </c>
      <c r="P1074" s="101">
        <v>12090</v>
      </c>
      <c r="Q1074" s="101">
        <v>67368</v>
      </c>
      <c r="R1074" s="101">
        <v>530191</v>
      </c>
      <c r="S1074" s="101">
        <v>335548</v>
      </c>
      <c r="T1074" s="169">
        <v>0.98</v>
      </c>
      <c r="U1074" s="101">
        <v>779</v>
      </c>
      <c r="V1074" s="101">
        <v>25509</v>
      </c>
      <c r="W1074" s="101">
        <v>147198</v>
      </c>
      <c r="X1074" s="101">
        <v>1097257</v>
      </c>
      <c r="Y1074" s="101">
        <v>647527</v>
      </c>
    </row>
    <row r="1075" spans="1:25" ht="11.25" hidden="1" customHeight="1" x14ac:dyDescent="0.3">
      <c r="A1075" s="126" t="s">
        <v>187</v>
      </c>
      <c r="B1075" s="126">
        <v>45</v>
      </c>
      <c r="C1075" s="126">
        <v>25</v>
      </c>
      <c r="D1075" s="126" t="str">
        <f t="shared" si="94"/>
        <v>4525</v>
      </c>
      <c r="E1075" s="101">
        <v>1372</v>
      </c>
      <c r="F1075" s="101">
        <v>9222</v>
      </c>
      <c r="G1075" s="101">
        <v>47985</v>
      </c>
      <c r="H1075" s="101">
        <v>802065.07</v>
      </c>
      <c r="I1075" s="101">
        <v>347682.51600000006</v>
      </c>
      <c r="J1075" s="101">
        <v>822</v>
      </c>
      <c r="K1075" s="101">
        <v>8601</v>
      </c>
      <c r="L1075" s="101">
        <v>118075</v>
      </c>
      <c r="M1075" s="101">
        <v>1099175.3599999999</v>
      </c>
      <c r="N1075" s="101">
        <v>434991.64199999999</v>
      </c>
      <c r="O1075" s="101">
        <v>861</v>
      </c>
      <c r="P1075" s="101">
        <v>9818</v>
      </c>
      <c r="Q1075" s="101">
        <v>55354</v>
      </c>
      <c r="R1075" s="101">
        <v>510049</v>
      </c>
      <c r="S1075" s="101">
        <v>236043</v>
      </c>
      <c r="T1075" s="169">
        <v>1.02</v>
      </c>
      <c r="U1075" s="101">
        <f t="shared" si="90"/>
        <v>878.22</v>
      </c>
      <c r="V1075" s="101">
        <f t="shared" si="91"/>
        <v>10014.36</v>
      </c>
      <c r="W1075" s="101">
        <f t="shared" si="92"/>
        <v>56461.08</v>
      </c>
      <c r="X1075" s="101">
        <f t="shared" si="89"/>
        <v>520249.98</v>
      </c>
      <c r="Y1075" s="101">
        <f t="shared" si="93"/>
        <v>240763.86000000002</v>
      </c>
    </row>
    <row r="1076" spans="1:25" ht="11.25" hidden="1" customHeight="1" x14ac:dyDescent="0.3">
      <c r="A1076" s="126" t="s">
        <v>187</v>
      </c>
      <c r="B1076" s="126">
        <v>45</v>
      </c>
      <c r="C1076" s="126">
        <v>14</v>
      </c>
      <c r="D1076" s="126" t="str">
        <f t="shared" si="94"/>
        <v>4514</v>
      </c>
      <c r="J1076" s="101">
        <v>29</v>
      </c>
      <c r="K1076" s="101">
        <v>57</v>
      </c>
      <c r="L1076" s="101">
        <v>95</v>
      </c>
      <c r="M1076" s="101">
        <v>4531.67</v>
      </c>
      <c r="N1076" s="101">
        <v>666.96800000000007</v>
      </c>
      <c r="O1076" s="101">
        <v>62</v>
      </c>
      <c r="P1076" s="101">
        <v>98</v>
      </c>
      <c r="Q1076" s="101">
        <v>147</v>
      </c>
      <c r="R1076" s="101">
        <v>6257</v>
      </c>
      <c r="S1076" s="101">
        <v>975</v>
      </c>
      <c r="T1076" s="169">
        <v>1.02</v>
      </c>
      <c r="U1076" s="101">
        <f t="shared" si="90"/>
        <v>63.24</v>
      </c>
      <c r="V1076" s="101">
        <f t="shared" si="91"/>
        <v>99.960000000000008</v>
      </c>
      <c r="W1076" s="101">
        <f t="shared" si="92"/>
        <v>149.94</v>
      </c>
      <c r="X1076" s="101">
        <f t="shared" si="89"/>
        <v>6382.14</v>
      </c>
      <c r="Y1076" s="101">
        <f t="shared" si="93"/>
        <v>994.5</v>
      </c>
    </row>
    <row r="1077" spans="1:25" ht="11.25" hidden="1" customHeight="1" x14ac:dyDescent="0.3">
      <c r="A1077" s="126" t="s">
        <v>187</v>
      </c>
      <c r="B1077" s="126">
        <v>45</v>
      </c>
      <c r="C1077" s="126">
        <v>22</v>
      </c>
      <c r="D1077" s="126" t="str">
        <f t="shared" si="94"/>
        <v>4522</v>
      </c>
      <c r="J1077" s="101">
        <v>162</v>
      </c>
      <c r="K1077" s="101">
        <v>265</v>
      </c>
      <c r="L1077" s="101">
        <v>2529</v>
      </c>
      <c r="M1077" s="101">
        <v>60931.170000000006</v>
      </c>
      <c r="N1077" s="101">
        <v>34190.163000000008</v>
      </c>
      <c r="O1077" s="101">
        <v>9</v>
      </c>
      <c r="P1077" s="101">
        <v>17</v>
      </c>
      <c r="Q1077" s="101">
        <v>60</v>
      </c>
      <c r="R1077" s="101">
        <v>492</v>
      </c>
      <c r="S1077" s="101">
        <v>325</v>
      </c>
      <c r="T1077" s="169">
        <v>1.02</v>
      </c>
      <c r="U1077" s="101">
        <f t="shared" si="90"/>
        <v>9.18</v>
      </c>
      <c r="V1077" s="101">
        <f t="shared" si="91"/>
        <v>17.34</v>
      </c>
      <c r="W1077" s="101">
        <f t="shared" si="92"/>
        <v>61.2</v>
      </c>
      <c r="X1077" s="101">
        <f t="shared" si="89"/>
        <v>501.84000000000003</v>
      </c>
      <c r="Y1077" s="101">
        <f t="shared" si="93"/>
        <v>331.5</v>
      </c>
    </row>
    <row r="1078" spans="1:25" ht="11.25" hidden="1" customHeight="1" x14ac:dyDescent="0.3">
      <c r="A1078" s="126" t="s">
        <v>187</v>
      </c>
      <c r="B1078" s="126">
        <v>45</v>
      </c>
      <c r="C1078" s="126">
        <v>26</v>
      </c>
      <c r="D1078" s="126" t="str">
        <f t="shared" si="94"/>
        <v>4526</v>
      </c>
      <c r="J1078" s="101">
        <v>17</v>
      </c>
      <c r="K1078" s="101">
        <v>29</v>
      </c>
      <c r="L1078" s="101">
        <v>257</v>
      </c>
      <c r="M1078" s="101">
        <v>11697.249999999998</v>
      </c>
      <c r="N1078" s="101">
        <v>5729.9459999999999</v>
      </c>
      <c r="O1078" s="101">
        <v>5</v>
      </c>
      <c r="P1078" s="101">
        <v>8</v>
      </c>
      <c r="Q1078" s="101">
        <v>31</v>
      </c>
      <c r="R1078" s="101">
        <v>1126</v>
      </c>
      <c r="S1078" s="101">
        <v>405</v>
      </c>
      <c r="T1078" s="169">
        <v>1.02</v>
      </c>
      <c r="U1078" s="101">
        <f t="shared" si="90"/>
        <v>5.0999999999999996</v>
      </c>
      <c r="V1078" s="101">
        <f t="shared" si="91"/>
        <v>8.16</v>
      </c>
      <c r="W1078" s="101">
        <f t="shared" si="92"/>
        <v>31.62</v>
      </c>
      <c r="X1078" s="101">
        <f t="shared" si="89"/>
        <v>1148.52</v>
      </c>
      <c r="Y1078" s="101">
        <f t="shared" si="93"/>
        <v>413.1</v>
      </c>
    </row>
    <row r="1079" spans="1:25" ht="11.25" hidden="1" customHeight="1" x14ac:dyDescent="0.3">
      <c r="A1079" s="126" t="s">
        <v>187</v>
      </c>
      <c r="B1079" s="126">
        <v>45</v>
      </c>
      <c r="C1079" s="126">
        <v>32</v>
      </c>
      <c r="D1079" s="126" t="str">
        <f t="shared" si="94"/>
        <v>4532</v>
      </c>
      <c r="J1079" s="101">
        <v>29</v>
      </c>
      <c r="K1079" s="101">
        <v>33</v>
      </c>
      <c r="L1079" s="101">
        <v>3374</v>
      </c>
      <c r="M1079" s="101">
        <v>114410.47000000002</v>
      </c>
      <c r="N1079" s="101">
        <v>58434.671000000002</v>
      </c>
      <c r="O1079" s="101">
        <v>58</v>
      </c>
      <c r="P1079" s="101">
        <v>150</v>
      </c>
      <c r="Q1079" s="101">
        <v>6511</v>
      </c>
      <c r="R1079" s="101">
        <v>163529</v>
      </c>
      <c r="S1079" s="101">
        <v>60805</v>
      </c>
      <c r="T1079" s="169">
        <v>1.02</v>
      </c>
      <c r="U1079" s="101">
        <f t="shared" si="90"/>
        <v>59.160000000000004</v>
      </c>
      <c r="V1079" s="101">
        <f t="shared" si="91"/>
        <v>153</v>
      </c>
      <c r="W1079" s="101">
        <f t="shared" si="92"/>
        <v>6641.22</v>
      </c>
      <c r="X1079" s="101">
        <f t="shared" si="89"/>
        <v>166799.58000000002</v>
      </c>
      <c r="Y1079" s="101">
        <f t="shared" si="93"/>
        <v>62021.1</v>
      </c>
    </row>
    <row r="1080" spans="1:25" ht="11.25" hidden="1" customHeight="1" x14ac:dyDescent="0.3">
      <c r="A1080" s="126" t="s">
        <v>187</v>
      </c>
      <c r="B1080" s="126">
        <v>45</v>
      </c>
      <c r="C1080" s="126">
        <v>43</v>
      </c>
      <c r="D1080" s="126" t="str">
        <f t="shared" si="94"/>
        <v>4543</v>
      </c>
      <c r="J1080" s="101">
        <v>0</v>
      </c>
      <c r="K1080" s="101">
        <v>0</v>
      </c>
      <c r="L1080" s="101">
        <v>0</v>
      </c>
      <c r="M1080" s="101">
        <v>0</v>
      </c>
      <c r="N1080" s="101">
        <v>0</v>
      </c>
      <c r="O1080" s="101">
        <v>0</v>
      </c>
      <c r="P1080" s="101">
        <v>0</v>
      </c>
      <c r="Q1080" s="101">
        <v>0</v>
      </c>
      <c r="R1080" s="101">
        <v>0</v>
      </c>
      <c r="S1080" s="101">
        <v>0</v>
      </c>
      <c r="T1080" s="169">
        <v>1.02</v>
      </c>
      <c r="U1080" s="101">
        <f t="shared" si="90"/>
        <v>0</v>
      </c>
      <c r="V1080" s="101">
        <f t="shared" si="91"/>
        <v>0</v>
      </c>
      <c r="W1080" s="101">
        <f t="shared" si="92"/>
        <v>0</v>
      </c>
      <c r="X1080" s="101">
        <f t="shared" si="89"/>
        <v>0</v>
      </c>
      <c r="Y1080" s="101">
        <f t="shared" si="93"/>
        <v>0</v>
      </c>
    </row>
    <row r="1081" spans="1:25" ht="11.25" hidden="1" customHeight="1" x14ac:dyDescent="0.3">
      <c r="A1081" s="126" t="s">
        <v>187</v>
      </c>
      <c r="B1081" s="126">
        <v>45</v>
      </c>
      <c r="C1081" s="126">
        <v>44</v>
      </c>
      <c r="D1081" s="126" t="str">
        <f t="shared" si="94"/>
        <v>4544</v>
      </c>
      <c r="J1081" s="101">
        <v>1</v>
      </c>
      <c r="K1081" s="101">
        <v>2</v>
      </c>
      <c r="L1081" s="101">
        <v>2</v>
      </c>
      <c r="M1081" s="101">
        <v>424</v>
      </c>
      <c r="N1081" s="101">
        <v>38.22</v>
      </c>
      <c r="O1081" s="101">
        <v>0</v>
      </c>
      <c r="P1081" s="101">
        <v>0</v>
      </c>
      <c r="Q1081" s="101">
        <v>0</v>
      </c>
      <c r="R1081" s="101">
        <v>0</v>
      </c>
      <c r="S1081" s="101">
        <v>0</v>
      </c>
      <c r="T1081" s="169">
        <v>1.02</v>
      </c>
      <c r="U1081" s="101">
        <f t="shared" si="90"/>
        <v>0</v>
      </c>
      <c r="V1081" s="101">
        <f t="shared" si="91"/>
        <v>0</v>
      </c>
      <c r="W1081" s="101">
        <f t="shared" si="92"/>
        <v>0</v>
      </c>
      <c r="X1081" s="101">
        <f t="shared" si="89"/>
        <v>0</v>
      </c>
      <c r="Y1081" s="101">
        <f t="shared" si="93"/>
        <v>0</v>
      </c>
    </row>
    <row r="1082" spans="1:25" ht="11.25" hidden="1" customHeight="1" x14ac:dyDescent="0.3">
      <c r="A1082" s="126" t="s">
        <v>187</v>
      </c>
      <c r="B1082" s="126">
        <v>45</v>
      </c>
      <c r="C1082" s="126">
        <v>45</v>
      </c>
      <c r="D1082" s="126" t="str">
        <f t="shared" si="94"/>
        <v>4545</v>
      </c>
      <c r="J1082" s="101">
        <v>0</v>
      </c>
      <c r="K1082" s="101">
        <v>0</v>
      </c>
      <c r="L1082" s="101">
        <v>0</v>
      </c>
      <c r="M1082" s="101">
        <v>0</v>
      </c>
      <c r="N1082" s="101">
        <v>0</v>
      </c>
      <c r="O1082" s="101">
        <v>0</v>
      </c>
      <c r="P1082" s="101">
        <v>0</v>
      </c>
      <c r="Q1082" s="101">
        <v>0</v>
      </c>
      <c r="R1082" s="101">
        <v>0</v>
      </c>
      <c r="S1082" s="101">
        <v>0</v>
      </c>
      <c r="T1082" s="169">
        <v>1.02</v>
      </c>
      <c r="U1082" s="101">
        <f t="shared" si="90"/>
        <v>0</v>
      </c>
      <c r="V1082" s="101">
        <f t="shared" si="91"/>
        <v>0</v>
      </c>
      <c r="W1082" s="101">
        <f t="shared" si="92"/>
        <v>0</v>
      </c>
      <c r="X1082" s="101">
        <f t="shared" si="89"/>
        <v>0</v>
      </c>
      <c r="Y1082" s="101">
        <f t="shared" si="93"/>
        <v>0</v>
      </c>
    </row>
    <row r="1083" spans="1:25" ht="11.25" hidden="1" customHeight="1" x14ac:dyDescent="0.3">
      <c r="A1083" s="126" t="s">
        <v>187</v>
      </c>
      <c r="B1083" s="126">
        <v>45</v>
      </c>
      <c r="C1083" s="126">
        <v>47</v>
      </c>
      <c r="D1083" s="126" t="str">
        <f t="shared" si="94"/>
        <v>4547</v>
      </c>
      <c r="J1083" s="101">
        <v>0</v>
      </c>
      <c r="K1083" s="101">
        <v>0</v>
      </c>
      <c r="L1083" s="101">
        <v>0</v>
      </c>
      <c r="M1083" s="101">
        <v>0</v>
      </c>
      <c r="N1083" s="101">
        <v>0</v>
      </c>
      <c r="O1083" s="101">
        <v>1</v>
      </c>
      <c r="P1083" s="101">
        <v>1</v>
      </c>
      <c r="Q1083" s="101">
        <v>12504</v>
      </c>
      <c r="R1083" s="101">
        <v>42514</v>
      </c>
      <c r="S1083" s="101">
        <v>25996</v>
      </c>
      <c r="T1083" s="169">
        <v>1.02</v>
      </c>
      <c r="U1083" s="101">
        <f t="shared" si="90"/>
        <v>1.02</v>
      </c>
      <c r="V1083" s="101">
        <f t="shared" si="91"/>
        <v>1.02</v>
      </c>
      <c r="W1083" s="101">
        <f t="shared" si="92"/>
        <v>12754.08</v>
      </c>
      <c r="X1083" s="101">
        <f t="shared" si="89"/>
        <v>43364.28</v>
      </c>
      <c r="Y1083" s="101">
        <f t="shared" si="93"/>
        <v>26515.920000000002</v>
      </c>
    </row>
    <row r="1084" spans="1:25" ht="11.25" hidden="1" customHeight="1" x14ac:dyDescent="0.3">
      <c r="A1084" s="126" t="s">
        <v>187</v>
      </c>
      <c r="B1084" s="126">
        <v>45</v>
      </c>
      <c r="C1084" s="126">
        <v>91</v>
      </c>
      <c r="D1084" s="126" t="str">
        <f t="shared" si="94"/>
        <v>4591</v>
      </c>
      <c r="J1084" s="101">
        <v>53</v>
      </c>
      <c r="K1084" s="101">
        <v>125</v>
      </c>
      <c r="L1084" s="101">
        <v>1367</v>
      </c>
      <c r="M1084" s="101">
        <v>11291.890000000001</v>
      </c>
      <c r="N1084" s="101">
        <v>3450.886</v>
      </c>
      <c r="O1084" s="101">
        <v>46</v>
      </c>
      <c r="P1084" s="101">
        <v>216</v>
      </c>
      <c r="Q1084" s="101">
        <v>875</v>
      </c>
      <c r="R1084" s="101">
        <v>8010</v>
      </c>
      <c r="S1084" s="101">
        <v>3510</v>
      </c>
      <c r="T1084" s="169">
        <v>1.02</v>
      </c>
      <c r="U1084" s="101">
        <f t="shared" si="90"/>
        <v>46.92</v>
      </c>
      <c r="V1084" s="101">
        <f t="shared" si="91"/>
        <v>220.32</v>
      </c>
      <c r="W1084" s="101">
        <f t="shared" si="92"/>
        <v>892.5</v>
      </c>
      <c r="X1084" s="101">
        <f t="shared" si="89"/>
        <v>8170.2</v>
      </c>
      <c r="Y1084" s="101">
        <f t="shared" si="93"/>
        <v>3580.2000000000003</v>
      </c>
    </row>
    <row r="1085" spans="1:25" ht="11.25" hidden="1" customHeight="1" x14ac:dyDescent="0.3">
      <c r="A1085" s="126" t="s">
        <v>187</v>
      </c>
      <c r="B1085" s="126">
        <v>45</v>
      </c>
      <c r="C1085" s="126">
        <v>41</v>
      </c>
      <c r="D1085" s="126" t="str">
        <f t="shared" si="94"/>
        <v>4541</v>
      </c>
      <c r="J1085" s="101">
        <v>1</v>
      </c>
      <c r="K1085" s="101">
        <v>1</v>
      </c>
      <c r="L1085" s="101">
        <v>1</v>
      </c>
      <c r="M1085" s="101">
        <v>0</v>
      </c>
      <c r="N1085" s="101">
        <v>0.99299999999999999</v>
      </c>
      <c r="O1085" s="101">
        <v>1</v>
      </c>
      <c r="P1085" s="101">
        <v>1</v>
      </c>
      <c r="Q1085" s="101">
        <v>1</v>
      </c>
      <c r="R1085" s="101">
        <v>0</v>
      </c>
      <c r="S1085" s="101">
        <v>3</v>
      </c>
      <c r="T1085" s="169">
        <v>1.02</v>
      </c>
      <c r="U1085" s="101">
        <f t="shared" si="90"/>
        <v>1.02</v>
      </c>
      <c r="V1085" s="101">
        <f t="shared" si="91"/>
        <v>1.02</v>
      </c>
      <c r="W1085" s="101">
        <f t="shared" si="92"/>
        <v>1.02</v>
      </c>
      <c r="X1085" s="101">
        <f t="shared" si="89"/>
        <v>0</v>
      </c>
      <c r="Y1085" s="101">
        <f t="shared" si="93"/>
        <v>3.06</v>
      </c>
    </row>
    <row r="1086" spans="1:25" ht="11.25" hidden="1" customHeight="1" x14ac:dyDescent="0.3">
      <c r="A1086" s="126" t="s">
        <v>187</v>
      </c>
      <c r="B1086" s="126">
        <v>45</v>
      </c>
      <c r="C1086" s="126">
        <v>27</v>
      </c>
      <c r="D1086" s="126" t="str">
        <f t="shared" si="94"/>
        <v>4527</v>
      </c>
      <c r="E1086" s="101">
        <v>96</v>
      </c>
      <c r="F1086" s="101">
        <v>2123</v>
      </c>
      <c r="G1086" s="101">
        <v>11216</v>
      </c>
      <c r="H1086" s="101">
        <v>160442.6</v>
      </c>
      <c r="I1086" s="101">
        <v>56854.953000000009</v>
      </c>
      <c r="J1086" s="101">
        <v>81</v>
      </c>
      <c r="K1086" s="101">
        <v>2282</v>
      </c>
      <c r="L1086" s="101">
        <v>14325</v>
      </c>
      <c r="M1086" s="101">
        <v>192359.65</v>
      </c>
      <c r="N1086" s="101">
        <v>65658.604000000007</v>
      </c>
      <c r="O1086" s="101">
        <v>95</v>
      </c>
      <c r="P1086" s="101">
        <v>3761</v>
      </c>
      <c r="Q1086" s="101">
        <v>26042</v>
      </c>
      <c r="R1086" s="101">
        <v>217036</v>
      </c>
      <c r="S1086" s="101">
        <v>108747</v>
      </c>
      <c r="T1086" s="169">
        <v>1.02</v>
      </c>
      <c r="U1086" s="101">
        <f t="shared" si="90"/>
        <v>96.9</v>
      </c>
      <c r="V1086" s="101">
        <f t="shared" si="91"/>
        <v>3836.2200000000003</v>
      </c>
      <c r="W1086" s="101">
        <f t="shared" si="92"/>
        <v>26562.84</v>
      </c>
      <c r="X1086" s="101">
        <f t="shared" si="89"/>
        <v>221376.72</v>
      </c>
      <c r="Y1086" s="101">
        <f t="shared" si="93"/>
        <v>110921.94</v>
      </c>
    </row>
    <row r="1087" spans="1:25" ht="11.25" customHeight="1" x14ac:dyDescent="0.3">
      <c r="A1087" s="126" t="s">
        <v>187</v>
      </c>
      <c r="B1087" s="126">
        <v>45</v>
      </c>
      <c r="C1087" s="126" t="s">
        <v>172</v>
      </c>
      <c r="D1087" s="126" t="str">
        <f t="shared" si="94"/>
        <v>45Uml</v>
      </c>
      <c r="J1087" s="101">
        <v>283</v>
      </c>
      <c r="K1087" s="101">
        <v>314</v>
      </c>
      <c r="L1087" s="101">
        <v>92213</v>
      </c>
      <c r="N1087" s="101">
        <v>371032</v>
      </c>
      <c r="O1087" s="101">
        <v>315</v>
      </c>
      <c r="P1087" s="101">
        <v>343</v>
      </c>
      <c r="Q1087" s="101">
        <v>109943</v>
      </c>
      <c r="S1087" s="101">
        <v>426179</v>
      </c>
      <c r="T1087" s="169">
        <v>1.02</v>
      </c>
      <c r="U1087" s="101">
        <f t="shared" si="90"/>
        <v>321.3</v>
      </c>
      <c r="V1087" s="101">
        <f t="shared" si="91"/>
        <v>349.86</v>
      </c>
      <c r="W1087" s="101">
        <f t="shared" si="92"/>
        <v>112141.86</v>
      </c>
      <c r="X1087" s="101">
        <f t="shared" si="89"/>
        <v>0</v>
      </c>
      <c r="Y1087" s="101">
        <f t="shared" si="93"/>
        <v>434702.58</v>
      </c>
    </row>
    <row r="1088" spans="1:25" ht="11.25" hidden="1" customHeight="1" x14ac:dyDescent="0.3">
      <c r="A1088" s="126" t="s">
        <v>187</v>
      </c>
      <c r="B1088" s="126">
        <v>45</v>
      </c>
      <c r="C1088" s="126">
        <v>37</v>
      </c>
      <c r="D1088" s="126" t="str">
        <f t="shared" si="94"/>
        <v>4537</v>
      </c>
      <c r="E1088" s="101">
        <v>7.5</v>
      </c>
      <c r="F1088" s="101">
        <v>41.25</v>
      </c>
      <c r="G1088" s="101">
        <v>2381</v>
      </c>
      <c r="H1088" s="101">
        <v>4923.5474999999997</v>
      </c>
      <c r="I1088" s="101">
        <v>2566.9924999999998</v>
      </c>
      <c r="J1088" s="101">
        <v>28</v>
      </c>
      <c r="K1088" s="101">
        <v>108</v>
      </c>
      <c r="L1088" s="101">
        <v>3287</v>
      </c>
      <c r="M1088" s="101">
        <v>16780.66</v>
      </c>
      <c r="N1088" s="101">
        <v>3432.7719999999999</v>
      </c>
      <c r="O1088" s="101">
        <v>43</v>
      </c>
      <c r="P1088" s="101">
        <v>152</v>
      </c>
      <c r="Q1088" s="101">
        <v>2643</v>
      </c>
      <c r="R1088" s="101">
        <v>31098</v>
      </c>
      <c r="S1088" s="101">
        <v>15808</v>
      </c>
      <c r="T1088" s="169">
        <v>1.02</v>
      </c>
      <c r="U1088" s="101">
        <f t="shared" si="90"/>
        <v>43.86</v>
      </c>
      <c r="V1088" s="101">
        <f t="shared" si="91"/>
        <v>155.04</v>
      </c>
      <c r="W1088" s="101">
        <f t="shared" si="92"/>
        <v>2695.86</v>
      </c>
      <c r="X1088" s="101">
        <f t="shared" si="89"/>
        <v>31719.96</v>
      </c>
      <c r="Y1088" s="101">
        <f t="shared" si="93"/>
        <v>16124.16</v>
      </c>
    </row>
    <row r="1089" spans="1:25" ht="11.25" hidden="1" customHeight="1" x14ac:dyDescent="0.3">
      <c r="A1089" s="126" t="s">
        <v>187</v>
      </c>
      <c r="B1089" s="126">
        <v>46</v>
      </c>
      <c r="C1089" s="126">
        <v>12</v>
      </c>
      <c r="D1089" s="126" t="str">
        <f t="shared" si="94"/>
        <v>4612</v>
      </c>
      <c r="E1089" s="101">
        <v>2399</v>
      </c>
      <c r="F1089" s="101">
        <v>6135</v>
      </c>
      <c r="G1089" s="101">
        <v>8473</v>
      </c>
      <c r="H1089" s="101">
        <v>175479.87000000002</v>
      </c>
      <c r="I1089" s="101">
        <v>54419.320000000007</v>
      </c>
      <c r="J1089" s="101">
        <v>33</v>
      </c>
      <c r="K1089" s="101">
        <v>50</v>
      </c>
      <c r="L1089" s="101">
        <v>74</v>
      </c>
      <c r="M1089" s="101">
        <v>1119.5899999999999</v>
      </c>
      <c r="N1089" s="101">
        <v>244.68100000000001</v>
      </c>
      <c r="O1089" s="101">
        <v>14</v>
      </c>
      <c r="P1089" s="101">
        <v>16</v>
      </c>
      <c r="Q1089" s="101">
        <v>20</v>
      </c>
      <c r="R1089" s="101">
        <v>533</v>
      </c>
      <c r="S1089" s="101">
        <v>79</v>
      </c>
      <c r="T1089" s="169">
        <v>1.02</v>
      </c>
      <c r="U1089" s="101">
        <f t="shared" si="90"/>
        <v>14.280000000000001</v>
      </c>
      <c r="V1089" s="101">
        <f t="shared" si="91"/>
        <v>16.32</v>
      </c>
      <c r="W1089" s="101">
        <f t="shared" si="92"/>
        <v>20.399999999999999</v>
      </c>
      <c r="X1089" s="101">
        <f t="shared" si="89"/>
        <v>543.66</v>
      </c>
      <c r="Y1089" s="101">
        <f t="shared" si="93"/>
        <v>80.58</v>
      </c>
    </row>
    <row r="1090" spans="1:25" ht="11.25" hidden="1" customHeight="1" x14ac:dyDescent="0.3">
      <c r="A1090" s="126" t="s">
        <v>187</v>
      </c>
      <c r="B1090" s="126">
        <v>46</v>
      </c>
      <c r="C1090" s="126">
        <v>14</v>
      </c>
      <c r="D1090" s="126" t="str">
        <f t="shared" si="94"/>
        <v>4614</v>
      </c>
      <c r="E1090" s="101">
        <v>6</v>
      </c>
      <c r="F1090" s="101">
        <v>12</v>
      </c>
      <c r="G1090" s="101">
        <v>13</v>
      </c>
      <c r="H1090" s="101">
        <v>2119.4299999999998</v>
      </c>
      <c r="I1090" s="101">
        <v>571.03099999999995</v>
      </c>
      <c r="J1090" s="101">
        <v>27</v>
      </c>
      <c r="K1090" s="101">
        <v>51</v>
      </c>
      <c r="L1090" s="101">
        <v>98</v>
      </c>
      <c r="M1090" s="101">
        <v>3837.8199999999997</v>
      </c>
      <c r="N1090" s="101">
        <v>611.79600000000005</v>
      </c>
      <c r="O1090" s="101">
        <v>55</v>
      </c>
      <c r="P1090" s="101">
        <v>90</v>
      </c>
      <c r="Q1090" s="101">
        <v>143</v>
      </c>
      <c r="R1090" s="101">
        <v>9350</v>
      </c>
      <c r="S1090" s="101">
        <v>1534</v>
      </c>
      <c r="T1090" s="169">
        <v>1.02</v>
      </c>
      <c r="U1090" s="101">
        <f t="shared" si="90"/>
        <v>56.1</v>
      </c>
      <c r="V1090" s="101">
        <f t="shared" si="91"/>
        <v>91.8</v>
      </c>
      <c r="W1090" s="101">
        <f t="shared" si="92"/>
        <v>145.86000000000001</v>
      </c>
      <c r="X1090" s="101">
        <f t="shared" si="89"/>
        <v>9537</v>
      </c>
      <c r="Y1090" s="101">
        <f t="shared" si="93"/>
        <v>1564.68</v>
      </c>
    </row>
    <row r="1091" spans="1:25" ht="11.25" hidden="1" customHeight="1" x14ac:dyDescent="0.3">
      <c r="A1091" s="126" t="s">
        <v>187</v>
      </c>
      <c r="B1091" s="126">
        <v>46</v>
      </c>
      <c r="C1091" s="126">
        <v>17</v>
      </c>
      <c r="D1091" s="126" t="str">
        <f t="shared" si="94"/>
        <v>4617</v>
      </c>
      <c r="E1091" s="101">
        <v>3613</v>
      </c>
      <c r="F1091" s="101">
        <v>4833</v>
      </c>
      <c r="G1091" s="101">
        <v>6399</v>
      </c>
      <c r="H1091" s="101">
        <v>222811.97999999998</v>
      </c>
      <c r="I1091" s="101">
        <v>43681.381999999998</v>
      </c>
      <c r="J1091" s="101">
        <v>4416</v>
      </c>
      <c r="K1091" s="101">
        <v>19610</v>
      </c>
      <c r="L1091" s="101">
        <v>26187</v>
      </c>
      <c r="M1091" s="101">
        <v>394376.93999999994</v>
      </c>
      <c r="N1091" s="101">
        <v>105627.803</v>
      </c>
      <c r="O1091" s="101">
        <v>1299</v>
      </c>
      <c r="P1091" s="101">
        <v>2778</v>
      </c>
      <c r="Q1091" s="101">
        <v>3886</v>
      </c>
      <c r="R1091" s="101">
        <v>92213</v>
      </c>
      <c r="S1091" s="101">
        <v>15813</v>
      </c>
      <c r="T1091" s="169">
        <v>1.02</v>
      </c>
      <c r="U1091" s="101">
        <v>5144</v>
      </c>
      <c r="V1091" s="101">
        <v>10871</v>
      </c>
      <c r="W1091" s="101">
        <v>15806</v>
      </c>
      <c r="X1091" s="101">
        <f t="shared" si="89"/>
        <v>94057.26</v>
      </c>
      <c r="Y1091" s="101">
        <v>55000</v>
      </c>
    </row>
    <row r="1092" spans="1:25" ht="11.25" hidden="1" customHeight="1" x14ac:dyDescent="0.3">
      <c r="A1092" s="126" t="s">
        <v>187</v>
      </c>
      <c r="B1092" s="126">
        <v>46</v>
      </c>
      <c r="C1092" s="126">
        <v>18</v>
      </c>
      <c r="D1092" s="126" t="str">
        <f t="shared" si="94"/>
        <v>4618</v>
      </c>
      <c r="E1092" s="101">
        <v>1501</v>
      </c>
      <c r="F1092" s="101">
        <v>1709</v>
      </c>
      <c r="G1092" s="101">
        <v>1924</v>
      </c>
      <c r="H1092" s="101">
        <v>143983.97999999998</v>
      </c>
      <c r="I1092" s="101">
        <v>20338.837999999996</v>
      </c>
      <c r="J1092" s="101">
        <v>3311</v>
      </c>
      <c r="K1092" s="101">
        <v>3621</v>
      </c>
      <c r="L1092" s="101">
        <v>4027</v>
      </c>
      <c r="M1092" s="101">
        <v>193652.44999999998</v>
      </c>
      <c r="N1092" s="101">
        <v>48676.231</v>
      </c>
      <c r="O1092" s="101">
        <v>1691</v>
      </c>
      <c r="P1092" s="101">
        <v>1952</v>
      </c>
      <c r="Q1092" s="101">
        <v>3255</v>
      </c>
      <c r="R1092" s="101">
        <v>107915</v>
      </c>
      <c r="S1092" s="101">
        <v>47553</v>
      </c>
      <c r="T1092" s="169">
        <v>1.32</v>
      </c>
      <c r="U1092" s="101">
        <f t="shared" si="90"/>
        <v>2232.12</v>
      </c>
      <c r="V1092" s="101">
        <f t="shared" si="91"/>
        <v>2576.6400000000003</v>
      </c>
      <c r="W1092" s="101">
        <f t="shared" si="92"/>
        <v>4296.6000000000004</v>
      </c>
      <c r="X1092" s="101">
        <f t="shared" si="89"/>
        <v>142447.80000000002</v>
      </c>
      <c r="Y1092" s="101">
        <f t="shared" si="93"/>
        <v>62769.960000000006</v>
      </c>
    </row>
    <row r="1093" spans="1:25" ht="11.25" hidden="1" customHeight="1" x14ac:dyDescent="0.3">
      <c r="A1093" s="126" t="s">
        <v>187</v>
      </c>
      <c r="B1093" s="126">
        <v>46</v>
      </c>
      <c r="C1093" s="126">
        <v>28</v>
      </c>
      <c r="D1093" s="126" t="str">
        <f t="shared" si="94"/>
        <v>4628</v>
      </c>
      <c r="E1093" s="101">
        <v>539</v>
      </c>
      <c r="F1093" s="101">
        <v>4617</v>
      </c>
      <c r="G1093" s="101">
        <v>57845</v>
      </c>
      <c r="H1093" s="101">
        <v>1222609.72</v>
      </c>
      <c r="I1093" s="101">
        <v>360469.63800000004</v>
      </c>
      <c r="J1093" s="101">
        <v>441</v>
      </c>
      <c r="K1093" s="101">
        <v>4080</v>
      </c>
      <c r="L1093" s="101">
        <v>67165</v>
      </c>
      <c r="M1093" s="101">
        <v>1755176.3599999999</v>
      </c>
      <c r="N1093" s="101">
        <v>535709.41999999993</v>
      </c>
      <c r="O1093" s="101">
        <v>448</v>
      </c>
      <c r="P1093" s="101">
        <v>5277</v>
      </c>
      <c r="Q1093" s="101">
        <v>117679</v>
      </c>
      <c r="R1093" s="101">
        <v>2095069</v>
      </c>
      <c r="S1093" s="101">
        <v>518053</v>
      </c>
      <c r="T1093" s="169">
        <v>1.02</v>
      </c>
      <c r="U1093" s="101">
        <v>285</v>
      </c>
      <c r="V1093" s="101">
        <v>1414</v>
      </c>
      <c r="W1093" s="101">
        <v>9289</v>
      </c>
      <c r="X1093" s="144">
        <f t="shared" si="89"/>
        <v>2136970.38</v>
      </c>
      <c r="Y1093" s="101">
        <v>118531</v>
      </c>
    </row>
    <row r="1094" spans="1:25" ht="11.25" hidden="1" customHeight="1" x14ac:dyDescent="0.3">
      <c r="A1094" s="126" t="s">
        <v>187</v>
      </c>
      <c r="B1094" s="126">
        <v>46</v>
      </c>
      <c r="C1094" s="126">
        <v>46</v>
      </c>
      <c r="D1094" s="126" t="str">
        <f t="shared" si="94"/>
        <v>4646</v>
      </c>
      <c r="E1094" s="101">
        <v>415</v>
      </c>
      <c r="F1094" s="101">
        <v>837</v>
      </c>
      <c r="G1094" s="101">
        <v>28717</v>
      </c>
      <c r="H1094" s="101">
        <v>381059.91000000003</v>
      </c>
      <c r="I1094" s="101">
        <v>228600.867</v>
      </c>
      <c r="J1094" s="101">
        <v>302</v>
      </c>
      <c r="K1094" s="101">
        <v>730</v>
      </c>
      <c r="L1094" s="101">
        <v>27429</v>
      </c>
      <c r="M1094" s="101">
        <v>495423.42000000004</v>
      </c>
      <c r="N1094" s="101">
        <v>166322.68599999999</v>
      </c>
      <c r="O1094" s="101">
        <v>283</v>
      </c>
      <c r="P1094" s="101">
        <v>636</v>
      </c>
      <c r="Q1094" s="101">
        <v>32252</v>
      </c>
      <c r="R1094" s="101">
        <v>461425</v>
      </c>
      <c r="S1094" s="101">
        <v>192156</v>
      </c>
      <c r="T1094" s="169">
        <v>1.02</v>
      </c>
      <c r="U1094" s="101">
        <f t="shared" ref="U1094:U1157" si="95">O1094*T1094</f>
        <v>288.66000000000003</v>
      </c>
      <c r="V1094" s="101">
        <f t="shared" ref="V1094:V1157" si="96">P1094*T1094</f>
        <v>648.72</v>
      </c>
      <c r="W1094" s="101">
        <f t="shared" ref="W1094:W1157" si="97">Q1094*T1094</f>
        <v>32897.040000000001</v>
      </c>
      <c r="X1094" s="101">
        <f t="shared" ref="X1094:X1157" si="98">R1094*T1094</f>
        <v>470653.5</v>
      </c>
      <c r="Y1094" s="101">
        <f t="shared" ref="Y1094:Y1157" si="99">S1094*T1094</f>
        <v>195999.12</v>
      </c>
    </row>
    <row r="1095" spans="1:25" ht="11.25" hidden="1" customHeight="1" x14ac:dyDescent="0.3">
      <c r="A1095" s="126" t="s">
        <v>187</v>
      </c>
      <c r="B1095" s="126">
        <v>46</v>
      </c>
      <c r="C1095" s="126">
        <v>47</v>
      </c>
      <c r="D1095" s="126" t="str">
        <f t="shared" si="94"/>
        <v>4647</v>
      </c>
      <c r="E1095" s="101">
        <v>2</v>
      </c>
      <c r="F1095" s="101">
        <v>2</v>
      </c>
      <c r="G1095" s="101">
        <v>50</v>
      </c>
      <c r="H1095" s="101">
        <v>207.25</v>
      </c>
      <c r="I1095" s="101">
        <v>8.0190000000000001</v>
      </c>
      <c r="J1095" s="101">
        <v>0</v>
      </c>
      <c r="K1095" s="101">
        <v>0</v>
      </c>
      <c r="L1095" s="101">
        <v>0</v>
      </c>
      <c r="M1095" s="101">
        <v>0</v>
      </c>
      <c r="N1095" s="101">
        <v>0</v>
      </c>
      <c r="O1095" s="101">
        <v>8</v>
      </c>
      <c r="P1095" s="101">
        <v>16</v>
      </c>
      <c r="Q1095" s="101">
        <v>1075</v>
      </c>
      <c r="R1095" s="101">
        <v>26823</v>
      </c>
      <c r="S1095" s="101">
        <v>3629</v>
      </c>
      <c r="T1095" s="169">
        <v>1.02</v>
      </c>
      <c r="U1095" s="101">
        <f t="shared" si="95"/>
        <v>8.16</v>
      </c>
      <c r="V1095" s="101">
        <f t="shared" si="96"/>
        <v>16.32</v>
      </c>
      <c r="W1095" s="101">
        <f t="shared" si="97"/>
        <v>1096.5</v>
      </c>
      <c r="X1095" s="101">
        <f t="shared" si="98"/>
        <v>27359.46</v>
      </c>
      <c r="Y1095" s="101">
        <f t="shared" si="99"/>
        <v>3701.58</v>
      </c>
    </row>
    <row r="1096" spans="1:25" ht="11.25" hidden="1" customHeight="1" x14ac:dyDescent="0.3">
      <c r="A1096" s="126" t="s">
        <v>187</v>
      </c>
      <c r="B1096" s="126">
        <v>46</v>
      </c>
      <c r="C1096" s="126">
        <v>48</v>
      </c>
      <c r="D1096" s="126" t="str">
        <f t="shared" si="94"/>
        <v>4648</v>
      </c>
      <c r="E1096" s="101">
        <v>2</v>
      </c>
      <c r="F1096" s="101">
        <v>3</v>
      </c>
      <c r="G1096" s="101">
        <v>686</v>
      </c>
      <c r="H1096" s="101">
        <v>20945.03</v>
      </c>
      <c r="I1096" s="101">
        <v>4607.1360000000004</v>
      </c>
      <c r="J1096" s="101">
        <v>1</v>
      </c>
      <c r="K1096" s="101">
        <v>2</v>
      </c>
      <c r="L1096" s="101">
        <v>40</v>
      </c>
      <c r="M1096" s="101">
        <v>223.6</v>
      </c>
      <c r="N1096" s="101">
        <v>99.043000000000006</v>
      </c>
      <c r="O1096" s="101">
        <v>0</v>
      </c>
      <c r="P1096" s="101">
        <v>0</v>
      </c>
      <c r="Q1096" s="101">
        <v>0</v>
      </c>
      <c r="R1096" s="101">
        <v>0</v>
      </c>
      <c r="S1096" s="101">
        <v>0</v>
      </c>
      <c r="T1096" s="169">
        <v>1.02</v>
      </c>
      <c r="U1096" s="101">
        <f t="shared" si="95"/>
        <v>0</v>
      </c>
      <c r="V1096" s="101">
        <f t="shared" si="96"/>
        <v>0</v>
      </c>
      <c r="W1096" s="101">
        <f t="shared" si="97"/>
        <v>0</v>
      </c>
      <c r="X1096" s="101">
        <f t="shared" si="98"/>
        <v>0</v>
      </c>
      <c r="Y1096" s="101">
        <f t="shared" si="99"/>
        <v>0</v>
      </c>
    </row>
    <row r="1097" spans="1:25" ht="11.25" hidden="1" customHeight="1" x14ac:dyDescent="0.3">
      <c r="A1097" s="126" t="s">
        <v>187</v>
      </c>
      <c r="B1097" s="126">
        <v>46</v>
      </c>
      <c r="C1097" s="126">
        <v>66</v>
      </c>
      <c r="D1097" s="126" t="str">
        <f t="shared" si="94"/>
        <v>4666</v>
      </c>
      <c r="E1097" s="101">
        <v>626</v>
      </c>
      <c r="F1097" s="101">
        <v>2279</v>
      </c>
      <c r="G1097" s="101">
        <v>35876</v>
      </c>
      <c r="H1097" s="101">
        <v>233927.28</v>
      </c>
      <c r="I1097" s="101">
        <v>120463.96100000001</v>
      </c>
      <c r="J1097" s="101">
        <v>270</v>
      </c>
      <c r="K1097" s="101">
        <v>1425</v>
      </c>
      <c r="L1097" s="101">
        <v>36246</v>
      </c>
      <c r="M1097" s="101">
        <v>260640.84999999998</v>
      </c>
      <c r="N1097" s="101">
        <v>140510.74900000001</v>
      </c>
      <c r="O1097" s="101">
        <v>398</v>
      </c>
      <c r="P1097" s="101">
        <v>1999</v>
      </c>
      <c r="Q1097" s="101">
        <v>49327</v>
      </c>
      <c r="R1097" s="101">
        <v>323262</v>
      </c>
      <c r="S1097" s="101">
        <v>168380</v>
      </c>
      <c r="T1097" s="169">
        <v>1.02</v>
      </c>
      <c r="U1097" s="101">
        <f t="shared" si="95"/>
        <v>405.96</v>
      </c>
      <c r="V1097" s="101">
        <f t="shared" si="96"/>
        <v>2038.98</v>
      </c>
      <c r="W1097" s="101">
        <f t="shared" si="97"/>
        <v>50313.54</v>
      </c>
      <c r="X1097" s="101">
        <f t="shared" si="98"/>
        <v>329727.24</v>
      </c>
      <c r="Y1097" s="101">
        <f t="shared" si="99"/>
        <v>171747.6</v>
      </c>
    </row>
    <row r="1098" spans="1:25" ht="11.25" hidden="1" customHeight="1" x14ac:dyDescent="0.3">
      <c r="A1098" s="126" t="s">
        <v>187</v>
      </c>
      <c r="B1098" s="126">
        <v>46</v>
      </c>
      <c r="C1098" s="126">
        <v>30</v>
      </c>
      <c r="D1098" s="126" t="str">
        <f t="shared" si="94"/>
        <v>4630</v>
      </c>
      <c r="E1098" s="101">
        <v>383.5</v>
      </c>
      <c r="F1098" s="101">
        <v>5572</v>
      </c>
      <c r="G1098" s="101">
        <v>25932</v>
      </c>
      <c r="H1098" s="101">
        <v>611272.56499999994</v>
      </c>
      <c r="I1098" s="101">
        <v>197787.16999999998</v>
      </c>
      <c r="J1098" s="101">
        <v>0</v>
      </c>
      <c r="K1098" s="101">
        <v>0</v>
      </c>
      <c r="L1098" s="101">
        <v>0</v>
      </c>
      <c r="M1098" s="101">
        <v>0</v>
      </c>
      <c r="N1098" s="101">
        <v>0</v>
      </c>
      <c r="O1098" s="101">
        <v>204</v>
      </c>
      <c r="P1098" s="101">
        <v>228</v>
      </c>
      <c r="Q1098" s="101">
        <v>3012</v>
      </c>
      <c r="R1098" s="101">
        <v>246839</v>
      </c>
      <c r="S1098" s="101">
        <v>122638</v>
      </c>
      <c r="T1098" s="169">
        <v>1.02</v>
      </c>
      <c r="U1098" s="101">
        <f t="shared" si="95"/>
        <v>208.08</v>
      </c>
      <c r="V1098" s="101">
        <f t="shared" si="96"/>
        <v>232.56</v>
      </c>
      <c r="W1098" s="101">
        <f t="shared" si="97"/>
        <v>3072.2400000000002</v>
      </c>
      <c r="X1098" s="101">
        <f t="shared" si="98"/>
        <v>251775.78</v>
      </c>
      <c r="Y1098" s="101">
        <f t="shared" si="99"/>
        <v>125090.76000000001</v>
      </c>
    </row>
    <row r="1099" spans="1:25" ht="11.25" hidden="1" customHeight="1" x14ac:dyDescent="0.3">
      <c r="A1099" s="126" t="s">
        <v>187</v>
      </c>
      <c r="B1099" s="126">
        <v>46</v>
      </c>
      <c r="C1099" s="126">
        <v>21</v>
      </c>
      <c r="D1099" s="126" t="str">
        <f t="shared" si="94"/>
        <v>4621</v>
      </c>
      <c r="E1099" s="101">
        <v>956</v>
      </c>
      <c r="F1099" s="101">
        <v>5891.5</v>
      </c>
      <c r="G1099" s="101">
        <v>43125</v>
      </c>
      <c r="H1099" s="101">
        <v>507330.53</v>
      </c>
      <c r="I1099" s="101">
        <v>129843.7855</v>
      </c>
      <c r="J1099" s="101">
        <v>1219</v>
      </c>
      <c r="K1099" s="101">
        <v>9758</v>
      </c>
      <c r="L1099" s="101">
        <v>58916</v>
      </c>
      <c r="M1099" s="101">
        <v>723048.39</v>
      </c>
      <c r="N1099" s="101">
        <v>225853.38699999999</v>
      </c>
      <c r="O1099" s="101">
        <v>957</v>
      </c>
      <c r="P1099" s="101">
        <v>9090</v>
      </c>
      <c r="Q1099" s="101">
        <v>55573</v>
      </c>
      <c r="R1099" s="101">
        <v>682252</v>
      </c>
      <c r="S1099" s="101">
        <v>175296</v>
      </c>
      <c r="T1099" s="169">
        <v>1.02</v>
      </c>
      <c r="U1099" s="101"/>
      <c r="V1099" s="101"/>
      <c r="W1099" s="101"/>
      <c r="X1099" s="101"/>
      <c r="Y1099" s="101"/>
    </row>
    <row r="1100" spans="1:25" ht="11.25" hidden="1" customHeight="1" x14ac:dyDescent="0.3">
      <c r="A1100" s="126" t="s">
        <v>187</v>
      </c>
      <c r="B1100" s="126">
        <v>46</v>
      </c>
      <c r="C1100" s="126">
        <v>71</v>
      </c>
      <c r="D1100" s="126" t="str">
        <f t="shared" si="94"/>
        <v>4671</v>
      </c>
      <c r="E1100" s="101">
        <v>559</v>
      </c>
      <c r="F1100" s="101">
        <v>7359</v>
      </c>
      <c r="G1100" s="101">
        <v>28212.5</v>
      </c>
      <c r="H1100" s="101">
        <v>227813.28999999998</v>
      </c>
      <c r="I1100" s="101">
        <v>109330.24400000001</v>
      </c>
      <c r="J1100" s="101">
        <v>704</v>
      </c>
      <c r="K1100" s="101">
        <v>6325</v>
      </c>
      <c r="L1100" s="101">
        <v>18499</v>
      </c>
      <c r="M1100" s="101">
        <v>212102.17</v>
      </c>
      <c r="N1100" s="101">
        <v>137999.85500000001</v>
      </c>
      <c r="O1100" s="101">
        <v>430</v>
      </c>
      <c r="P1100" s="101">
        <v>8581</v>
      </c>
      <c r="Q1100" s="101">
        <v>35243</v>
      </c>
      <c r="R1100" s="101">
        <v>301654</v>
      </c>
      <c r="S1100" s="101">
        <v>149612</v>
      </c>
      <c r="T1100" s="169">
        <v>0.98</v>
      </c>
      <c r="U1100" s="101">
        <v>682</v>
      </c>
      <c r="V1100" s="101">
        <v>17261</v>
      </c>
      <c r="W1100" s="101">
        <v>68639</v>
      </c>
      <c r="X1100" s="101">
        <v>560121</v>
      </c>
      <c r="Y1100" s="101">
        <v>265424</v>
      </c>
    </row>
    <row r="1101" spans="1:25" ht="11.25" hidden="1" customHeight="1" x14ac:dyDescent="0.3">
      <c r="A1101" s="126" t="s">
        <v>187</v>
      </c>
      <c r="B1101" s="126">
        <v>46</v>
      </c>
      <c r="C1101" s="126">
        <v>22</v>
      </c>
      <c r="D1101" s="126" t="str">
        <f t="shared" si="94"/>
        <v>4622</v>
      </c>
      <c r="J1101" s="101">
        <v>46</v>
      </c>
      <c r="K1101" s="101">
        <v>274</v>
      </c>
      <c r="L1101" s="101">
        <v>1788</v>
      </c>
      <c r="M1101" s="101">
        <v>10751.48</v>
      </c>
      <c r="N1101" s="101">
        <v>7116.3980000000001</v>
      </c>
      <c r="O1101" s="101">
        <v>1</v>
      </c>
      <c r="P1101" s="101">
        <v>1</v>
      </c>
      <c r="Q1101" s="101">
        <v>10</v>
      </c>
      <c r="R1101" s="101">
        <v>38</v>
      </c>
      <c r="S1101" s="101">
        <v>21</v>
      </c>
      <c r="T1101" s="169">
        <v>1.02</v>
      </c>
      <c r="U1101" s="101">
        <f t="shared" si="95"/>
        <v>1.02</v>
      </c>
      <c r="V1101" s="101">
        <f t="shared" si="96"/>
        <v>1.02</v>
      </c>
      <c r="W1101" s="101">
        <f t="shared" si="97"/>
        <v>10.199999999999999</v>
      </c>
      <c r="X1101" s="101">
        <f t="shared" si="98"/>
        <v>38.76</v>
      </c>
      <c r="Y1101" s="101">
        <f t="shared" si="99"/>
        <v>21.42</v>
      </c>
    </row>
    <row r="1102" spans="1:25" ht="11.25" hidden="1" customHeight="1" x14ac:dyDescent="0.3">
      <c r="A1102" s="126" t="s">
        <v>187</v>
      </c>
      <c r="B1102" s="126">
        <v>46</v>
      </c>
      <c r="C1102" s="126">
        <v>26</v>
      </c>
      <c r="D1102" s="126" t="str">
        <f t="shared" si="94"/>
        <v>4626</v>
      </c>
      <c r="J1102" s="101">
        <v>8</v>
      </c>
      <c r="K1102" s="101">
        <v>58</v>
      </c>
      <c r="L1102" s="101">
        <v>508</v>
      </c>
      <c r="M1102" s="101">
        <v>17821.629999999997</v>
      </c>
      <c r="N1102" s="101">
        <v>6758.8060000000005</v>
      </c>
      <c r="O1102" s="101">
        <v>1</v>
      </c>
      <c r="P1102" s="101">
        <v>1</v>
      </c>
      <c r="Q1102" s="101">
        <v>1</v>
      </c>
      <c r="R1102" s="101">
        <v>0</v>
      </c>
      <c r="S1102" s="101">
        <v>59</v>
      </c>
      <c r="T1102" s="169">
        <v>1.02</v>
      </c>
      <c r="U1102" s="101">
        <f t="shared" si="95"/>
        <v>1.02</v>
      </c>
      <c r="V1102" s="101">
        <f t="shared" si="96"/>
        <v>1.02</v>
      </c>
      <c r="W1102" s="101">
        <f t="shared" si="97"/>
        <v>1.02</v>
      </c>
      <c r="X1102" s="101">
        <f t="shared" si="98"/>
        <v>0</v>
      </c>
      <c r="Y1102" s="101">
        <f t="shared" si="99"/>
        <v>60.18</v>
      </c>
    </row>
    <row r="1103" spans="1:25" ht="11.25" hidden="1" customHeight="1" x14ac:dyDescent="0.3">
      <c r="A1103" s="126" t="s">
        <v>187</v>
      </c>
      <c r="B1103" s="126">
        <v>46</v>
      </c>
      <c r="C1103" s="126">
        <v>32</v>
      </c>
      <c r="D1103" s="126" t="str">
        <f t="shared" si="94"/>
        <v>4632</v>
      </c>
      <c r="J1103" s="101">
        <v>52</v>
      </c>
      <c r="K1103" s="101">
        <v>130</v>
      </c>
      <c r="L1103" s="101">
        <v>4260</v>
      </c>
      <c r="M1103" s="101">
        <v>152718.78</v>
      </c>
      <c r="N1103" s="101">
        <v>62624.788999999997</v>
      </c>
      <c r="O1103" s="101">
        <v>39</v>
      </c>
      <c r="P1103" s="101">
        <v>109</v>
      </c>
      <c r="Q1103" s="101">
        <v>3779</v>
      </c>
      <c r="R1103" s="101">
        <v>55096</v>
      </c>
      <c r="S1103" s="101">
        <v>50013</v>
      </c>
      <c r="T1103" s="169">
        <v>1.02</v>
      </c>
      <c r="U1103" s="101">
        <f t="shared" si="95"/>
        <v>39.78</v>
      </c>
      <c r="V1103" s="101">
        <f t="shared" si="96"/>
        <v>111.18</v>
      </c>
      <c r="W1103" s="101">
        <f t="shared" si="97"/>
        <v>3854.58</v>
      </c>
      <c r="X1103" s="101">
        <f t="shared" si="98"/>
        <v>56197.919999999998</v>
      </c>
      <c r="Y1103" s="101">
        <f t="shared" si="99"/>
        <v>51013.26</v>
      </c>
    </row>
    <row r="1104" spans="1:25" ht="11.25" hidden="1" customHeight="1" x14ac:dyDescent="0.3">
      <c r="A1104" s="126" t="s">
        <v>187</v>
      </c>
      <c r="B1104" s="126">
        <v>46</v>
      </c>
      <c r="C1104" s="126">
        <v>41</v>
      </c>
      <c r="D1104" s="126" t="str">
        <f t="shared" si="94"/>
        <v>4641</v>
      </c>
      <c r="J1104" s="101">
        <v>1</v>
      </c>
      <c r="K1104" s="101">
        <v>1</v>
      </c>
      <c r="L1104" s="101">
        <v>1</v>
      </c>
      <c r="M1104" s="101">
        <v>0</v>
      </c>
      <c r="N1104" s="101">
        <v>0.99299999999999999</v>
      </c>
      <c r="O1104" s="101">
        <v>4</v>
      </c>
      <c r="P1104" s="101">
        <v>4</v>
      </c>
      <c r="Q1104" s="101">
        <v>220</v>
      </c>
      <c r="R1104" s="101">
        <v>794</v>
      </c>
      <c r="S1104" s="101">
        <v>287</v>
      </c>
      <c r="T1104" s="169">
        <v>1.02</v>
      </c>
      <c r="U1104" s="101">
        <f t="shared" si="95"/>
        <v>4.08</v>
      </c>
      <c r="V1104" s="101">
        <f t="shared" si="96"/>
        <v>4.08</v>
      </c>
      <c r="W1104" s="101">
        <f t="shared" si="97"/>
        <v>224.4</v>
      </c>
      <c r="X1104" s="101">
        <f t="shared" si="98"/>
        <v>809.88</v>
      </c>
      <c r="Y1104" s="101">
        <f t="shared" si="99"/>
        <v>292.74</v>
      </c>
    </row>
    <row r="1105" spans="1:25" ht="11.25" hidden="1" customHeight="1" x14ac:dyDescent="0.3">
      <c r="A1105" s="126" t="s">
        <v>187</v>
      </c>
      <c r="B1105" s="126">
        <v>46</v>
      </c>
      <c r="C1105" s="126">
        <v>43</v>
      </c>
      <c r="D1105" s="126" t="str">
        <f t="shared" si="94"/>
        <v>4643</v>
      </c>
      <c r="J1105" s="101">
        <v>0</v>
      </c>
      <c r="K1105" s="101">
        <v>0</v>
      </c>
      <c r="L1105" s="101">
        <v>0</v>
      </c>
      <c r="M1105" s="101">
        <v>0</v>
      </c>
      <c r="N1105" s="101">
        <v>0</v>
      </c>
      <c r="O1105" s="101">
        <v>0</v>
      </c>
      <c r="P1105" s="101">
        <v>0</v>
      </c>
      <c r="Q1105" s="101">
        <v>0</v>
      </c>
      <c r="R1105" s="101">
        <v>0</v>
      </c>
      <c r="S1105" s="101">
        <v>0</v>
      </c>
      <c r="T1105" s="169">
        <v>1.02</v>
      </c>
      <c r="U1105" s="101">
        <f t="shared" si="95"/>
        <v>0</v>
      </c>
      <c r="V1105" s="101">
        <f t="shared" si="96"/>
        <v>0</v>
      </c>
      <c r="W1105" s="101">
        <f t="shared" si="97"/>
        <v>0</v>
      </c>
      <c r="X1105" s="101">
        <f t="shared" si="98"/>
        <v>0</v>
      </c>
      <c r="Y1105" s="101">
        <f t="shared" si="99"/>
        <v>0</v>
      </c>
    </row>
    <row r="1106" spans="1:25" ht="11.25" hidden="1" customHeight="1" x14ac:dyDescent="0.3">
      <c r="A1106" s="126" t="s">
        <v>187</v>
      </c>
      <c r="B1106" s="126">
        <v>46</v>
      </c>
      <c r="C1106" s="126">
        <v>44</v>
      </c>
      <c r="D1106" s="126" t="str">
        <f t="shared" si="94"/>
        <v>4644</v>
      </c>
      <c r="J1106" s="101">
        <v>0</v>
      </c>
      <c r="K1106" s="101">
        <v>0</v>
      </c>
      <c r="L1106" s="101">
        <v>0</v>
      </c>
      <c r="M1106" s="101">
        <v>0</v>
      </c>
      <c r="N1106" s="101">
        <v>0</v>
      </c>
      <c r="O1106" s="101">
        <v>0</v>
      </c>
      <c r="P1106" s="101">
        <v>0</v>
      </c>
      <c r="Q1106" s="101">
        <v>0</v>
      </c>
      <c r="R1106" s="101">
        <v>0</v>
      </c>
      <c r="S1106" s="101">
        <v>0</v>
      </c>
      <c r="T1106" s="169">
        <v>1.02</v>
      </c>
      <c r="U1106" s="101">
        <f t="shared" si="95"/>
        <v>0</v>
      </c>
      <c r="V1106" s="101">
        <f t="shared" si="96"/>
        <v>0</v>
      </c>
      <c r="W1106" s="101">
        <f t="shared" si="97"/>
        <v>0</v>
      </c>
      <c r="X1106" s="101">
        <f t="shared" si="98"/>
        <v>0</v>
      </c>
      <c r="Y1106" s="101">
        <f t="shared" si="99"/>
        <v>0</v>
      </c>
    </row>
    <row r="1107" spans="1:25" ht="11.25" hidden="1" customHeight="1" x14ac:dyDescent="0.3">
      <c r="A1107" s="126" t="s">
        <v>187</v>
      </c>
      <c r="B1107" s="126">
        <v>46</v>
      </c>
      <c r="C1107" s="126">
        <v>45</v>
      </c>
      <c r="D1107" s="126" t="str">
        <f t="shared" si="94"/>
        <v>4645</v>
      </c>
      <c r="J1107" s="101">
        <v>0</v>
      </c>
      <c r="K1107" s="101">
        <v>0</v>
      </c>
      <c r="L1107" s="101">
        <v>0</v>
      </c>
      <c r="M1107" s="101">
        <v>0</v>
      </c>
      <c r="N1107" s="101">
        <v>0</v>
      </c>
      <c r="O1107" s="101">
        <v>0</v>
      </c>
      <c r="P1107" s="101">
        <v>0</v>
      </c>
      <c r="Q1107" s="101">
        <v>0</v>
      </c>
      <c r="R1107" s="101">
        <v>0</v>
      </c>
      <c r="S1107" s="101">
        <v>0</v>
      </c>
      <c r="T1107" s="169">
        <v>1.02</v>
      </c>
      <c r="U1107" s="101">
        <f t="shared" si="95"/>
        <v>0</v>
      </c>
      <c r="V1107" s="101">
        <f t="shared" si="96"/>
        <v>0</v>
      </c>
      <c r="W1107" s="101">
        <f t="shared" si="97"/>
        <v>0</v>
      </c>
      <c r="X1107" s="101">
        <f t="shared" si="98"/>
        <v>0</v>
      </c>
      <c r="Y1107" s="101">
        <f t="shared" si="99"/>
        <v>0</v>
      </c>
    </row>
    <row r="1108" spans="1:25" ht="11.25" hidden="1" customHeight="1" x14ac:dyDescent="0.3">
      <c r="A1108" s="126" t="s">
        <v>187</v>
      </c>
      <c r="B1108" s="126">
        <v>46</v>
      </c>
      <c r="C1108" s="126">
        <v>91</v>
      </c>
      <c r="D1108" s="126" t="str">
        <f t="shared" si="94"/>
        <v>4691</v>
      </c>
      <c r="J1108" s="101">
        <v>101</v>
      </c>
      <c r="K1108" s="101">
        <v>168</v>
      </c>
      <c r="L1108" s="101">
        <v>1599</v>
      </c>
      <c r="M1108" s="101">
        <v>9177.4700000000012</v>
      </c>
      <c r="N1108" s="101">
        <v>6111.67</v>
      </c>
      <c r="O1108" s="101">
        <v>64</v>
      </c>
      <c r="P1108" s="101">
        <v>226</v>
      </c>
      <c r="Q1108" s="101">
        <v>988</v>
      </c>
      <c r="R1108" s="101">
        <v>6695</v>
      </c>
      <c r="S1108" s="101">
        <v>4578</v>
      </c>
      <c r="T1108" s="169">
        <v>1.02</v>
      </c>
      <c r="U1108" s="101">
        <f t="shared" si="95"/>
        <v>65.28</v>
      </c>
      <c r="V1108" s="101">
        <f t="shared" si="96"/>
        <v>230.52</v>
      </c>
      <c r="W1108" s="101">
        <f t="shared" si="97"/>
        <v>1007.76</v>
      </c>
      <c r="X1108" s="101">
        <f t="shared" si="98"/>
        <v>6828.9000000000005</v>
      </c>
      <c r="Y1108" s="101">
        <f t="shared" si="99"/>
        <v>4669.5600000000004</v>
      </c>
    </row>
    <row r="1109" spans="1:25" ht="11.25" hidden="1" customHeight="1" x14ac:dyDescent="0.3">
      <c r="A1109" s="126" t="s">
        <v>187</v>
      </c>
      <c r="B1109" s="126">
        <v>46</v>
      </c>
      <c r="C1109" s="126">
        <v>25</v>
      </c>
      <c r="D1109" s="126" t="str">
        <f t="shared" si="94"/>
        <v>4625</v>
      </c>
      <c r="E1109" s="101">
        <v>1075</v>
      </c>
      <c r="F1109" s="101">
        <v>8655</v>
      </c>
      <c r="G1109" s="101">
        <v>54829</v>
      </c>
      <c r="H1109" s="101">
        <v>536194.21</v>
      </c>
      <c r="I1109" s="101">
        <v>236366.83799999999</v>
      </c>
      <c r="J1109" s="101">
        <v>843</v>
      </c>
      <c r="K1109" s="101">
        <v>9413</v>
      </c>
      <c r="L1109" s="101">
        <v>52851</v>
      </c>
      <c r="M1109" s="101">
        <v>871874.73</v>
      </c>
      <c r="N1109" s="101">
        <v>347068.44799999997</v>
      </c>
      <c r="O1109" s="101">
        <v>780</v>
      </c>
      <c r="P1109" s="101">
        <v>6888</v>
      </c>
      <c r="Q1109" s="101">
        <v>45146</v>
      </c>
      <c r="R1109" s="101">
        <v>367421</v>
      </c>
      <c r="S1109" s="101">
        <v>236796</v>
      </c>
      <c r="T1109" s="169">
        <v>1.02</v>
      </c>
      <c r="U1109" s="101">
        <f t="shared" si="95"/>
        <v>795.6</v>
      </c>
      <c r="V1109" s="101">
        <f t="shared" si="96"/>
        <v>7025.76</v>
      </c>
      <c r="W1109" s="101">
        <f t="shared" si="97"/>
        <v>46048.92</v>
      </c>
      <c r="X1109" s="101">
        <f t="shared" si="98"/>
        <v>374769.42</v>
      </c>
      <c r="Y1109" s="101">
        <f t="shared" si="99"/>
        <v>241531.92</v>
      </c>
    </row>
    <row r="1110" spans="1:25" ht="11.25" hidden="1" customHeight="1" x14ac:dyDescent="0.3">
      <c r="A1110" s="126" t="s">
        <v>187</v>
      </c>
      <c r="B1110" s="126">
        <v>46</v>
      </c>
      <c r="C1110" s="126">
        <v>27</v>
      </c>
      <c r="D1110" s="126" t="str">
        <f t="shared" si="94"/>
        <v>4627</v>
      </c>
      <c r="E1110" s="101">
        <v>77</v>
      </c>
      <c r="F1110" s="101">
        <v>2059</v>
      </c>
      <c r="G1110" s="101">
        <v>8921</v>
      </c>
      <c r="H1110" s="101">
        <v>123610.56999999999</v>
      </c>
      <c r="I1110" s="101">
        <v>47946.357000000004</v>
      </c>
      <c r="J1110" s="101">
        <v>95</v>
      </c>
      <c r="K1110" s="101">
        <v>1952</v>
      </c>
      <c r="L1110" s="101">
        <v>12591</v>
      </c>
      <c r="M1110" s="101">
        <v>171489.89</v>
      </c>
      <c r="N1110" s="101">
        <v>68051.036999999997</v>
      </c>
      <c r="O1110" s="101">
        <v>78</v>
      </c>
      <c r="P1110" s="101">
        <v>2933</v>
      </c>
      <c r="Q1110" s="101">
        <v>18285</v>
      </c>
      <c r="R1110" s="101">
        <v>159585</v>
      </c>
      <c r="S1110" s="101">
        <v>69153</v>
      </c>
      <c r="T1110" s="169">
        <v>1.02</v>
      </c>
      <c r="U1110" s="101">
        <f t="shared" si="95"/>
        <v>79.56</v>
      </c>
      <c r="V1110" s="101">
        <f t="shared" si="96"/>
        <v>2991.66</v>
      </c>
      <c r="W1110" s="101">
        <f t="shared" si="97"/>
        <v>18650.7</v>
      </c>
      <c r="X1110" s="101">
        <f t="shared" si="98"/>
        <v>162776.70000000001</v>
      </c>
      <c r="Y1110" s="101">
        <f t="shared" si="99"/>
        <v>70536.06</v>
      </c>
    </row>
    <row r="1111" spans="1:25" ht="11.25" customHeight="1" x14ac:dyDescent="0.3">
      <c r="A1111" s="126" t="s">
        <v>187</v>
      </c>
      <c r="B1111" s="126">
        <v>46</v>
      </c>
      <c r="C1111" s="126" t="s">
        <v>172</v>
      </c>
      <c r="D1111" s="126" t="str">
        <f t="shared" si="94"/>
        <v>46Uml</v>
      </c>
      <c r="J1111" s="101">
        <v>229</v>
      </c>
      <c r="K1111" s="101">
        <v>235</v>
      </c>
      <c r="L1111" s="101">
        <v>58637</v>
      </c>
      <c r="N1111" s="101">
        <v>302619</v>
      </c>
      <c r="O1111" s="101">
        <v>402</v>
      </c>
      <c r="P1111" s="101">
        <v>412</v>
      </c>
      <c r="Q1111" s="101">
        <v>150258</v>
      </c>
      <c r="S1111" s="101">
        <v>453426</v>
      </c>
      <c r="T1111" s="169">
        <v>1.02</v>
      </c>
      <c r="U1111" s="101">
        <f t="shared" si="95"/>
        <v>410.04</v>
      </c>
      <c r="V1111" s="101">
        <f t="shared" si="96"/>
        <v>420.24</v>
      </c>
      <c r="W1111" s="101">
        <f t="shared" si="97"/>
        <v>153263.16</v>
      </c>
      <c r="X1111" s="101">
        <f t="shared" si="98"/>
        <v>0</v>
      </c>
      <c r="Y1111" s="101">
        <f t="shared" si="99"/>
        <v>462494.52</v>
      </c>
    </row>
    <row r="1112" spans="1:25" ht="11.25" hidden="1" customHeight="1" x14ac:dyDescent="0.3">
      <c r="A1112" s="126" t="s">
        <v>187</v>
      </c>
      <c r="B1112" s="126">
        <v>46</v>
      </c>
      <c r="C1112" s="126">
        <v>37</v>
      </c>
      <c r="D1112" s="126" t="str">
        <f t="shared" si="94"/>
        <v>4637</v>
      </c>
      <c r="E1112" s="101">
        <v>13</v>
      </c>
      <c r="F1112" s="101">
        <v>66.75</v>
      </c>
      <c r="G1112" s="101">
        <v>2604.5</v>
      </c>
      <c r="H1112" s="101">
        <v>6141.3525</v>
      </c>
      <c r="I1112" s="101">
        <v>6505.2387499999995</v>
      </c>
      <c r="J1112" s="101">
        <v>30</v>
      </c>
      <c r="K1112" s="101">
        <v>108</v>
      </c>
      <c r="L1112" s="101">
        <v>2616</v>
      </c>
      <c r="M1112" s="101">
        <v>13969.000000000002</v>
      </c>
      <c r="N1112" s="101">
        <v>5787.9969999999994</v>
      </c>
      <c r="O1112" s="101">
        <v>37</v>
      </c>
      <c r="P1112" s="101">
        <v>169</v>
      </c>
      <c r="Q1112" s="101">
        <v>3381</v>
      </c>
      <c r="R1112" s="101">
        <v>22631</v>
      </c>
      <c r="S1112" s="101">
        <v>11405</v>
      </c>
      <c r="T1112" s="169">
        <v>1.02</v>
      </c>
      <c r="U1112" s="101">
        <f t="shared" si="95"/>
        <v>37.74</v>
      </c>
      <c r="V1112" s="101">
        <f t="shared" si="96"/>
        <v>172.38</v>
      </c>
      <c r="W1112" s="101">
        <f t="shared" si="97"/>
        <v>3448.62</v>
      </c>
      <c r="X1112" s="101">
        <f t="shared" si="98"/>
        <v>23083.62</v>
      </c>
      <c r="Y1112" s="101">
        <f t="shared" si="99"/>
        <v>11633.1</v>
      </c>
    </row>
    <row r="1113" spans="1:25" ht="11.25" hidden="1" customHeight="1" x14ac:dyDescent="0.3">
      <c r="A1113" s="126" t="s">
        <v>187</v>
      </c>
      <c r="B1113" s="126">
        <v>47</v>
      </c>
      <c r="C1113" s="126">
        <v>12</v>
      </c>
      <c r="D1113" s="126" t="str">
        <f t="shared" si="94"/>
        <v>4712</v>
      </c>
      <c r="E1113" s="101">
        <v>128</v>
      </c>
      <c r="F1113" s="101">
        <v>244</v>
      </c>
      <c r="G1113" s="101">
        <v>320</v>
      </c>
      <c r="H1113" s="101">
        <v>5639.15</v>
      </c>
      <c r="I1113" s="101">
        <v>1592.7450000000003</v>
      </c>
      <c r="J1113" s="101">
        <v>35</v>
      </c>
      <c r="K1113" s="101">
        <v>59</v>
      </c>
      <c r="L1113" s="101">
        <v>98</v>
      </c>
      <c r="M1113" s="101">
        <v>1920.53</v>
      </c>
      <c r="N1113" s="101">
        <v>392.27699999999999</v>
      </c>
      <c r="O1113" s="101">
        <v>19</v>
      </c>
      <c r="P1113" s="101">
        <v>40</v>
      </c>
      <c r="Q1113" s="101">
        <v>67</v>
      </c>
      <c r="R1113" s="101">
        <v>1366</v>
      </c>
      <c r="S1113" s="101">
        <v>240</v>
      </c>
      <c r="T1113" s="169">
        <v>1.02</v>
      </c>
      <c r="U1113" s="101">
        <f t="shared" si="95"/>
        <v>19.38</v>
      </c>
      <c r="V1113" s="101">
        <f t="shared" si="96"/>
        <v>40.799999999999997</v>
      </c>
      <c r="W1113" s="101">
        <f t="shared" si="97"/>
        <v>68.34</v>
      </c>
      <c r="X1113" s="101">
        <f t="shared" si="98"/>
        <v>1393.32</v>
      </c>
      <c r="Y1113" s="101">
        <f t="shared" si="99"/>
        <v>244.8</v>
      </c>
    </row>
    <row r="1114" spans="1:25" ht="11.25" hidden="1" customHeight="1" x14ac:dyDescent="0.3">
      <c r="A1114" s="126" t="s">
        <v>187</v>
      </c>
      <c r="B1114" s="126">
        <v>47</v>
      </c>
      <c r="C1114" s="126">
        <v>14</v>
      </c>
      <c r="D1114" s="126" t="str">
        <f t="shared" si="94"/>
        <v>4714</v>
      </c>
      <c r="E1114" s="101">
        <v>4</v>
      </c>
      <c r="F1114" s="101">
        <v>11</v>
      </c>
      <c r="G1114" s="101">
        <v>13</v>
      </c>
      <c r="H1114" s="101">
        <v>3057.31</v>
      </c>
      <c r="I1114" s="101">
        <v>733.096</v>
      </c>
      <c r="J1114" s="101">
        <v>29</v>
      </c>
      <c r="K1114" s="101">
        <v>48</v>
      </c>
      <c r="L1114" s="101">
        <v>109</v>
      </c>
      <c r="M1114" s="101">
        <v>11368.62</v>
      </c>
      <c r="N1114" s="101">
        <v>1877.624</v>
      </c>
      <c r="O1114" s="101">
        <v>81</v>
      </c>
      <c r="P1114" s="101">
        <v>103</v>
      </c>
      <c r="Q1114" s="101">
        <v>188</v>
      </c>
      <c r="R1114" s="101">
        <v>10247</v>
      </c>
      <c r="S1114" s="101">
        <v>1643</v>
      </c>
      <c r="T1114" s="169">
        <v>1.02</v>
      </c>
      <c r="U1114" s="101">
        <f t="shared" si="95"/>
        <v>82.62</v>
      </c>
      <c r="V1114" s="101">
        <f t="shared" si="96"/>
        <v>105.06</v>
      </c>
      <c r="W1114" s="101">
        <f t="shared" si="97"/>
        <v>191.76</v>
      </c>
      <c r="X1114" s="101">
        <f t="shared" si="98"/>
        <v>10451.94</v>
      </c>
      <c r="Y1114" s="101">
        <f t="shared" si="99"/>
        <v>1675.8600000000001</v>
      </c>
    </row>
    <row r="1115" spans="1:25" ht="11.25" hidden="1" customHeight="1" x14ac:dyDescent="0.3">
      <c r="A1115" s="126" t="s">
        <v>187</v>
      </c>
      <c r="B1115" s="126">
        <v>47</v>
      </c>
      <c r="C1115" s="126">
        <v>17</v>
      </c>
      <c r="D1115" s="126" t="str">
        <f t="shared" si="94"/>
        <v>4717</v>
      </c>
      <c r="E1115" s="101">
        <v>5071</v>
      </c>
      <c r="F1115" s="101">
        <v>7141</v>
      </c>
      <c r="G1115" s="101">
        <v>9423</v>
      </c>
      <c r="H1115" s="101">
        <v>338518.74</v>
      </c>
      <c r="I1115" s="101">
        <v>70071.172999999995</v>
      </c>
      <c r="J1115" s="101">
        <v>3266</v>
      </c>
      <c r="K1115" s="101">
        <v>9434</v>
      </c>
      <c r="L1115" s="101">
        <v>14858</v>
      </c>
      <c r="M1115" s="101">
        <v>289937.73</v>
      </c>
      <c r="N1115" s="101">
        <v>69992.478000000003</v>
      </c>
      <c r="O1115" s="101">
        <v>3239</v>
      </c>
      <c r="P1115" s="101">
        <v>7135</v>
      </c>
      <c r="Q1115" s="101">
        <v>9006</v>
      </c>
      <c r="R1115" s="101">
        <v>209134</v>
      </c>
      <c r="S1115" s="101">
        <v>56766</v>
      </c>
      <c r="T1115" s="169">
        <v>1.02</v>
      </c>
      <c r="U1115" s="101">
        <v>5144</v>
      </c>
      <c r="V1115" s="101">
        <v>10871</v>
      </c>
      <c r="W1115" s="101">
        <v>15806</v>
      </c>
      <c r="X1115" s="101">
        <f t="shared" si="98"/>
        <v>213316.68</v>
      </c>
      <c r="Y1115" s="101">
        <v>55000</v>
      </c>
    </row>
    <row r="1116" spans="1:25" ht="11.25" hidden="1" customHeight="1" x14ac:dyDescent="0.3">
      <c r="A1116" s="126" t="s">
        <v>187</v>
      </c>
      <c r="B1116" s="126">
        <v>47</v>
      </c>
      <c r="C1116" s="126">
        <v>18</v>
      </c>
      <c r="D1116" s="126" t="str">
        <f t="shared" si="94"/>
        <v>4718</v>
      </c>
      <c r="E1116" s="101">
        <v>663</v>
      </c>
      <c r="F1116" s="101">
        <v>881</v>
      </c>
      <c r="G1116" s="101">
        <v>1235</v>
      </c>
      <c r="H1116" s="101">
        <v>58079.619999999995</v>
      </c>
      <c r="I1116" s="101">
        <v>8527.5450000000001</v>
      </c>
      <c r="J1116" s="101">
        <v>5123</v>
      </c>
      <c r="K1116" s="101">
        <v>5566</v>
      </c>
      <c r="L1116" s="101">
        <v>6141</v>
      </c>
      <c r="M1116" s="101">
        <v>293995.3</v>
      </c>
      <c r="N1116" s="101">
        <v>73576.835999999996</v>
      </c>
      <c r="O1116" s="101">
        <v>2703</v>
      </c>
      <c r="P1116" s="101">
        <v>2934</v>
      </c>
      <c r="Q1116" s="101">
        <v>3806</v>
      </c>
      <c r="R1116" s="101">
        <v>168212</v>
      </c>
      <c r="S1116" s="101">
        <v>44107</v>
      </c>
      <c r="T1116" s="169">
        <v>1.32</v>
      </c>
      <c r="U1116" s="101">
        <f t="shared" si="95"/>
        <v>3567.96</v>
      </c>
      <c r="V1116" s="101">
        <f t="shared" si="96"/>
        <v>3872.88</v>
      </c>
      <c r="W1116" s="101">
        <f t="shared" si="97"/>
        <v>5023.92</v>
      </c>
      <c r="X1116" s="101">
        <f t="shared" si="98"/>
        <v>222039.84</v>
      </c>
      <c r="Y1116" s="101">
        <f t="shared" si="99"/>
        <v>58221.240000000005</v>
      </c>
    </row>
    <row r="1117" spans="1:25" ht="11.25" hidden="1" customHeight="1" x14ac:dyDescent="0.3">
      <c r="A1117" s="126" t="s">
        <v>187</v>
      </c>
      <c r="B1117" s="126">
        <v>47</v>
      </c>
      <c r="C1117" s="126">
        <v>28</v>
      </c>
      <c r="D1117" s="126" t="str">
        <f t="shared" si="94"/>
        <v>4728</v>
      </c>
      <c r="E1117" s="101">
        <v>537</v>
      </c>
      <c r="F1117" s="101">
        <v>5460</v>
      </c>
      <c r="G1117" s="101">
        <v>65263</v>
      </c>
      <c r="H1117" s="101">
        <v>1640966.04</v>
      </c>
      <c r="I1117" s="101">
        <v>403382.65600000002</v>
      </c>
      <c r="J1117" s="101">
        <v>590</v>
      </c>
      <c r="K1117" s="101">
        <v>4422</v>
      </c>
      <c r="L1117" s="101">
        <v>61666</v>
      </c>
      <c r="M1117" s="101">
        <v>1070028.3400000001</v>
      </c>
      <c r="N1117" s="101">
        <v>246521.04699999999</v>
      </c>
      <c r="O1117" s="101">
        <v>537</v>
      </c>
      <c r="P1117" s="101">
        <v>5181</v>
      </c>
      <c r="Q1117" s="101">
        <v>150655</v>
      </c>
      <c r="R1117" s="101">
        <v>2374167</v>
      </c>
      <c r="S1117" s="101">
        <v>650808</v>
      </c>
      <c r="T1117" s="169">
        <v>1.02</v>
      </c>
      <c r="U1117" s="101">
        <v>266</v>
      </c>
      <c r="V1117" s="101">
        <v>1190</v>
      </c>
      <c r="W1117" s="101">
        <v>4951</v>
      </c>
      <c r="X1117" s="144">
        <f t="shared" si="98"/>
        <v>2421650.34</v>
      </c>
      <c r="Y1117" s="101">
        <v>53802</v>
      </c>
    </row>
    <row r="1118" spans="1:25" ht="11.25" hidden="1" customHeight="1" x14ac:dyDescent="0.3">
      <c r="A1118" s="126" t="s">
        <v>187</v>
      </c>
      <c r="B1118" s="126">
        <v>47</v>
      </c>
      <c r="C1118" s="126">
        <v>46</v>
      </c>
      <c r="D1118" s="126" t="str">
        <f t="shared" si="94"/>
        <v>4746</v>
      </c>
      <c r="E1118" s="101">
        <v>566</v>
      </c>
      <c r="F1118" s="101">
        <v>1261</v>
      </c>
      <c r="G1118" s="101">
        <v>20973</v>
      </c>
      <c r="H1118" s="101">
        <v>448452.23</v>
      </c>
      <c r="I1118" s="101">
        <v>129255.507</v>
      </c>
      <c r="J1118" s="101">
        <v>243</v>
      </c>
      <c r="K1118" s="101">
        <v>559</v>
      </c>
      <c r="L1118" s="101">
        <v>22458</v>
      </c>
      <c r="M1118" s="101">
        <v>339572.6</v>
      </c>
      <c r="N1118" s="101">
        <v>87475.471000000005</v>
      </c>
      <c r="O1118" s="101">
        <v>375</v>
      </c>
      <c r="P1118" s="101">
        <v>817</v>
      </c>
      <c r="Q1118" s="101">
        <v>19159</v>
      </c>
      <c r="R1118" s="101">
        <v>381542</v>
      </c>
      <c r="S1118" s="101">
        <v>117527</v>
      </c>
      <c r="T1118" s="169">
        <v>1.02</v>
      </c>
      <c r="U1118" s="101">
        <f t="shared" si="95"/>
        <v>382.5</v>
      </c>
      <c r="V1118" s="101">
        <f t="shared" si="96"/>
        <v>833.34</v>
      </c>
      <c r="W1118" s="101">
        <f t="shared" si="97"/>
        <v>19542.18</v>
      </c>
      <c r="X1118" s="101">
        <f t="shared" si="98"/>
        <v>389172.84</v>
      </c>
      <c r="Y1118" s="101">
        <f t="shared" si="99"/>
        <v>119877.54000000001</v>
      </c>
    </row>
    <row r="1119" spans="1:25" ht="11.25" hidden="1" customHeight="1" x14ac:dyDescent="0.3">
      <c r="A1119" s="126" t="s">
        <v>187</v>
      </c>
      <c r="B1119" s="126">
        <v>47</v>
      </c>
      <c r="C1119" s="126">
        <v>47</v>
      </c>
      <c r="D1119" s="126" t="str">
        <f t="shared" si="94"/>
        <v>4747</v>
      </c>
      <c r="E1119" s="101">
        <v>1</v>
      </c>
      <c r="F1119" s="101">
        <v>2</v>
      </c>
      <c r="G1119" s="101">
        <v>430</v>
      </c>
      <c r="H1119" s="101">
        <v>12300</v>
      </c>
      <c r="I1119" s="101">
        <v>2675.4870000000001</v>
      </c>
      <c r="J1119" s="101">
        <v>2</v>
      </c>
      <c r="K1119" s="101">
        <v>2</v>
      </c>
      <c r="L1119" s="101">
        <v>32</v>
      </c>
      <c r="M1119" s="101">
        <v>858.5</v>
      </c>
      <c r="N1119" s="101">
        <v>21.547000000000001</v>
      </c>
      <c r="O1119" s="101">
        <v>3</v>
      </c>
      <c r="P1119" s="101">
        <v>25</v>
      </c>
      <c r="Q1119" s="101">
        <v>1766</v>
      </c>
      <c r="R1119" s="101">
        <v>64431</v>
      </c>
      <c r="S1119" s="101">
        <v>10544</v>
      </c>
      <c r="T1119" s="169">
        <v>1.02</v>
      </c>
      <c r="U1119" s="101">
        <f t="shared" si="95"/>
        <v>3.06</v>
      </c>
      <c r="V1119" s="101">
        <f t="shared" si="96"/>
        <v>25.5</v>
      </c>
      <c r="W1119" s="101">
        <f t="shared" si="97"/>
        <v>1801.32</v>
      </c>
      <c r="X1119" s="101">
        <f t="shared" si="98"/>
        <v>65719.62</v>
      </c>
      <c r="Y1119" s="101">
        <f t="shared" si="99"/>
        <v>10754.880000000001</v>
      </c>
    </row>
    <row r="1120" spans="1:25" ht="11.25" hidden="1" customHeight="1" x14ac:dyDescent="0.3">
      <c r="A1120" s="126" t="s">
        <v>187</v>
      </c>
      <c r="B1120" s="126">
        <v>47</v>
      </c>
      <c r="C1120" s="126">
        <v>48</v>
      </c>
      <c r="D1120" s="126" t="str">
        <f t="shared" si="94"/>
        <v>4748</v>
      </c>
      <c r="E1120" s="101">
        <v>1</v>
      </c>
      <c r="F1120" s="101">
        <v>1</v>
      </c>
      <c r="G1120" s="101">
        <v>6</v>
      </c>
      <c r="H1120" s="101">
        <v>0</v>
      </c>
      <c r="I1120" s="101">
        <v>41.472000000000001</v>
      </c>
      <c r="J1120" s="101">
        <v>0</v>
      </c>
      <c r="K1120" s="101">
        <v>0</v>
      </c>
      <c r="L1120" s="101">
        <v>0</v>
      </c>
      <c r="M1120" s="101">
        <v>0</v>
      </c>
      <c r="N1120" s="101">
        <v>0</v>
      </c>
      <c r="O1120" s="101">
        <v>0</v>
      </c>
      <c r="P1120" s="101">
        <v>0</v>
      </c>
      <c r="Q1120" s="101">
        <v>0</v>
      </c>
      <c r="R1120" s="101">
        <v>0</v>
      </c>
      <c r="S1120" s="101">
        <v>0</v>
      </c>
      <c r="T1120" s="169">
        <v>1.02</v>
      </c>
      <c r="U1120" s="101">
        <f t="shared" si="95"/>
        <v>0</v>
      </c>
      <c r="V1120" s="101">
        <f t="shared" si="96"/>
        <v>0</v>
      </c>
      <c r="W1120" s="101">
        <f t="shared" si="97"/>
        <v>0</v>
      </c>
      <c r="X1120" s="101">
        <f t="shared" si="98"/>
        <v>0</v>
      </c>
      <c r="Y1120" s="101">
        <f t="shared" si="99"/>
        <v>0</v>
      </c>
    </row>
    <row r="1121" spans="1:25" ht="11.25" hidden="1" customHeight="1" x14ac:dyDescent="0.3">
      <c r="A1121" s="126" t="s">
        <v>187</v>
      </c>
      <c r="B1121" s="126">
        <v>47</v>
      </c>
      <c r="C1121" s="126">
        <v>66</v>
      </c>
      <c r="D1121" s="126" t="str">
        <f t="shared" si="94"/>
        <v>4766</v>
      </c>
      <c r="E1121" s="101">
        <v>596</v>
      </c>
      <c r="F1121" s="101">
        <v>2133</v>
      </c>
      <c r="G1121" s="101">
        <v>51701</v>
      </c>
      <c r="H1121" s="101">
        <v>257951.35999999999</v>
      </c>
      <c r="I1121" s="101">
        <v>96997.263000000006</v>
      </c>
      <c r="J1121" s="101">
        <v>282</v>
      </c>
      <c r="K1121" s="101">
        <v>1853</v>
      </c>
      <c r="L1121" s="101">
        <v>39870</v>
      </c>
      <c r="M1121" s="101">
        <v>292518.15999999997</v>
      </c>
      <c r="N1121" s="101">
        <v>144883.155</v>
      </c>
      <c r="O1121" s="101">
        <v>363</v>
      </c>
      <c r="P1121" s="101">
        <v>1240</v>
      </c>
      <c r="Q1121" s="101">
        <v>26770</v>
      </c>
      <c r="R1121" s="101">
        <v>194397</v>
      </c>
      <c r="S1121" s="101">
        <v>101857</v>
      </c>
      <c r="T1121" s="169">
        <v>1.02</v>
      </c>
      <c r="U1121" s="101">
        <f t="shared" si="95"/>
        <v>370.26</v>
      </c>
      <c r="V1121" s="101">
        <f t="shared" si="96"/>
        <v>1264.8</v>
      </c>
      <c r="W1121" s="101">
        <f t="shared" si="97"/>
        <v>27305.4</v>
      </c>
      <c r="X1121" s="101">
        <f t="shared" si="98"/>
        <v>198284.94</v>
      </c>
      <c r="Y1121" s="101">
        <f t="shared" si="99"/>
        <v>103894.14</v>
      </c>
    </row>
    <row r="1122" spans="1:25" ht="11.25" hidden="1" customHeight="1" x14ac:dyDescent="0.3">
      <c r="A1122" s="126" t="s">
        <v>187</v>
      </c>
      <c r="B1122" s="126">
        <v>47</v>
      </c>
      <c r="C1122" s="126">
        <v>30</v>
      </c>
      <c r="D1122" s="126" t="str">
        <f t="shared" si="94"/>
        <v>4730</v>
      </c>
      <c r="E1122" s="101">
        <v>851.5</v>
      </c>
      <c r="F1122" s="101">
        <v>5670.5</v>
      </c>
      <c r="G1122" s="101">
        <v>31110.5</v>
      </c>
      <c r="H1122" s="101">
        <v>941245.81</v>
      </c>
      <c r="I1122" s="101">
        <v>376628.37750000006</v>
      </c>
      <c r="J1122" s="101">
        <v>0</v>
      </c>
      <c r="K1122" s="101">
        <v>0</v>
      </c>
      <c r="L1122" s="101">
        <v>0</v>
      </c>
      <c r="M1122" s="101">
        <v>0</v>
      </c>
      <c r="N1122" s="101">
        <v>0</v>
      </c>
      <c r="O1122" s="101">
        <v>128</v>
      </c>
      <c r="P1122" s="101">
        <v>202</v>
      </c>
      <c r="Q1122" s="101">
        <v>3389</v>
      </c>
      <c r="R1122" s="101">
        <v>204676</v>
      </c>
      <c r="S1122" s="101">
        <v>100785</v>
      </c>
      <c r="T1122" s="169">
        <v>1.02</v>
      </c>
      <c r="U1122" s="101">
        <f t="shared" si="95"/>
        <v>130.56</v>
      </c>
      <c r="V1122" s="101">
        <f t="shared" si="96"/>
        <v>206.04</v>
      </c>
      <c r="W1122" s="101">
        <f t="shared" si="97"/>
        <v>3456.78</v>
      </c>
      <c r="X1122" s="101">
        <f t="shared" si="98"/>
        <v>208769.52</v>
      </c>
      <c r="Y1122" s="101">
        <f t="shared" si="99"/>
        <v>102800.7</v>
      </c>
    </row>
    <row r="1123" spans="1:25" ht="11.25" hidden="1" customHeight="1" x14ac:dyDescent="0.3">
      <c r="A1123" s="126" t="s">
        <v>187</v>
      </c>
      <c r="B1123" s="126">
        <v>47</v>
      </c>
      <c r="C1123" s="126">
        <v>21</v>
      </c>
      <c r="D1123" s="126" t="str">
        <f t="shared" si="94"/>
        <v>4721</v>
      </c>
      <c r="E1123" s="101">
        <v>1864</v>
      </c>
      <c r="F1123" s="101">
        <v>7051.5</v>
      </c>
      <c r="G1123" s="101">
        <v>37724.5</v>
      </c>
      <c r="H1123" s="101">
        <v>496868.20999999996</v>
      </c>
      <c r="I1123" s="101">
        <v>126584.128</v>
      </c>
      <c r="J1123" s="101">
        <v>1204</v>
      </c>
      <c r="K1123" s="101">
        <v>9918</v>
      </c>
      <c r="L1123" s="101">
        <v>71397</v>
      </c>
      <c r="M1123" s="101">
        <v>1037079.47</v>
      </c>
      <c r="N1123" s="101">
        <v>337678.60800000001</v>
      </c>
      <c r="O1123" s="101">
        <v>1090</v>
      </c>
      <c r="P1123" s="101">
        <v>9292</v>
      </c>
      <c r="Q1123" s="101">
        <v>50641</v>
      </c>
      <c r="R1123" s="101">
        <v>639761</v>
      </c>
      <c r="S1123" s="101">
        <v>181526</v>
      </c>
      <c r="T1123" s="169">
        <v>1.02</v>
      </c>
      <c r="U1123" s="101"/>
      <c r="V1123" s="101"/>
      <c r="W1123" s="101"/>
      <c r="X1123" s="101"/>
      <c r="Y1123" s="101"/>
    </row>
    <row r="1124" spans="1:25" ht="11.25" hidden="1" customHeight="1" x14ac:dyDescent="0.3">
      <c r="A1124" s="126" t="s">
        <v>187</v>
      </c>
      <c r="B1124" s="126">
        <v>47</v>
      </c>
      <c r="C1124" s="126">
        <v>71</v>
      </c>
      <c r="D1124" s="126" t="str">
        <f t="shared" si="94"/>
        <v>4771</v>
      </c>
      <c r="E1124" s="101">
        <v>635.5</v>
      </c>
      <c r="F1124" s="101">
        <v>7966</v>
      </c>
      <c r="G1124" s="101">
        <v>23509.5</v>
      </c>
      <c r="H1124" s="101">
        <v>210954.48500000002</v>
      </c>
      <c r="I1124" s="101">
        <v>98609.83600000001</v>
      </c>
      <c r="J1124" s="101">
        <v>555</v>
      </c>
      <c r="K1124" s="101">
        <v>6902</v>
      </c>
      <c r="L1124" s="101">
        <v>20004</v>
      </c>
      <c r="M1124" s="101">
        <v>165577.82999999999</v>
      </c>
      <c r="N1124" s="101">
        <v>87338.133000000002</v>
      </c>
      <c r="O1124" s="101">
        <v>353</v>
      </c>
      <c r="P1124" s="101">
        <v>7936</v>
      </c>
      <c r="Q1124" s="101">
        <v>32472</v>
      </c>
      <c r="R1124" s="101">
        <v>261090</v>
      </c>
      <c r="S1124" s="101">
        <v>172797</v>
      </c>
      <c r="T1124" s="169">
        <v>0.98</v>
      </c>
      <c r="U1124" s="101">
        <v>627</v>
      </c>
      <c r="V1124" s="101">
        <v>17753</v>
      </c>
      <c r="W1124" s="101">
        <v>70982</v>
      </c>
      <c r="X1124" s="101">
        <v>521995</v>
      </c>
      <c r="Y1124" s="101">
        <v>327278</v>
      </c>
    </row>
    <row r="1125" spans="1:25" ht="11.25" hidden="1" customHeight="1" x14ac:dyDescent="0.3">
      <c r="A1125" s="126" t="s">
        <v>187</v>
      </c>
      <c r="B1125" s="126">
        <v>47</v>
      </c>
      <c r="C1125" s="126">
        <v>25</v>
      </c>
      <c r="D1125" s="126" t="str">
        <f t="shared" si="94"/>
        <v>4725</v>
      </c>
      <c r="E1125" s="101">
        <v>1445</v>
      </c>
      <c r="F1125" s="101">
        <v>9590</v>
      </c>
      <c r="G1125" s="101">
        <v>54618</v>
      </c>
      <c r="H1125" s="101">
        <v>792662.54</v>
      </c>
      <c r="I1125" s="101">
        <v>400742.03600000002</v>
      </c>
      <c r="J1125" s="101">
        <v>830</v>
      </c>
      <c r="K1125" s="101">
        <v>8981</v>
      </c>
      <c r="L1125" s="101">
        <v>68167</v>
      </c>
      <c r="M1125" s="101">
        <v>969456.77</v>
      </c>
      <c r="N1125" s="101">
        <v>415157.56800000003</v>
      </c>
      <c r="O1125" s="101">
        <v>802</v>
      </c>
      <c r="P1125" s="101">
        <v>7217</v>
      </c>
      <c r="Q1125" s="101">
        <v>65292</v>
      </c>
      <c r="R1125" s="101">
        <v>638057</v>
      </c>
      <c r="S1125" s="101">
        <v>340926</v>
      </c>
      <c r="T1125" s="169">
        <v>1.02</v>
      </c>
      <c r="U1125" s="101">
        <f t="shared" si="95"/>
        <v>818.04</v>
      </c>
      <c r="V1125" s="101">
        <f t="shared" si="96"/>
        <v>7361.34</v>
      </c>
      <c r="W1125" s="101">
        <f t="shared" si="97"/>
        <v>66597.84</v>
      </c>
      <c r="X1125" s="101">
        <f t="shared" si="98"/>
        <v>650818.14</v>
      </c>
      <c r="Y1125" s="101">
        <f t="shared" si="99"/>
        <v>347744.52</v>
      </c>
    </row>
    <row r="1126" spans="1:25" ht="11.25" hidden="1" customHeight="1" x14ac:dyDescent="0.3">
      <c r="A1126" s="126" t="s">
        <v>187</v>
      </c>
      <c r="B1126" s="126">
        <v>47</v>
      </c>
      <c r="C1126" s="126">
        <v>22</v>
      </c>
      <c r="D1126" s="126" t="str">
        <f t="shared" si="94"/>
        <v>4722</v>
      </c>
      <c r="J1126" s="101">
        <v>31</v>
      </c>
      <c r="K1126" s="101">
        <v>75</v>
      </c>
      <c r="L1126" s="101">
        <v>1266</v>
      </c>
      <c r="M1126" s="101">
        <v>5993.33</v>
      </c>
      <c r="N1126" s="101">
        <v>3406.5590000000002</v>
      </c>
      <c r="O1126" s="101">
        <v>4</v>
      </c>
      <c r="P1126" s="101">
        <v>4</v>
      </c>
      <c r="Q1126" s="101">
        <v>27</v>
      </c>
      <c r="R1126" s="101">
        <v>1082</v>
      </c>
      <c r="S1126" s="101">
        <v>431</v>
      </c>
      <c r="T1126" s="169">
        <v>1.02</v>
      </c>
      <c r="U1126" s="101">
        <f t="shared" si="95"/>
        <v>4.08</v>
      </c>
      <c r="V1126" s="101">
        <f t="shared" si="96"/>
        <v>4.08</v>
      </c>
      <c r="W1126" s="101">
        <f t="shared" si="97"/>
        <v>27.54</v>
      </c>
      <c r="X1126" s="101">
        <f t="shared" si="98"/>
        <v>1103.6400000000001</v>
      </c>
      <c r="Y1126" s="101">
        <f t="shared" si="99"/>
        <v>439.62</v>
      </c>
    </row>
    <row r="1127" spans="1:25" ht="11.25" hidden="1" customHeight="1" x14ac:dyDescent="0.3">
      <c r="A1127" s="126" t="s">
        <v>187</v>
      </c>
      <c r="B1127" s="126">
        <v>47</v>
      </c>
      <c r="C1127" s="126">
        <v>26</v>
      </c>
      <c r="D1127" s="126" t="str">
        <f t="shared" si="94"/>
        <v>4726</v>
      </c>
      <c r="J1127" s="101">
        <v>14</v>
      </c>
      <c r="K1127" s="101">
        <v>34</v>
      </c>
      <c r="L1127" s="101">
        <v>528</v>
      </c>
      <c r="M1127" s="101">
        <v>7818.18</v>
      </c>
      <c r="N1127" s="101">
        <v>3206.3119999999999</v>
      </c>
      <c r="O1127" s="101">
        <v>1</v>
      </c>
      <c r="P1127" s="101">
        <v>1</v>
      </c>
      <c r="Q1127" s="101">
        <v>2</v>
      </c>
      <c r="R1127" s="101">
        <v>0</v>
      </c>
      <c r="S1127" s="101">
        <v>8</v>
      </c>
      <c r="T1127" s="169">
        <v>1.02</v>
      </c>
      <c r="U1127" s="101">
        <f t="shared" si="95"/>
        <v>1.02</v>
      </c>
      <c r="V1127" s="101">
        <f t="shared" si="96"/>
        <v>1.02</v>
      </c>
      <c r="W1127" s="101">
        <f t="shared" si="97"/>
        <v>2.04</v>
      </c>
      <c r="X1127" s="101">
        <f t="shared" si="98"/>
        <v>0</v>
      </c>
      <c r="Y1127" s="101">
        <f t="shared" si="99"/>
        <v>8.16</v>
      </c>
    </row>
    <row r="1128" spans="1:25" ht="11.25" hidden="1" customHeight="1" x14ac:dyDescent="0.3">
      <c r="A1128" s="126" t="s">
        <v>187</v>
      </c>
      <c r="B1128" s="126">
        <v>47</v>
      </c>
      <c r="C1128" s="126">
        <v>32</v>
      </c>
      <c r="D1128" s="126" t="str">
        <f t="shared" si="94"/>
        <v>4732</v>
      </c>
      <c r="J1128" s="101">
        <v>26</v>
      </c>
      <c r="K1128" s="101">
        <v>61</v>
      </c>
      <c r="L1128" s="101">
        <v>2643</v>
      </c>
      <c r="M1128" s="101">
        <v>5085.2299999999996</v>
      </c>
      <c r="N1128" s="101">
        <v>91665.596000000005</v>
      </c>
      <c r="O1128" s="101">
        <v>46</v>
      </c>
      <c r="P1128" s="101">
        <v>90</v>
      </c>
      <c r="Q1128" s="101">
        <v>2788</v>
      </c>
      <c r="R1128" s="101">
        <v>66977</v>
      </c>
      <c r="S1128" s="101">
        <v>36044</v>
      </c>
      <c r="T1128" s="169">
        <v>1.02</v>
      </c>
      <c r="U1128" s="101">
        <f t="shared" si="95"/>
        <v>46.92</v>
      </c>
      <c r="V1128" s="101">
        <f t="shared" si="96"/>
        <v>91.8</v>
      </c>
      <c r="W1128" s="101">
        <f t="shared" si="97"/>
        <v>2843.76</v>
      </c>
      <c r="X1128" s="101">
        <f t="shared" si="98"/>
        <v>68316.540000000008</v>
      </c>
      <c r="Y1128" s="101">
        <f t="shared" si="99"/>
        <v>36764.879999999997</v>
      </c>
    </row>
    <row r="1129" spans="1:25" ht="11.25" hidden="1" customHeight="1" x14ac:dyDescent="0.3">
      <c r="A1129" s="126" t="s">
        <v>187</v>
      </c>
      <c r="B1129" s="126">
        <v>47</v>
      </c>
      <c r="C1129" s="126">
        <v>35</v>
      </c>
      <c r="D1129" s="126" t="str">
        <f t="shared" si="94"/>
        <v>4735</v>
      </c>
      <c r="J1129" s="101">
        <v>1</v>
      </c>
      <c r="K1129" s="101">
        <v>1</v>
      </c>
      <c r="L1129" s="101">
        <v>1</v>
      </c>
      <c r="M1129" s="101">
        <v>0</v>
      </c>
      <c r="N1129" s="101">
        <v>1.3979999999999999</v>
      </c>
      <c r="O1129" s="101">
        <v>0</v>
      </c>
      <c r="P1129" s="101">
        <v>0</v>
      </c>
      <c r="Q1129" s="101">
        <v>0</v>
      </c>
      <c r="R1129" s="101">
        <v>0</v>
      </c>
      <c r="S1129" s="101">
        <v>0</v>
      </c>
      <c r="T1129" s="169">
        <v>1.02</v>
      </c>
      <c r="U1129" s="101">
        <f t="shared" si="95"/>
        <v>0</v>
      </c>
      <c r="V1129" s="101">
        <f t="shared" si="96"/>
        <v>0</v>
      </c>
      <c r="W1129" s="101">
        <f t="shared" si="97"/>
        <v>0</v>
      </c>
      <c r="X1129" s="101">
        <f t="shared" si="98"/>
        <v>0</v>
      </c>
      <c r="Y1129" s="101">
        <f t="shared" si="99"/>
        <v>0</v>
      </c>
    </row>
    <row r="1130" spans="1:25" ht="11.25" hidden="1" customHeight="1" x14ac:dyDescent="0.3">
      <c r="A1130" s="126" t="s">
        <v>187</v>
      </c>
      <c r="B1130" s="126">
        <v>47</v>
      </c>
      <c r="C1130" s="126">
        <v>43</v>
      </c>
      <c r="D1130" s="126" t="str">
        <f t="shared" si="94"/>
        <v>4743</v>
      </c>
      <c r="J1130" s="101">
        <v>0</v>
      </c>
      <c r="K1130" s="101">
        <v>0</v>
      </c>
      <c r="L1130" s="101">
        <v>0</v>
      </c>
      <c r="M1130" s="101">
        <v>0</v>
      </c>
      <c r="N1130" s="101">
        <v>0</v>
      </c>
      <c r="O1130" s="101">
        <v>0</v>
      </c>
      <c r="P1130" s="101">
        <v>0</v>
      </c>
      <c r="Q1130" s="101">
        <v>0</v>
      </c>
      <c r="R1130" s="101">
        <v>0</v>
      </c>
      <c r="S1130" s="101">
        <v>0</v>
      </c>
      <c r="T1130" s="169">
        <v>1.02</v>
      </c>
      <c r="U1130" s="101">
        <f t="shared" si="95"/>
        <v>0</v>
      </c>
      <c r="V1130" s="101">
        <f t="shared" si="96"/>
        <v>0</v>
      </c>
      <c r="W1130" s="101">
        <f t="shared" si="97"/>
        <v>0</v>
      </c>
      <c r="X1130" s="101">
        <f t="shared" si="98"/>
        <v>0</v>
      </c>
      <c r="Y1130" s="101">
        <f t="shared" si="99"/>
        <v>0</v>
      </c>
    </row>
    <row r="1131" spans="1:25" ht="11.25" hidden="1" customHeight="1" x14ac:dyDescent="0.3">
      <c r="A1131" s="126" t="s">
        <v>187</v>
      </c>
      <c r="B1131" s="126">
        <v>47</v>
      </c>
      <c r="C1131" s="126">
        <v>44</v>
      </c>
      <c r="D1131" s="126" t="str">
        <f t="shared" si="94"/>
        <v>4744</v>
      </c>
      <c r="J1131" s="101">
        <v>6</v>
      </c>
      <c r="K1131" s="101">
        <v>6</v>
      </c>
      <c r="L1131" s="101">
        <v>6</v>
      </c>
      <c r="M1131" s="101">
        <v>0</v>
      </c>
      <c r="N1131" s="101">
        <v>4.3739999999999997</v>
      </c>
      <c r="O1131" s="101">
        <v>0</v>
      </c>
      <c r="P1131" s="101">
        <v>0</v>
      </c>
      <c r="Q1131" s="101">
        <v>0</v>
      </c>
      <c r="R1131" s="101">
        <v>0</v>
      </c>
      <c r="S1131" s="101">
        <v>0</v>
      </c>
      <c r="T1131" s="169">
        <v>1.02</v>
      </c>
      <c r="U1131" s="101">
        <f t="shared" si="95"/>
        <v>0</v>
      </c>
      <c r="V1131" s="101">
        <f t="shared" si="96"/>
        <v>0</v>
      </c>
      <c r="W1131" s="101">
        <f t="shared" si="97"/>
        <v>0</v>
      </c>
      <c r="X1131" s="101">
        <f t="shared" si="98"/>
        <v>0</v>
      </c>
      <c r="Y1131" s="101">
        <f t="shared" si="99"/>
        <v>0</v>
      </c>
    </row>
    <row r="1132" spans="1:25" ht="11.25" hidden="1" customHeight="1" x14ac:dyDescent="0.3">
      <c r="A1132" s="126" t="s">
        <v>187</v>
      </c>
      <c r="B1132" s="126">
        <v>47</v>
      </c>
      <c r="C1132" s="126">
        <v>45</v>
      </c>
      <c r="D1132" s="126" t="str">
        <f t="shared" si="94"/>
        <v>4745</v>
      </c>
      <c r="J1132" s="101">
        <v>0</v>
      </c>
      <c r="K1132" s="101">
        <v>0</v>
      </c>
      <c r="L1132" s="101">
        <v>0</v>
      </c>
      <c r="M1132" s="101">
        <v>0</v>
      </c>
      <c r="N1132" s="101">
        <v>0</v>
      </c>
      <c r="O1132" s="101">
        <v>0</v>
      </c>
      <c r="P1132" s="101">
        <v>0</v>
      </c>
      <c r="Q1132" s="101">
        <v>0</v>
      </c>
      <c r="R1132" s="101">
        <v>0</v>
      </c>
      <c r="S1132" s="101">
        <v>0</v>
      </c>
      <c r="T1132" s="169">
        <v>1.02</v>
      </c>
      <c r="U1132" s="101">
        <f t="shared" si="95"/>
        <v>0</v>
      </c>
      <c r="V1132" s="101">
        <f t="shared" si="96"/>
        <v>0</v>
      </c>
      <c r="W1132" s="101">
        <f t="shared" si="97"/>
        <v>0</v>
      </c>
      <c r="X1132" s="101">
        <f t="shared" si="98"/>
        <v>0</v>
      </c>
      <c r="Y1132" s="101">
        <f t="shared" si="99"/>
        <v>0</v>
      </c>
    </row>
    <row r="1133" spans="1:25" ht="11.25" hidden="1" customHeight="1" x14ac:dyDescent="0.3">
      <c r="A1133" s="126" t="s">
        <v>187</v>
      </c>
      <c r="B1133" s="126">
        <v>47</v>
      </c>
      <c r="C1133" s="126">
        <v>91</v>
      </c>
      <c r="D1133" s="126" t="str">
        <f t="shared" si="94"/>
        <v>4791</v>
      </c>
      <c r="J1133" s="101">
        <v>65</v>
      </c>
      <c r="K1133" s="101">
        <v>194</v>
      </c>
      <c r="L1133" s="101">
        <v>1461</v>
      </c>
      <c r="M1133" s="101">
        <v>11183.58</v>
      </c>
      <c r="N1133" s="101">
        <v>4960.2659999999996</v>
      </c>
      <c r="O1133" s="101">
        <v>45</v>
      </c>
      <c r="P1133" s="101">
        <v>71</v>
      </c>
      <c r="Q1133" s="101">
        <v>5647</v>
      </c>
      <c r="R1133" s="101">
        <v>10834</v>
      </c>
      <c r="S1133" s="101">
        <v>1893</v>
      </c>
      <c r="T1133" s="169">
        <v>1.02</v>
      </c>
      <c r="U1133" s="101">
        <f t="shared" si="95"/>
        <v>45.9</v>
      </c>
      <c r="V1133" s="101">
        <f t="shared" si="96"/>
        <v>72.42</v>
      </c>
      <c r="W1133" s="101">
        <f t="shared" si="97"/>
        <v>5759.9400000000005</v>
      </c>
      <c r="X1133" s="101">
        <f t="shared" si="98"/>
        <v>11050.68</v>
      </c>
      <c r="Y1133" s="101">
        <f t="shared" si="99"/>
        <v>1930.8600000000001</v>
      </c>
    </row>
    <row r="1134" spans="1:25" ht="11.25" hidden="1" customHeight="1" x14ac:dyDescent="0.3">
      <c r="A1134" s="126" t="s">
        <v>187</v>
      </c>
      <c r="B1134" s="126">
        <v>47</v>
      </c>
      <c r="C1134" s="126">
        <v>27</v>
      </c>
      <c r="D1134" s="126" t="str">
        <f t="shared" si="94"/>
        <v>4727</v>
      </c>
      <c r="E1134" s="101">
        <v>73</v>
      </c>
      <c r="F1134" s="101">
        <v>1777</v>
      </c>
      <c r="G1134" s="101">
        <v>7186</v>
      </c>
      <c r="H1134" s="101">
        <v>84657.87999999999</v>
      </c>
      <c r="I1134" s="101">
        <v>27102.434999999998</v>
      </c>
      <c r="J1134" s="101">
        <v>80</v>
      </c>
      <c r="K1134" s="101">
        <v>2259</v>
      </c>
      <c r="L1134" s="101">
        <v>10288</v>
      </c>
      <c r="M1134" s="101">
        <v>123393.56</v>
      </c>
      <c r="N1134" s="101">
        <v>43280.915000000001</v>
      </c>
      <c r="O1134" s="101">
        <v>80</v>
      </c>
      <c r="P1134" s="101">
        <v>3019</v>
      </c>
      <c r="Q1134" s="101">
        <v>16901</v>
      </c>
      <c r="R1134" s="101">
        <v>160125</v>
      </c>
      <c r="S1134" s="101">
        <v>69507</v>
      </c>
      <c r="T1134" s="169">
        <v>1.02</v>
      </c>
      <c r="U1134" s="101">
        <f t="shared" si="95"/>
        <v>81.599999999999994</v>
      </c>
      <c r="V1134" s="101">
        <f t="shared" si="96"/>
        <v>3079.38</v>
      </c>
      <c r="W1134" s="101">
        <f t="shared" si="97"/>
        <v>17239.02</v>
      </c>
      <c r="X1134" s="101">
        <f t="shared" si="98"/>
        <v>163327.5</v>
      </c>
      <c r="Y1134" s="101">
        <f t="shared" si="99"/>
        <v>70897.14</v>
      </c>
    </row>
    <row r="1135" spans="1:25" ht="11.25" customHeight="1" x14ac:dyDescent="0.3">
      <c r="A1135" s="126" t="s">
        <v>187</v>
      </c>
      <c r="B1135" s="126">
        <v>47</v>
      </c>
      <c r="C1135" s="126" t="s">
        <v>172</v>
      </c>
      <c r="D1135" s="126" t="str">
        <f t="shared" si="94"/>
        <v>47Uml</v>
      </c>
      <c r="J1135" s="101">
        <v>559</v>
      </c>
      <c r="K1135" s="101">
        <v>566</v>
      </c>
      <c r="L1135" s="101">
        <v>76566</v>
      </c>
      <c r="N1135" s="101">
        <v>326597</v>
      </c>
      <c r="O1135" s="101">
        <v>357</v>
      </c>
      <c r="P1135" s="101">
        <v>368</v>
      </c>
      <c r="Q1135" s="101">
        <v>76612</v>
      </c>
      <c r="S1135" s="101">
        <v>268575.65500000003</v>
      </c>
      <c r="T1135" s="169">
        <v>1.02</v>
      </c>
      <c r="U1135" s="101">
        <f t="shared" si="95"/>
        <v>364.14</v>
      </c>
      <c r="V1135" s="101">
        <f t="shared" si="96"/>
        <v>375.36</v>
      </c>
      <c r="W1135" s="101">
        <f t="shared" si="97"/>
        <v>78144.240000000005</v>
      </c>
      <c r="X1135" s="101">
        <f t="shared" si="98"/>
        <v>0</v>
      </c>
      <c r="Y1135" s="101">
        <f t="shared" si="99"/>
        <v>273947.16810000001</v>
      </c>
    </row>
    <row r="1136" spans="1:25" ht="11.25" hidden="1" customHeight="1" x14ac:dyDescent="0.3">
      <c r="A1136" s="126" t="s">
        <v>187</v>
      </c>
      <c r="B1136" s="126">
        <v>47</v>
      </c>
      <c r="C1136" s="126">
        <v>37</v>
      </c>
      <c r="D1136" s="126" t="str">
        <f t="shared" si="94"/>
        <v>4737</v>
      </c>
      <c r="E1136" s="101">
        <v>8.25</v>
      </c>
      <c r="F1136" s="101">
        <v>25.5</v>
      </c>
      <c r="G1136" s="101">
        <v>475.75</v>
      </c>
      <c r="H1136" s="101">
        <v>2321.1525000000001</v>
      </c>
      <c r="I1136" s="101">
        <v>963.20525000000009</v>
      </c>
      <c r="J1136" s="101">
        <v>30</v>
      </c>
      <c r="K1136" s="101">
        <v>106</v>
      </c>
      <c r="L1136" s="101">
        <v>1961</v>
      </c>
      <c r="M1136" s="101">
        <v>12270.52</v>
      </c>
      <c r="N1136" s="101">
        <v>4640.7479999999996</v>
      </c>
      <c r="O1136" s="101">
        <v>40</v>
      </c>
      <c r="P1136" s="101">
        <v>185</v>
      </c>
      <c r="Q1136" s="101">
        <v>2638</v>
      </c>
      <c r="R1136" s="101">
        <v>23272</v>
      </c>
      <c r="S1136" s="101">
        <v>8041</v>
      </c>
      <c r="T1136" s="169">
        <v>1.02</v>
      </c>
      <c r="U1136" s="101">
        <f t="shared" si="95"/>
        <v>40.799999999999997</v>
      </c>
      <c r="V1136" s="101">
        <f t="shared" si="96"/>
        <v>188.70000000000002</v>
      </c>
      <c r="W1136" s="101">
        <f t="shared" si="97"/>
        <v>2690.76</v>
      </c>
      <c r="X1136" s="101">
        <f t="shared" si="98"/>
        <v>23737.439999999999</v>
      </c>
      <c r="Y1136" s="101">
        <f t="shared" si="99"/>
        <v>8201.82</v>
      </c>
    </row>
    <row r="1137" spans="1:25" ht="11.25" hidden="1" customHeight="1" x14ac:dyDescent="0.3">
      <c r="A1137" s="126" t="s">
        <v>187</v>
      </c>
      <c r="B1137" s="126">
        <v>48</v>
      </c>
      <c r="C1137" s="126">
        <v>12</v>
      </c>
      <c r="D1137" s="126" t="str">
        <f t="shared" si="94"/>
        <v>4812</v>
      </c>
      <c r="E1137" s="101">
        <v>447</v>
      </c>
      <c r="F1137" s="101">
        <v>597</v>
      </c>
      <c r="G1137" s="101">
        <v>833</v>
      </c>
      <c r="H1137" s="101">
        <v>20221.079999999998</v>
      </c>
      <c r="I1137" s="101">
        <v>1114.049</v>
      </c>
      <c r="J1137" s="101">
        <v>19</v>
      </c>
      <c r="K1137" s="101">
        <v>30</v>
      </c>
      <c r="L1137" s="101">
        <v>32</v>
      </c>
      <c r="M1137" s="101">
        <v>1629.53</v>
      </c>
      <c r="N1137" s="101">
        <v>173.83099999999999</v>
      </c>
      <c r="O1137" s="101">
        <v>28</v>
      </c>
      <c r="P1137" s="101">
        <v>40</v>
      </c>
      <c r="Q1137" s="101">
        <v>59</v>
      </c>
      <c r="R1137" s="101">
        <v>742.1</v>
      </c>
      <c r="S1137" s="101">
        <v>140.23400000000001</v>
      </c>
      <c r="T1137" s="169">
        <v>1.02</v>
      </c>
      <c r="U1137" s="101">
        <f t="shared" si="95"/>
        <v>28.560000000000002</v>
      </c>
      <c r="V1137" s="101">
        <f t="shared" si="96"/>
        <v>40.799999999999997</v>
      </c>
      <c r="W1137" s="101">
        <f t="shared" si="97"/>
        <v>60.18</v>
      </c>
      <c r="X1137" s="101">
        <f t="shared" si="98"/>
        <v>756.94200000000001</v>
      </c>
      <c r="Y1137" s="101">
        <f t="shared" si="99"/>
        <v>143.03868</v>
      </c>
    </row>
    <row r="1138" spans="1:25" ht="11.25" hidden="1" customHeight="1" x14ac:dyDescent="0.3">
      <c r="A1138" s="126" t="s">
        <v>187</v>
      </c>
      <c r="B1138" s="126">
        <v>48</v>
      </c>
      <c r="C1138" s="126">
        <v>14</v>
      </c>
      <c r="D1138" s="126" t="str">
        <f t="shared" si="94"/>
        <v>4814</v>
      </c>
      <c r="E1138" s="101">
        <v>1</v>
      </c>
      <c r="F1138" s="101">
        <v>2</v>
      </c>
      <c r="G1138" s="101">
        <v>2</v>
      </c>
      <c r="H1138" s="101">
        <v>388</v>
      </c>
      <c r="I1138" s="101">
        <v>42.447000000000003</v>
      </c>
      <c r="J1138" s="101">
        <v>42</v>
      </c>
      <c r="K1138" s="101">
        <v>66</v>
      </c>
      <c r="L1138" s="101">
        <v>80</v>
      </c>
      <c r="M1138" s="101">
        <v>6626.68</v>
      </c>
      <c r="N1138" s="101">
        <v>989.00599999999997</v>
      </c>
      <c r="O1138" s="101">
        <v>66</v>
      </c>
      <c r="P1138" s="101">
        <v>90</v>
      </c>
      <c r="Q1138" s="101">
        <v>148</v>
      </c>
      <c r="R1138" s="101">
        <v>7323.53</v>
      </c>
      <c r="S1138" s="101">
        <v>987.44500000000005</v>
      </c>
      <c r="T1138" s="169">
        <v>1.02</v>
      </c>
      <c r="U1138" s="101">
        <f t="shared" si="95"/>
        <v>67.320000000000007</v>
      </c>
      <c r="V1138" s="101">
        <f t="shared" si="96"/>
        <v>91.8</v>
      </c>
      <c r="W1138" s="101">
        <f t="shared" si="97"/>
        <v>150.96</v>
      </c>
      <c r="X1138" s="101">
        <f t="shared" si="98"/>
        <v>7470.0006000000003</v>
      </c>
      <c r="Y1138" s="101">
        <f t="shared" si="99"/>
        <v>1007.1939000000001</v>
      </c>
    </row>
    <row r="1139" spans="1:25" ht="11.25" hidden="1" customHeight="1" x14ac:dyDescent="0.3">
      <c r="A1139" s="126" t="s">
        <v>187</v>
      </c>
      <c r="B1139" s="126">
        <v>48</v>
      </c>
      <c r="C1139" s="126">
        <v>17</v>
      </c>
      <c r="D1139" s="126" t="str">
        <f t="shared" si="94"/>
        <v>4817</v>
      </c>
      <c r="E1139" s="101">
        <v>5375</v>
      </c>
      <c r="F1139" s="101">
        <v>6892</v>
      </c>
      <c r="G1139" s="101">
        <v>8963</v>
      </c>
      <c r="H1139" s="101">
        <v>365275.66000000003</v>
      </c>
      <c r="I1139" s="101">
        <v>74788.755999999994</v>
      </c>
      <c r="J1139" s="101">
        <v>1886</v>
      </c>
      <c r="K1139" s="101">
        <v>3700</v>
      </c>
      <c r="L1139" s="101">
        <v>6579</v>
      </c>
      <c r="M1139" s="101">
        <v>167591.74</v>
      </c>
      <c r="N1139" s="101">
        <v>32111.257000000001</v>
      </c>
      <c r="O1139" s="101">
        <v>4960</v>
      </c>
      <c r="P1139" s="101">
        <v>18212</v>
      </c>
      <c r="Q1139" s="101">
        <v>24075</v>
      </c>
      <c r="R1139" s="101">
        <v>414484.11</v>
      </c>
      <c r="S1139" s="101">
        <v>95651.895000000004</v>
      </c>
      <c r="T1139" s="169">
        <v>1.02</v>
      </c>
      <c r="U1139" s="101">
        <v>5144</v>
      </c>
      <c r="V1139" s="101">
        <v>10871</v>
      </c>
      <c r="W1139" s="101">
        <v>15806</v>
      </c>
      <c r="X1139" s="101">
        <f t="shared" si="98"/>
        <v>422773.79219999997</v>
      </c>
      <c r="Y1139" s="101">
        <v>55000</v>
      </c>
    </row>
    <row r="1140" spans="1:25" ht="11.25" hidden="1" customHeight="1" x14ac:dyDescent="0.3">
      <c r="A1140" s="126" t="s">
        <v>187</v>
      </c>
      <c r="B1140" s="126">
        <v>48</v>
      </c>
      <c r="C1140" s="126">
        <v>18</v>
      </c>
      <c r="D1140" s="126" t="str">
        <f t="shared" si="94"/>
        <v>4818</v>
      </c>
      <c r="E1140" s="101">
        <v>719</v>
      </c>
      <c r="F1140" s="101">
        <v>860</v>
      </c>
      <c r="G1140" s="101">
        <v>1045</v>
      </c>
      <c r="H1140" s="101">
        <v>65690.069999999992</v>
      </c>
      <c r="I1140" s="101">
        <v>8103.5439999999999</v>
      </c>
      <c r="J1140" s="101">
        <v>5149</v>
      </c>
      <c r="K1140" s="101">
        <v>5608</v>
      </c>
      <c r="L1140" s="101">
        <v>6209</v>
      </c>
      <c r="M1140" s="101">
        <v>291705.07</v>
      </c>
      <c r="N1140" s="101">
        <v>64983.588000000003</v>
      </c>
      <c r="O1140" s="101">
        <v>2492</v>
      </c>
      <c r="P1140" s="101">
        <v>2700</v>
      </c>
      <c r="Q1140" s="101">
        <v>3016</v>
      </c>
      <c r="R1140" s="101">
        <v>127117.16</v>
      </c>
      <c r="S1140" s="101">
        <v>30744.481</v>
      </c>
      <c r="T1140" s="169">
        <v>1.32</v>
      </c>
      <c r="U1140" s="101">
        <f>O1140*T1140</f>
        <v>3289.44</v>
      </c>
      <c r="V1140" s="101">
        <f t="shared" si="96"/>
        <v>3564</v>
      </c>
      <c r="W1140" s="101">
        <f t="shared" si="97"/>
        <v>3981.1200000000003</v>
      </c>
      <c r="X1140" s="101">
        <f t="shared" si="98"/>
        <v>167794.65120000002</v>
      </c>
      <c r="Y1140" s="101">
        <f t="shared" si="99"/>
        <v>40582.714919999999</v>
      </c>
    </row>
    <row r="1141" spans="1:25" ht="11.25" hidden="1" customHeight="1" x14ac:dyDescent="0.3">
      <c r="A1141" s="126" t="s">
        <v>187</v>
      </c>
      <c r="B1141" s="126">
        <v>48</v>
      </c>
      <c r="C1141" s="126">
        <v>28</v>
      </c>
      <c r="D1141" s="126" t="str">
        <f t="shared" si="94"/>
        <v>4828</v>
      </c>
      <c r="E1141" s="101">
        <v>439</v>
      </c>
      <c r="F1141" s="101">
        <v>4433</v>
      </c>
      <c r="G1141" s="101">
        <v>67276</v>
      </c>
      <c r="H1141" s="101">
        <v>1479538.8399999999</v>
      </c>
      <c r="I1141" s="101">
        <v>290150.33</v>
      </c>
      <c r="J1141" s="101">
        <v>790</v>
      </c>
      <c r="K1141" s="101">
        <v>6186</v>
      </c>
      <c r="L1141" s="101">
        <v>91548</v>
      </c>
      <c r="M1141" s="101">
        <v>1453125.25</v>
      </c>
      <c r="N1141" s="101">
        <v>657449.22900000005</v>
      </c>
      <c r="O1141" s="101">
        <v>541</v>
      </c>
      <c r="P1141" s="101">
        <v>5896</v>
      </c>
      <c r="Q1141" s="101">
        <v>63764</v>
      </c>
      <c r="R1141" s="101">
        <v>1657497.93</v>
      </c>
      <c r="S1141" s="101">
        <v>383693.685</v>
      </c>
      <c r="T1141" s="169">
        <v>1.02</v>
      </c>
      <c r="U1141" s="101">
        <v>362</v>
      </c>
      <c r="V1141" s="101">
        <v>1403</v>
      </c>
      <c r="W1141" s="101">
        <v>6096</v>
      </c>
      <c r="X1141" s="144">
        <f t="shared" si="98"/>
        <v>1690647.8885999999</v>
      </c>
      <c r="Y1141" s="101">
        <v>52833</v>
      </c>
    </row>
    <row r="1142" spans="1:25" ht="11.25" hidden="1" customHeight="1" x14ac:dyDescent="0.3">
      <c r="A1142" s="126" t="s">
        <v>187</v>
      </c>
      <c r="B1142" s="126">
        <v>48</v>
      </c>
      <c r="C1142" s="126">
        <v>46</v>
      </c>
      <c r="D1142" s="126" t="str">
        <f t="shared" si="94"/>
        <v>4846</v>
      </c>
      <c r="E1142" s="101">
        <v>671</v>
      </c>
      <c r="F1142" s="101">
        <v>1720</v>
      </c>
      <c r="G1142" s="101">
        <v>27515</v>
      </c>
      <c r="H1142" s="101">
        <v>393175.62</v>
      </c>
      <c r="I1142" s="101">
        <v>140515.38099999999</v>
      </c>
      <c r="J1142" s="101">
        <v>404</v>
      </c>
      <c r="K1142" s="101">
        <v>1096</v>
      </c>
      <c r="L1142" s="101">
        <v>14309</v>
      </c>
      <c r="M1142" s="101">
        <v>393406.21</v>
      </c>
      <c r="N1142" s="101">
        <v>146192.52100000001</v>
      </c>
      <c r="O1142" s="101">
        <v>333</v>
      </c>
      <c r="P1142" s="101">
        <v>913</v>
      </c>
      <c r="Q1142" s="101">
        <v>14966</v>
      </c>
      <c r="R1142" s="101">
        <v>358796.56</v>
      </c>
      <c r="S1142" s="101">
        <v>105648.495</v>
      </c>
      <c r="T1142" s="169">
        <v>1.02</v>
      </c>
      <c r="U1142" s="101">
        <f t="shared" si="95"/>
        <v>339.66</v>
      </c>
      <c r="V1142" s="101">
        <f t="shared" si="96"/>
        <v>931.26</v>
      </c>
      <c r="W1142" s="101">
        <f t="shared" si="97"/>
        <v>15265.32</v>
      </c>
      <c r="X1142" s="101">
        <f t="shared" si="98"/>
        <v>365972.49119999999</v>
      </c>
      <c r="Y1142" s="101">
        <f t="shared" si="99"/>
        <v>107761.46489999999</v>
      </c>
    </row>
    <row r="1143" spans="1:25" ht="11.25" hidden="1" customHeight="1" x14ac:dyDescent="0.3">
      <c r="A1143" s="126" t="s">
        <v>187</v>
      </c>
      <c r="B1143" s="126">
        <v>48</v>
      </c>
      <c r="C1143" s="126">
        <v>47</v>
      </c>
      <c r="D1143" s="126" t="str">
        <f t="shared" si="94"/>
        <v>4847</v>
      </c>
      <c r="E1143" s="101">
        <v>2</v>
      </c>
      <c r="F1143" s="101">
        <v>4</v>
      </c>
      <c r="G1143" s="101">
        <v>4</v>
      </c>
      <c r="H1143" s="101">
        <v>167.65</v>
      </c>
      <c r="I1143" s="101">
        <v>31.225000000000001</v>
      </c>
      <c r="J1143" s="101">
        <v>0</v>
      </c>
      <c r="K1143" s="101">
        <v>0</v>
      </c>
      <c r="L1143" s="101">
        <v>0</v>
      </c>
      <c r="M1143" s="101">
        <v>0</v>
      </c>
      <c r="N1143" s="101">
        <v>0</v>
      </c>
      <c r="O1143" s="101">
        <v>6</v>
      </c>
      <c r="P1143" s="101">
        <v>29</v>
      </c>
      <c r="Q1143" s="101">
        <v>1592</v>
      </c>
      <c r="R1143" s="101">
        <v>29966.85</v>
      </c>
      <c r="S1143" s="101">
        <v>8305.4840000000004</v>
      </c>
      <c r="T1143" s="169">
        <v>1.02</v>
      </c>
      <c r="U1143" s="101">
        <f t="shared" si="95"/>
        <v>6.12</v>
      </c>
      <c r="V1143" s="101">
        <f t="shared" si="96"/>
        <v>29.580000000000002</v>
      </c>
      <c r="W1143" s="101">
        <f t="shared" si="97"/>
        <v>1623.84</v>
      </c>
      <c r="X1143" s="101">
        <f t="shared" si="98"/>
        <v>30566.186999999998</v>
      </c>
      <c r="Y1143" s="101">
        <f t="shared" si="99"/>
        <v>8471.5936799999999</v>
      </c>
    </row>
    <row r="1144" spans="1:25" ht="11.25" hidden="1" customHeight="1" x14ac:dyDescent="0.3">
      <c r="A1144" s="126" t="s">
        <v>187</v>
      </c>
      <c r="B1144" s="126">
        <v>48</v>
      </c>
      <c r="C1144" s="126">
        <v>48</v>
      </c>
      <c r="D1144" s="126" t="str">
        <f t="shared" si="94"/>
        <v>4848</v>
      </c>
      <c r="E1144" s="101">
        <v>1</v>
      </c>
      <c r="F1144" s="101">
        <v>3</v>
      </c>
      <c r="G1144" s="101">
        <v>54</v>
      </c>
      <c r="H1144" s="101">
        <v>639.29999999999995</v>
      </c>
      <c r="I1144" s="101">
        <v>363.26600000000002</v>
      </c>
      <c r="J1144" s="101">
        <v>1</v>
      </c>
      <c r="K1144" s="101">
        <v>2</v>
      </c>
      <c r="L1144" s="101">
        <v>120</v>
      </c>
      <c r="M1144" s="101">
        <v>926.75</v>
      </c>
      <c r="N1144" s="101">
        <v>278.99299999999999</v>
      </c>
      <c r="O1144" s="101">
        <v>1</v>
      </c>
      <c r="P1144" s="101">
        <v>1</v>
      </c>
      <c r="Q1144" s="101">
        <v>10</v>
      </c>
      <c r="R1144" s="101">
        <v>3.11</v>
      </c>
      <c r="S1144" s="101">
        <v>10.037000000000001</v>
      </c>
      <c r="T1144" s="169">
        <v>1.02</v>
      </c>
      <c r="U1144" s="101">
        <f t="shared" si="95"/>
        <v>1.02</v>
      </c>
      <c r="V1144" s="101">
        <f t="shared" si="96"/>
        <v>1.02</v>
      </c>
      <c r="W1144" s="101">
        <f t="shared" si="97"/>
        <v>10.199999999999999</v>
      </c>
      <c r="X1144" s="101">
        <f t="shared" si="98"/>
        <v>3.1722000000000001</v>
      </c>
      <c r="Y1144" s="101">
        <f t="shared" si="99"/>
        <v>10.237740000000001</v>
      </c>
    </row>
    <row r="1145" spans="1:25" ht="11.25" hidden="1" customHeight="1" x14ac:dyDescent="0.3">
      <c r="A1145" s="126" t="s">
        <v>187</v>
      </c>
      <c r="B1145" s="126">
        <v>48</v>
      </c>
      <c r="C1145" s="126">
        <v>66</v>
      </c>
      <c r="D1145" s="126" t="str">
        <f t="shared" si="94"/>
        <v>4866</v>
      </c>
      <c r="E1145" s="101">
        <v>771</v>
      </c>
      <c r="F1145" s="101">
        <v>2589</v>
      </c>
      <c r="G1145" s="101">
        <v>35974</v>
      </c>
      <c r="H1145" s="101">
        <v>318686.76</v>
      </c>
      <c r="I1145" s="101">
        <v>177589.40999999997</v>
      </c>
      <c r="J1145" s="101">
        <v>316</v>
      </c>
      <c r="K1145" s="101">
        <v>1828</v>
      </c>
      <c r="L1145" s="101">
        <v>30498</v>
      </c>
      <c r="M1145" s="101">
        <v>239330.06</v>
      </c>
      <c r="N1145" s="101">
        <v>108684.32799999999</v>
      </c>
      <c r="O1145" s="101">
        <v>367</v>
      </c>
      <c r="P1145" s="101">
        <v>1884</v>
      </c>
      <c r="Q1145" s="101">
        <v>37774</v>
      </c>
      <c r="R1145" s="101">
        <v>234437.46</v>
      </c>
      <c r="S1145" s="101">
        <v>100306.148</v>
      </c>
      <c r="T1145" s="169">
        <v>1.02</v>
      </c>
      <c r="U1145" s="101">
        <f t="shared" si="95"/>
        <v>374.34000000000003</v>
      </c>
      <c r="V1145" s="101">
        <f t="shared" si="96"/>
        <v>1921.68</v>
      </c>
      <c r="W1145" s="101">
        <f t="shared" si="97"/>
        <v>38529.480000000003</v>
      </c>
      <c r="X1145" s="101">
        <f t="shared" si="98"/>
        <v>239126.20919999998</v>
      </c>
      <c r="Y1145" s="101">
        <f t="shared" si="99"/>
        <v>102312.27096000001</v>
      </c>
    </row>
    <row r="1146" spans="1:25" ht="11.25" hidden="1" customHeight="1" x14ac:dyDescent="0.3">
      <c r="A1146" s="126" t="s">
        <v>187</v>
      </c>
      <c r="B1146" s="126">
        <v>48</v>
      </c>
      <c r="C1146" s="126">
        <v>30</v>
      </c>
      <c r="D1146" s="126" t="str">
        <f t="shared" si="94"/>
        <v>4830</v>
      </c>
      <c r="E1146" s="101">
        <v>924</v>
      </c>
      <c r="F1146" s="101">
        <v>6478</v>
      </c>
      <c r="G1146" s="101">
        <v>32797.5</v>
      </c>
      <c r="H1146" s="101">
        <v>1242560.3</v>
      </c>
      <c r="I1146" s="101">
        <v>428954.359</v>
      </c>
      <c r="J1146" s="101">
        <v>0</v>
      </c>
      <c r="K1146" s="101">
        <v>0</v>
      </c>
      <c r="L1146" s="101">
        <v>0</v>
      </c>
      <c r="M1146" s="101">
        <v>0</v>
      </c>
      <c r="N1146" s="101">
        <v>0</v>
      </c>
      <c r="O1146" s="101">
        <v>117</v>
      </c>
      <c r="P1146" s="101">
        <v>137</v>
      </c>
      <c r="Q1146" s="101">
        <v>2856</v>
      </c>
      <c r="R1146" s="101">
        <v>185874.19</v>
      </c>
      <c r="S1146" s="101">
        <v>103752.664</v>
      </c>
      <c r="T1146" s="169">
        <v>1.02</v>
      </c>
      <c r="U1146" s="101">
        <f t="shared" si="95"/>
        <v>119.34</v>
      </c>
      <c r="V1146" s="101">
        <f t="shared" si="96"/>
        <v>139.74</v>
      </c>
      <c r="W1146" s="101">
        <f t="shared" si="97"/>
        <v>2913.12</v>
      </c>
      <c r="X1146" s="101">
        <f t="shared" si="98"/>
        <v>189591.67380000002</v>
      </c>
      <c r="Y1146" s="101">
        <f t="shared" si="99"/>
        <v>105827.71728000001</v>
      </c>
    </row>
    <row r="1147" spans="1:25" ht="11.25" hidden="1" customHeight="1" x14ac:dyDescent="0.3">
      <c r="A1147" s="126" t="s">
        <v>187</v>
      </c>
      <c r="B1147" s="126">
        <v>48</v>
      </c>
      <c r="C1147" s="126">
        <v>21</v>
      </c>
      <c r="D1147" s="126" t="str">
        <f t="shared" si="94"/>
        <v>4821</v>
      </c>
      <c r="E1147" s="101">
        <v>2078</v>
      </c>
      <c r="F1147" s="101">
        <v>9710.5</v>
      </c>
      <c r="G1147" s="101">
        <v>50415</v>
      </c>
      <c r="H1147" s="101">
        <v>951230.70499999996</v>
      </c>
      <c r="I1147" s="101">
        <v>282273.45549999998</v>
      </c>
      <c r="J1147" s="101">
        <v>1886</v>
      </c>
      <c r="K1147" s="101">
        <v>16743</v>
      </c>
      <c r="L1147" s="101">
        <v>81073</v>
      </c>
      <c r="M1147" s="101">
        <v>1493234.49</v>
      </c>
      <c r="N1147" s="101">
        <v>450229.109</v>
      </c>
      <c r="O1147" s="101">
        <v>1404</v>
      </c>
      <c r="P1147" s="101">
        <v>13353</v>
      </c>
      <c r="Q1147" s="101">
        <v>80918</v>
      </c>
      <c r="R1147" s="101">
        <v>1182112.2</v>
      </c>
      <c r="S1147" s="101">
        <v>327711.97100000002</v>
      </c>
      <c r="T1147" s="169">
        <v>1.02</v>
      </c>
      <c r="U1147" s="101"/>
      <c r="V1147" s="101"/>
      <c r="W1147" s="101"/>
      <c r="X1147" s="101"/>
      <c r="Y1147" s="101"/>
    </row>
    <row r="1148" spans="1:25" ht="11.25" hidden="1" customHeight="1" x14ac:dyDescent="0.3">
      <c r="A1148" s="126" t="s">
        <v>187</v>
      </c>
      <c r="B1148" s="126">
        <v>48</v>
      </c>
      <c r="C1148" s="126">
        <v>71</v>
      </c>
      <c r="D1148" s="126" t="str">
        <f t="shared" si="94"/>
        <v>4871</v>
      </c>
      <c r="E1148" s="101">
        <v>505</v>
      </c>
      <c r="F1148" s="101">
        <v>9333</v>
      </c>
      <c r="G1148" s="101">
        <v>28733.5</v>
      </c>
      <c r="H1148" s="101">
        <v>239485.07</v>
      </c>
      <c r="I1148" s="101">
        <v>104460.933</v>
      </c>
      <c r="J1148" s="101">
        <v>534</v>
      </c>
      <c r="K1148" s="101">
        <v>6427</v>
      </c>
      <c r="L1148" s="101">
        <v>15280</v>
      </c>
      <c r="M1148" s="101">
        <v>166777.04</v>
      </c>
      <c r="N1148" s="101">
        <v>67554.027000000002</v>
      </c>
      <c r="O1148" s="101">
        <v>354</v>
      </c>
      <c r="P1148" s="101">
        <v>8300</v>
      </c>
      <c r="Q1148" s="101">
        <v>32335</v>
      </c>
      <c r="R1148" s="101">
        <v>268744.8</v>
      </c>
      <c r="S1148" s="101">
        <v>159980.71900000001</v>
      </c>
      <c r="T1148" s="169">
        <v>0.98</v>
      </c>
      <c r="U1148" s="101">
        <v>726</v>
      </c>
      <c r="V1148" s="101">
        <v>18451</v>
      </c>
      <c r="W1148" s="101">
        <v>74172</v>
      </c>
      <c r="X1148" s="101">
        <v>683918</v>
      </c>
      <c r="Y1148" s="101">
        <v>355710</v>
      </c>
    </row>
    <row r="1149" spans="1:25" ht="11.25" hidden="1" customHeight="1" x14ac:dyDescent="0.3">
      <c r="A1149" s="126" t="s">
        <v>187</v>
      </c>
      <c r="B1149" s="126">
        <v>48</v>
      </c>
      <c r="C1149" s="126">
        <v>25</v>
      </c>
      <c r="D1149" s="126" t="str">
        <f t="shared" si="94"/>
        <v>4825</v>
      </c>
      <c r="E1149" s="101">
        <v>1638</v>
      </c>
      <c r="F1149" s="101">
        <v>9289</v>
      </c>
      <c r="G1149" s="101">
        <v>81552</v>
      </c>
      <c r="H1149" s="101">
        <v>1122382.8399999999</v>
      </c>
      <c r="I1149" s="101">
        <v>610730.79999999993</v>
      </c>
      <c r="J1149" s="101">
        <v>942</v>
      </c>
      <c r="K1149" s="101">
        <v>9820</v>
      </c>
      <c r="L1149" s="101">
        <v>67951</v>
      </c>
      <c r="M1149" s="101">
        <v>1085141.3799999999</v>
      </c>
      <c r="N1149" s="101">
        <v>481141.46500000003</v>
      </c>
      <c r="O1149" s="101">
        <v>982</v>
      </c>
      <c r="P1149" s="101">
        <v>13201</v>
      </c>
      <c r="Q1149" s="101">
        <v>60194</v>
      </c>
      <c r="R1149" s="101">
        <v>798918.55</v>
      </c>
      <c r="S1149" s="101">
        <v>473072.799</v>
      </c>
      <c r="T1149" s="169">
        <v>1.02</v>
      </c>
      <c r="U1149" s="101">
        <f t="shared" si="95"/>
        <v>1001.64</v>
      </c>
      <c r="V1149" s="101">
        <f t="shared" si="96"/>
        <v>13465.02</v>
      </c>
      <c r="W1149" s="101">
        <f t="shared" si="97"/>
        <v>61397.880000000005</v>
      </c>
      <c r="X1149" s="101">
        <f t="shared" si="98"/>
        <v>814896.92100000009</v>
      </c>
      <c r="Y1149" s="101">
        <f t="shared" si="99"/>
        <v>482534.25498000003</v>
      </c>
    </row>
    <row r="1150" spans="1:25" ht="11.25" hidden="1" customHeight="1" x14ac:dyDescent="0.3">
      <c r="A1150" s="126" t="s">
        <v>187</v>
      </c>
      <c r="B1150" s="126">
        <v>48</v>
      </c>
      <c r="C1150" s="126">
        <v>22</v>
      </c>
      <c r="D1150" s="126" t="str">
        <f t="shared" si="94"/>
        <v>4822</v>
      </c>
      <c r="J1150" s="101">
        <v>42</v>
      </c>
      <c r="K1150" s="101">
        <v>68</v>
      </c>
      <c r="L1150" s="101">
        <v>438</v>
      </c>
      <c r="M1150" s="101">
        <v>2152.84</v>
      </c>
      <c r="N1150" s="101">
        <v>1343.7560000000001</v>
      </c>
      <c r="O1150" s="101">
        <v>6</v>
      </c>
      <c r="P1150" s="101">
        <v>13</v>
      </c>
      <c r="Q1150" s="101">
        <v>59</v>
      </c>
      <c r="R1150" s="101">
        <v>1586.47</v>
      </c>
      <c r="S1150" s="101">
        <v>480.58699999999999</v>
      </c>
      <c r="T1150" s="169">
        <v>1.02</v>
      </c>
      <c r="U1150" s="101">
        <f t="shared" si="95"/>
        <v>6.12</v>
      </c>
      <c r="V1150" s="101">
        <f t="shared" si="96"/>
        <v>13.26</v>
      </c>
      <c r="W1150" s="101">
        <f t="shared" si="97"/>
        <v>60.18</v>
      </c>
      <c r="X1150" s="101">
        <f t="shared" si="98"/>
        <v>1618.1994</v>
      </c>
      <c r="Y1150" s="101">
        <f t="shared" si="99"/>
        <v>490.19873999999999</v>
      </c>
    </row>
    <row r="1151" spans="1:25" ht="11.25" hidden="1" customHeight="1" x14ac:dyDescent="0.3">
      <c r="A1151" s="126" t="s">
        <v>187</v>
      </c>
      <c r="B1151" s="126">
        <v>48</v>
      </c>
      <c r="C1151" s="126">
        <v>26</v>
      </c>
      <c r="D1151" s="126" t="str">
        <f t="shared" si="94"/>
        <v>4826</v>
      </c>
      <c r="J1151" s="101">
        <v>30</v>
      </c>
      <c r="K1151" s="101">
        <v>59</v>
      </c>
      <c r="L1151" s="101">
        <v>1158</v>
      </c>
      <c r="M1151" s="101">
        <v>25921.4</v>
      </c>
      <c r="N1151" s="101">
        <v>11435.251</v>
      </c>
      <c r="O1151" s="101">
        <v>3</v>
      </c>
      <c r="P1151" s="101">
        <v>38</v>
      </c>
      <c r="Q1151" s="101">
        <v>804</v>
      </c>
      <c r="R1151" s="101">
        <v>11658.44</v>
      </c>
      <c r="S1151" s="101">
        <v>3881.2750000000001</v>
      </c>
      <c r="T1151" s="169">
        <v>1.02</v>
      </c>
      <c r="U1151" s="101">
        <f t="shared" si="95"/>
        <v>3.06</v>
      </c>
      <c r="V1151" s="101">
        <f t="shared" si="96"/>
        <v>38.76</v>
      </c>
      <c r="W1151" s="101">
        <f t="shared" si="97"/>
        <v>820.08</v>
      </c>
      <c r="X1151" s="101">
        <f t="shared" si="98"/>
        <v>11891.6088</v>
      </c>
      <c r="Y1151" s="101">
        <f t="shared" si="99"/>
        <v>3958.9005000000002</v>
      </c>
    </row>
    <row r="1152" spans="1:25" ht="14.25" hidden="1" customHeight="1" x14ac:dyDescent="0.3">
      <c r="A1152" s="126" t="s">
        <v>187</v>
      </c>
      <c r="B1152" s="126">
        <v>48</v>
      </c>
      <c r="C1152" s="126">
        <v>32</v>
      </c>
      <c r="D1152" s="126" t="str">
        <f t="shared" si="94"/>
        <v>4832</v>
      </c>
      <c r="J1152" s="101">
        <v>73</v>
      </c>
      <c r="K1152" s="101">
        <v>153</v>
      </c>
      <c r="L1152" s="101">
        <v>5498</v>
      </c>
      <c r="M1152" s="101">
        <v>237378.21</v>
      </c>
      <c r="N1152" s="101">
        <v>35589.635999999999</v>
      </c>
      <c r="O1152" s="101">
        <v>47</v>
      </c>
      <c r="P1152" s="101">
        <v>111</v>
      </c>
      <c r="Q1152" s="101">
        <v>4112</v>
      </c>
      <c r="R1152" s="101">
        <v>22634.79</v>
      </c>
      <c r="S1152" s="101">
        <v>10251.416999999999</v>
      </c>
      <c r="T1152" s="169">
        <v>1.02</v>
      </c>
      <c r="U1152" s="101">
        <f t="shared" si="95"/>
        <v>47.94</v>
      </c>
      <c r="V1152" s="101">
        <f t="shared" si="96"/>
        <v>113.22</v>
      </c>
      <c r="W1152" s="101">
        <f t="shared" si="97"/>
        <v>4194.24</v>
      </c>
      <c r="X1152" s="101">
        <f t="shared" si="98"/>
        <v>23087.485800000002</v>
      </c>
      <c r="Y1152" s="101">
        <f t="shared" si="99"/>
        <v>10456.44534</v>
      </c>
    </row>
    <row r="1153" spans="1:31" ht="11.25" hidden="1" customHeight="1" x14ac:dyDescent="0.3">
      <c r="A1153" s="126" t="s">
        <v>187</v>
      </c>
      <c r="B1153" s="126">
        <v>48</v>
      </c>
      <c r="C1153" s="126">
        <v>34</v>
      </c>
      <c r="D1153" s="126" t="str">
        <f t="shared" si="94"/>
        <v>4834</v>
      </c>
      <c r="J1153" s="101">
        <v>1</v>
      </c>
      <c r="K1153" s="101">
        <v>2</v>
      </c>
      <c r="L1153" s="101">
        <v>4</v>
      </c>
      <c r="M1153" s="101">
        <v>0</v>
      </c>
      <c r="N1153" s="101">
        <v>4.4649999999999999</v>
      </c>
      <c r="O1153" s="101">
        <v>0</v>
      </c>
      <c r="P1153" s="101">
        <v>0</v>
      </c>
      <c r="Q1153" s="101">
        <v>0</v>
      </c>
      <c r="R1153" s="101">
        <v>0</v>
      </c>
      <c r="S1153" s="101">
        <v>0</v>
      </c>
      <c r="T1153" s="169">
        <v>1.02</v>
      </c>
      <c r="U1153" s="101">
        <f t="shared" si="95"/>
        <v>0</v>
      </c>
      <c r="V1153" s="101">
        <f t="shared" si="96"/>
        <v>0</v>
      </c>
      <c r="W1153" s="101">
        <f t="shared" si="97"/>
        <v>0</v>
      </c>
      <c r="X1153" s="101">
        <f t="shared" si="98"/>
        <v>0</v>
      </c>
      <c r="Y1153" s="101">
        <f t="shared" si="99"/>
        <v>0</v>
      </c>
    </row>
    <row r="1154" spans="1:31" ht="11.25" hidden="1" customHeight="1" x14ac:dyDescent="0.3">
      <c r="A1154" s="126" t="s">
        <v>187</v>
      </c>
      <c r="B1154" s="126">
        <v>48</v>
      </c>
      <c r="C1154" s="126">
        <v>41</v>
      </c>
      <c r="D1154" s="126" t="str">
        <f t="shared" si="94"/>
        <v>4841</v>
      </c>
      <c r="J1154" s="101">
        <v>4</v>
      </c>
      <c r="K1154" s="101">
        <v>13</v>
      </c>
      <c r="L1154" s="101">
        <v>93</v>
      </c>
      <c r="M1154" s="101">
        <v>975.95</v>
      </c>
      <c r="N1154" s="101">
        <v>223.47499999999999</v>
      </c>
      <c r="O1154" s="101">
        <v>0</v>
      </c>
      <c r="P1154" s="101">
        <v>0</v>
      </c>
      <c r="Q1154" s="101">
        <v>0</v>
      </c>
      <c r="R1154" s="101">
        <v>0</v>
      </c>
      <c r="S1154" s="101">
        <v>0</v>
      </c>
      <c r="T1154" s="169">
        <v>1.02</v>
      </c>
      <c r="U1154" s="101">
        <f t="shared" si="95"/>
        <v>0</v>
      </c>
      <c r="V1154" s="101">
        <f t="shared" si="96"/>
        <v>0</v>
      </c>
      <c r="W1154" s="101">
        <f t="shared" si="97"/>
        <v>0</v>
      </c>
      <c r="X1154" s="101">
        <f t="shared" si="98"/>
        <v>0</v>
      </c>
      <c r="Y1154" s="101">
        <f t="shared" si="99"/>
        <v>0</v>
      </c>
    </row>
    <row r="1155" spans="1:31" ht="11.25" hidden="1" customHeight="1" x14ac:dyDescent="0.3">
      <c r="A1155" s="126" t="s">
        <v>187</v>
      </c>
      <c r="B1155" s="126">
        <v>48</v>
      </c>
      <c r="C1155" s="126">
        <v>43</v>
      </c>
      <c r="D1155" s="126" t="str">
        <f t="shared" si="94"/>
        <v>4843</v>
      </c>
      <c r="J1155" s="101">
        <v>0</v>
      </c>
      <c r="K1155" s="101">
        <v>0</v>
      </c>
      <c r="L1155" s="101">
        <v>0</v>
      </c>
      <c r="M1155" s="101">
        <v>0</v>
      </c>
      <c r="N1155" s="101">
        <v>0</v>
      </c>
      <c r="O1155" s="101">
        <v>0</v>
      </c>
      <c r="P1155" s="101">
        <v>0</v>
      </c>
      <c r="Q1155" s="101">
        <v>0</v>
      </c>
      <c r="R1155" s="101">
        <v>0</v>
      </c>
      <c r="S1155" s="101">
        <v>0</v>
      </c>
      <c r="T1155" s="169">
        <v>1.02</v>
      </c>
      <c r="U1155" s="101">
        <f t="shared" si="95"/>
        <v>0</v>
      </c>
      <c r="V1155" s="101">
        <f t="shared" si="96"/>
        <v>0</v>
      </c>
      <c r="W1155" s="101">
        <f t="shared" si="97"/>
        <v>0</v>
      </c>
      <c r="X1155" s="101">
        <f t="shared" si="98"/>
        <v>0</v>
      </c>
      <c r="Y1155" s="101">
        <f t="shared" si="99"/>
        <v>0</v>
      </c>
    </row>
    <row r="1156" spans="1:31" ht="11.25" hidden="1" customHeight="1" x14ac:dyDescent="0.3">
      <c r="A1156" s="126" t="s">
        <v>187</v>
      </c>
      <c r="B1156" s="126">
        <v>48</v>
      </c>
      <c r="C1156" s="126">
        <v>44</v>
      </c>
      <c r="D1156" s="126" t="str">
        <f t="shared" si="94"/>
        <v>4844</v>
      </c>
      <c r="J1156" s="101">
        <v>0</v>
      </c>
      <c r="K1156" s="101">
        <v>0</v>
      </c>
      <c r="L1156" s="101">
        <v>0</v>
      </c>
      <c r="M1156" s="101">
        <v>0</v>
      </c>
      <c r="N1156" s="101">
        <v>0</v>
      </c>
      <c r="O1156" s="101">
        <v>1</v>
      </c>
      <c r="P1156" s="101">
        <v>3</v>
      </c>
      <c r="Q1156" s="101">
        <v>34</v>
      </c>
      <c r="R1156" s="101">
        <v>4560.3999999999996</v>
      </c>
      <c r="S1156" s="101">
        <v>404.255</v>
      </c>
      <c r="T1156" s="169">
        <v>1.02</v>
      </c>
      <c r="U1156" s="101">
        <f t="shared" si="95"/>
        <v>1.02</v>
      </c>
      <c r="V1156" s="101">
        <f t="shared" si="96"/>
        <v>3.06</v>
      </c>
      <c r="W1156" s="101">
        <f t="shared" si="97"/>
        <v>34.68</v>
      </c>
      <c r="X1156" s="101">
        <f t="shared" si="98"/>
        <v>4651.6079999999993</v>
      </c>
      <c r="Y1156" s="101">
        <f t="shared" si="99"/>
        <v>412.34010000000001</v>
      </c>
    </row>
    <row r="1157" spans="1:31" ht="13.5" hidden="1" customHeight="1" x14ac:dyDescent="0.3">
      <c r="A1157" s="126" t="s">
        <v>187</v>
      </c>
      <c r="B1157" s="126">
        <v>48</v>
      </c>
      <c r="C1157" s="126">
        <v>45</v>
      </c>
      <c r="D1157" s="126" t="str">
        <f t="shared" si="94"/>
        <v>4845</v>
      </c>
      <c r="J1157" s="101">
        <v>0</v>
      </c>
      <c r="K1157" s="101">
        <v>0</v>
      </c>
      <c r="L1157" s="101">
        <v>0</v>
      </c>
      <c r="M1157" s="101">
        <v>0</v>
      </c>
      <c r="N1157" s="101">
        <v>0</v>
      </c>
      <c r="O1157" s="101">
        <v>0</v>
      </c>
      <c r="P1157" s="101">
        <v>0</v>
      </c>
      <c r="Q1157" s="101">
        <v>0</v>
      </c>
      <c r="R1157" s="101">
        <v>0</v>
      </c>
      <c r="S1157" s="101">
        <v>0</v>
      </c>
      <c r="T1157" s="169">
        <v>1.02</v>
      </c>
      <c r="U1157" s="101">
        <f t="shared" si="95"/>
        <v>0</v>
      </c>
      <c r="V1157" s="101">
        <f t="shared" si="96"/>
        <v>0</v>
      </c>
      <c r="W1157" s="101">
        <f t="shared" si="97"/>
        <v>0</v>
      </c>
      <c r="X1157" s="101">
        <f t="shared" si="98"/>
        <v>0</v>
      </c>
      <c r="Y1157" s="101">
        <f t="shared" si="99"/>
        <v>0</v>
      </c>
    </row>
    <row r="1158" spans="1:31" ht="11.25" hidden="1" customHeight="1" x14ac:dyDescent="0.3">
      <c r="A1158" s="126" t="s">
        <v>187</v>
      </c>
      <c r="B1158" s="126">
        <v>48</v>
      </c>
      <c r="C1158" s="126">
        <v>91</v>
      </c>
      <c r="D1158" s="126" t="str">
        <f t="shared" si="94"/>
        <v>4891</v>
      </c>
      <c r="J1158" s="101">
        <v>58</v>
      </c>
      <c r="K1158" s="101">
        <v>227</v>
      </c>
      <c r="L1158" s="101">
        <v>1117</v>
      </c>
      <c r="M1158" s="101">
        <v>13393.13</v>
      </c>
      <c r="N1158" s="101">
        <v>9220.4179999999997</v>
      </c>
      <c r="O1158" s="101">
        <v>0</v>
      </c>
      <c r="P1158" s="101">
        <v>0</v>
      </c>
      <c r="Q1158" s="101">
        <v>0</v>
      </c>
      <c r="R1158" s="101">
        <v>0</v>
      </c>
      <c r="S1158" s="101">
        <v>0</v>
      </c>
      <c r="T1158" s="169">
        <v>1.02</v>
      </c>
      <c r="U1158" s="101">
        <f t="shared" ref="U1158:U1211" si="100">O1158*T1158</f>
        <v>0</v>
      </c>
      <c r="V1158" s="101">
        <f t="shared" ref="V1158:V1211" si="101">P1158*T1158</f>
        <v>0</v>
      </c>
      <c r="W1158" s="101">
        <f t="shared" ref="W1158:W1211" si="102">Q1158*T1158</f>
        <v>0</v>
      </c>
      <c r="X1158" s="101">
        <f t="shared" ref="X1158:X1211" si="103">R1158*T1158</f>
        <v>0</v>
      </c>
      <c r="Y1158" s="101">
        <f t="shared" ref="Y1158:Y1211" si="104">S1158*T1158</f>
        <v>0</v>
      </c>
    </row>
    <row r="1159" spans="1:31" ht="11.25" hidden="1" customHeight="1" x14ac:dyDescent="0.3">
      <c r="A1159" s="126" t="s">
        <v>187</v>
      </c>
      <c r="B1159" s="126">
        <v>48</v>
      </c>
      <c r="C1159" s="126">
        <v>27</v>
      </c>
      <c r="D1159" s="126" t="str">
        <f t="shared" si="94"/>
        <v>4827</v>
      </c>
      <c r="E1159" s="101">
        <v>64</v>
      </c>
      <c r="F1159" s="101">
        <v>1826</v>
      </c>
      <c r="G1159" s="101">
        <v>8810</v>
      </c>
      <c r="H1159" s="101">
        <v>107360.33</v>
      </c>
      <c r="I1159" s="101">
        <v>33556.006000000001</v>
      </c>
      <c r="J1159" s="101">
        <v>76</v>
      </c>
      <c r="K1159" s="101">
        <v>2308</v>
      </c>
      <c r="L1159" s="101">
        <v>11620</v>
      </c>
      <c r="M1159" s="101">
        <v>144842.29</v>
      </c>
      <c r="N1159" s="101">
        <v>45447.447999999997</v>
      </c>
      <c r="O1159" s="101">
        <v>91</v>
      </c>
      <c r="P1159" s="101">
        <v>3298</v>
      </c>
      <c r="Q1159" s="101">
        <v>18020</v>
      </c>
      <c r="R1159" s="101">
        <v>171777.14</v>
      </c>
      <c r="S1159" s="101">
        <v>69766.062999999995</v>
      </c>
      <c r="T1159" s="169">
        <v>1.02</v>
      </c>
      <c r="U1159" s="101">
        <f t="shared" si="100"/>
        <v>92.820000000000007</v>
      </c>
      <c r="V1159" s="101">
        <f t="shared" si="101"/>
        <v>3363.96</v>
      </c>
      <c r="W1159" s="101">
        <f t="shared" si="102"/>
        <v>18380.400000000001</v>
      </c>
      <c r="X1159" s="101">
        <f t="shared" si="103"/>
        <v>175212.68280000001</v>
      </c>
      <c r="Y1159" s="101">
        <f t="shared" si="104"/>
        <v>71161.384259999992</v>
      </c>
    </row>
    <row r="1160" spans="1:31" ht="11.25" customHeight="1" x14ac:dyDescent="0.3">
      <c r="A1160" s="126" t="s">
        <v>187</v>
      </c>
      <c r="B1160" s="126">
        <v>48</v>
      </c>
      <c r="C1160" s="126" t="s">
        <v>172</v>
      </c>
      <c r="D1160" s="126" t="str">
        <f t="shared" si="94"/>
        <v>48Uml</v>
      </c>
      <c r="J1160" s="101">
        <v>455</v>
      </c>
      <c r="K1160" s="101">
        <v>462</v>
      </c>
      <c r="L1160" s="101">
        <v>101131</v>
      </c>
      <c r="M1160" s="101">
        <v>670235</v>
      </c>
      <c r="N1160" s="101">
        <v>533809</v>
      </c>
      <c r="O1160" s="101">
        <v>385</v>
      </c>
      <c r="P1160" s="101">
        <v>393</v>
      </c>
      <c r="Q1160" s="101">
        <v>114787</v>
      </c>
      <c r="S1160" s="101">
        <v>441973.36800000002</v>
      </c>
      <c r="T1160" s="169">
        <v>1.02</v>
      </c>
      <c r="U1160" s="101">
        <f t="shared" si="100"/>
        <v>392.7</v>
      </c>
      <c r="V1160" s="101">
        <f t="shared" si="101"/>
        <v>400.86</v>
      </c>
      <c r="W1160" s="101">
        <f t="shared" si="102"/>
        <v>117082.74</v>
      </c>
      <c r="X1160" s="101">
        <f t="shared" si="103"/>
        <v>0</v>
      </c>
      <c r="Y1160" s="101">
        <f t="shared" si="104"/>
        <v>450812.83536000003</v>
      </c>
    </row>
    <row r="1161" spans="1:31" ht="11.25" hidden="1" customHeight="1" x14ac:dyDescent="0.3">
      <c r="A1161" s="126" t="s">
        <v>187</v>
      </c>
      <c r="B1161" s="126">
        <v>48</v>
      </c>
      <c r="C1161" s="126">
        <v>37</v>
      </c>
      <c r="D1161" s="126" t="str">
        <f t="shared" si="94"/>
        <v>4837</v>
      </c>
      <c r="E1161" s="101">
        <v>9.5</v>
      </c>
      <c r="F1161" s="101">
        <v>31.25</v>
      </c>
      <c r="G1161" s="101">
        <v>428.25</v>
      </c>
      <c r="H1161" s="101">
        <v>2503.4725000000003</v>
      </c>
      <c r="I1161" s="101">
        <v>885.68975</v>
      </c>
      <c r="J1161" s="101">
        <v>28</v>
      </c>
      <c r="K1161" s="101">
        <v>150</v>
      </c>
      <c r="L1161" s="101">
        <v>2815</v>
      </c>
      <c r="M1161" s="101">
        <v>14254.75</v>
      </c>
      <c r="N1161" s="101">
        <v>6680.3</v>
      </c>
      <c r="O1161" s="101">
        <v>58</v>
      </c>
      <c r="P1161" s="101">
        <v>218</v>
      </c>
      <c r="Q1161" s="101">
        <v>3715</v>
      </c>
      <c r="R1161" s="101">
        <v>24646.39</v>
      </c>
      <c r="S1161" s="101">
        <v>16983.310000000001</v>
      </c>
      <c r="T1161" s="169">
        <v>1.02</v>
      </c>
      <c r="U1161" s="101">
        <f t="shared" si="100"/>
        <v>59.160000000000004</v>
      </c>
      <c r="V1161" s="101">
        <f t="shared" si="101"/>
        <v>222.36</v>
      </c>
      <c r="W1161" s="101">
        <f t="shared" si="102"/>
        <v>3789.3</v>
      </c>
      <c r="X1161" s="101">
        <f t="shared" si="103"/>
        <v>25139.317800000001</v>
      </c>
      <c r="Y1161" s="101">
        <f t="shared" si="104"/>
        <v>17322.976200000001</v>
      </c>
    </row>
    <row r="1162" spans="1:31" ht="11.25" hidden="1" customHeight="1" x14ac:dyDescent="0.3">
      <c r="A1162" s="126" t="s">
        <v>188</v>
      </c>
      <c r="B1162" s="126">
        <v>49</v>
      </c>
      <c r="C1162" s="126">
        <v>12</v>
      </c>
      <c r="D1162" s="126" t="str">
        <f t="shared" si="94"/>
        <v>4912</v>
      </c>
      <c r="E1162" s="101">
        <v>53</v>
      </c>
      <c r="F1162" s="101">
        <v>87</v>
      </c>
      <c r="G1162" s="101">
        <v>115</v>
      </c>
      <c r="H1162" s="101">
        <v>3640.1299999999997</v>
      </c>
      <c r="I1162" s="101">
        <v>738.54800000000012</v>
      </c>
      <c r="J1162" s="101">
        <v>45</v>
      </c>
      <c r="K1162" s="101">
        <v>61</v>
      </c>
      <c r="L1162" s="101">
        <v>93</v>
      </c>
      <c r="M1162" s="101">
        <v>1755.19</v>
      </c>
      <c r="N1162" s="101">
        <v>325.38299999999998</v>
      </c>
      <c r="O1162" s="127">
        <v>14</v>
      </c>
      <c r="P1162" s="127">
        <v>23</v>
      </c>
      <c r="Q1162" s="127">
        <v>30</v>
      </c>
      <c r="R1162" s="127">
        <v>501</v>
      </c>
      <c r="S1162" s="127">
        <v>92</v>
      </c>
      <c r="T1162" s="169">
        <v>1.02</v>
      </c>
      <c r="U1162" s="127">
        <f t="shared" si="100"/>
        <v>14.280000000000001</v>
      </c>
      <c r="V1162" s="127">
        <f t="shared" si="101"/>
        <v>23.46</v>
      </c>
      <c r="W1162" s="127">
        <f t="shared" si="102"/>
        <v>30.6</v>
      </c>
      <c r="X1162" s="127">
        <f t="shared" si="103"/>
        <v>511.02</v>
      </c>
      <c r="Y1162" s="127">
        <f t="shared" si="104"/>
        <v>93.84</v>
      </c>
    </row>
    <row r="1163" spans="1:31" ht="11.25" hidden="1" customHeight="1" x14ac:dyDescent="0.3">
      <c r="A1163" s="126" t="s">
        <v>188</v>
      </c>
      <c r="B1163" s="126">
        <v>49</v>
      </c>
      <c r="C1163" s="126">
        <v>17</v>
      </c>
      <c r="D1163" s="126" t="str">
        <f t="shared" si="94"/>
        <v>4917</v>
      </c>
      <c r="E1163" s="101">
        <v>7175</v>
      </c>
      <c r="F1163" s="101">
        <v>9066</v>
      </c>
      <c r="G1163" s="101">
        <v>11357</v>
      </c>
      <c r="H1163" s="101">
        <v>484398.15</v>
      </c>
      <c r="I1163" s="101">
        <v>95379.706000000006</v>
      </c>
      <c r="J1163">
        <v>2276</v>
      </c>
      <c r="K1163">
        <v>3804</v>
      </c>
      <c r="L1163">
        <v>5423</v>
      </c>
      <c r="M1163" s="101">
        <v>167175.76999999999</v>
      </c>
      <c r="N1163" s="101">
        <v>25966.955999999998</v>
      </c>
      <c r="O1163" s="127">
        <v>4304</v>
      </c>
      <c r="P1163" s="127">
        <v>11570</v>
      </c>
      <c r="Q1163" s="127">
        <v>16069</v>
      </c>
      <c r="R1163" s="127">
        <v>334729</v>
      </c>
      <c r="S1163" s="127">
        <v>69303</v>
      </c>
      <c r="T1163" s="169">
        <v>1.02</v>
      </c>
      <c r="U1163" s="127">
        <v>3888</v>
      </c>
      <c r="V1163" s="127">
        <v>5272</v>
      </c>
      <c r="W1163" s="127">
        <v>12336</v>
      </c>
      <c r="X1163" s="127">
        <v>137738.2806</v>
      </c>
      <c r="Y1163" s="127">
        <v>50000</v>
      </c>
      <c r="AA1163" s="127"/>
      <c r="AB1163" s="127"/>
      <c r="AC1163" s="127"/>
      <c r="AD1163" s="127"/>
      <c r="AE1163" s="127"/>
    </row>
    <row r="1164" spans="1:31" ht="11.25" hidden="1" customHeight="1" x14ac:dyDescent="0.3">
      <c r="A1164" s="126" t="s">
        <v>188</v>
      </c>
      <c r="B1164" s="126">
        <v>49</v>
      </c>
      <c r="C1164" s="126">
        <v>18</v>
      </c>
      <c r="D1164" s="126" t="str">
        <f t="shared" si="94"/>
        <v>4918</v>
      </c>
      <c r="E1164" s="101">
        <v>575</v>
      </c>
      <c r="F1164" s="101">
        <v>739</v>
      </c>
      <c r="G1164" s="101">
        <v>1001</v>
      </c>
      <c r="H1164" s="101">
        <v>43683.479999999996</v>
      </c>
      <c r="I1164" s="101">
        <v>7402.9319999999998</v>
      </c>
      <c r="J1164" s="101">
        <v>7013</v>
      </c>
      <c r="K1164" s="101">
        <v>7615</v>
      </c>
      <c r="L1164" s="101">
        <v>8351</v>
      </c>
      <c r="M1164" s="101">
        <v>376914.22</v>
      </c>
      <c r="N1164" s="101">
        <v>79884.459000000003</v>
      </c>
      <c r="O1164" s="127">
        <v>3597</v>
      </c>
      <c r="P1164" s="127">
        <v>3885</v>
      </c>
      <c r="Q1164" s="127">
        <v>7320</v>
      </c>
      <c r="R1164" s="127">
        <v>194251</v>
      </c>
      <c r="S1164" s="127">
        <v>107962</v>
      </c>
      <c r="T1164" s="169">
        <v>1.02</v>
      </c>
      <c r="U1164" s="127">
        <f t="shared" si="100"/>
        <v>3668.94</v>
      </c>
      <c r="V1164" s="127">
        <f t="shared" si="101"/>
        <v>3962.7000000000003</v>
      </c>
      <c r="W1164" s="127">
        <f t="shared" si="102"/>
        <v>7466.4000000000005</v>
      </c>
      <c r="X1164" s="127">
        <f t="shared" si="103"/>
        <v>198136.02</v>
      </c>
      <c r="Y1164" s="127">
        <f t="shared" si="104"/>
        <v>110121.24</v>
      </c>
    </row>
    <row r="1165" spans="1:31" ht="11.25" hidden="1" customHeight="1" x14ac:dyDescent="0.3">
      <c r="A1165" s="126" t="s">
        <v>188</v>
      </c>
      <c r="B1165" s="126">
        <v>49</v>
      </c>
      <c r="C1165" s="126">
        <v>28</v>
      </c>
      <c r="D1165" s="126" t="str">
        <f t="shared" si="94"/>
        <v>4928</v>
      </c>
      <c r="E1165" s="101">
        <v>515</v>
      </c>
      <c r="F1165" s="101">
        <v>4930</v>
      </c>
      <c r="G1165" s="101">
        <v>55014</v>
      </c>
      <c r="H1165" s="101">
        <v>1720006.13</v>
      </c>
      <c r="I1165" s="101">
        <v>488958.02400000003</v>
      </c>
      <c r="J1165" s="101">
        <v>798</v>
      </c>
      <c r="K1165" s="101">
        <v>6061</v>
      </c>
      <c r="L1165" s="101">
        <v>49555</v>
      </c>
      <c r="M1165" s="101">
        <v>1076007.02</v>
      </c>
      <c r="N1165" s="101">
        <v>261035.005</v>
      </c>
      <c r="O1165" s="127">
        <v>483</v>
      </c>
      <c r="P1165" s="127">
        <v>7733</v>
      </c>
      <c r="Q1165" s="127">
        <v>60074</v>
      </c>
      <c r="R1165" s="127">
        <v>1657617</v>
      </c>
      <c r="S1165" s="127">
        <v>354643</v>
      </c>
      <c r="T1165" s="169">
        <v>1.02</v>
      </c>
      <c r="U1165" s="127">
        <v>286</v>
      </c>
      <c r="V1165" s="127">
        <v>1346</v>
      </c>
      <c r="W1165" s="127">
        <v>3705</v>
      </c>
      <c r="X1165" s="144">
        <f t="shared" si="103"/>
        <v>1690769.34</v>
      </c>
      <c r="Y1165" s="127">
        <v>34267</v>
      </c>
    </row>
    <row r="1166" spans="1:31" ht="11.25" hidden="1" customHeight="1" x14ac:dyDescent="0.3">
      <c r="A1166" s="126" t="s">
        <v>188</v>
      </c>
      <c r="B1166" s="126">
        <v>49</v>
      </c>
      <c r="C1166" s="126">
        <v>46</v>
      </c>
      <c r="D1166" s="126" t="str">
        <f t="shared" si="94"/>
        <v>4946</v>
      </c>
      <c r="E1166" s="101">
        <v>459</v>
      </c>
      <c r="F1166" s="101">
        <v>957</v>
      </c>
      <c r="G1166" s="101">
        <v>22789</v>
      </c>
      <c r="H1166" s="101">
        <v>466062.86999999994</v>
      </c>
      <c r="I1166" s="101">
        <v>236761.179</v>
      </c>
      <c r="J1166" s="101">
        <v>314</v>
      </c>
      <c r="K1166" s="101">
        <v>743</v>
      </c>
      <c r="L1166" s="101">
        <v>35142.639999999999</v>
      </c>
      <c r="M1166" s="101">
        <v>532674.71</v>
      </c>
      <c r="N1166" s="101">
        <v>168217.71900000001</v>
      </c>
      <c r="O1166" s="127">
        <v>550</v>
      </c>
      <c r="P1166" s="127">
        <v>1211</v>
      </c>
      <c r="Q1166" s="127">
        <v>24390</v>
      </c>
      <c r="R1166" s="127">
        <v>425176</v>
      </c>
      <c r="S1166" s="127">
        <v>165268</v>
      </c>
      <c r="T1166" s="169">
        <v>1.02</v>
      </c>
      <c r="U1166" s="127">
        <f t="shared" si="100"/>
        <v>561</v>
      </c>
      <c r="V1166" s="127">
        <f t="shared" si="101"/>
        <v>1235.22</v>
      </c>
      <c r="W1166" s="127">
        <f t="shared" si="102"/>
        <v>24877.8</v>
      </c>
      <c r="X1166" s="127">
        <f t="shared" si="103"/>
        <v>433679.52</v>
      </c>
      <c r="Y1166" s="127">
        <f t="shared" si="104"/>
        <v>168573.36000000002</v>
      </c>
    </row>
    <row r="1167" spans="1:31" ht="11.25" hidden="1" customHeight="1" x14ac:dyDescent="0.3">
      <c r="A1167" s="126" t="s">
        <v>188</v>
      </c>
      <c r="B1167" s="126">
        <v>49</v>
      </c>
      <c r="C1167" s="126">
        <v>48</v>
      </c>
      <c r="D1167" s="126" t="str">
        <f t="shared" si="94"/>
        <v>4948</v>
      </c>
      <c r="E1167" s="101">
        <v>3</v>
      </c>
      <c r="F1167" s="101">
        <v>3</v>
      </c>
      <c r="G1167" s="101">
        <v>4</v>
      </c>
      <c r="H1167" s="101">
        <v>39.9</v>
      </c>
      <c r="I1167" s="101">
        <v>24.75</v>
      </c>
      <c r="J1167" s="101">
        <v>0</v>
      </c>
      <c r="K1167" s="101">
        <v>0</v>
      </c>
      <c r="L1167" s="101">
        <v>0</v>
      </c>
      <c r="M1167" s="101">
        <v>0</v>
      </c>
      <c r="N1167" s="101">
        <v>0</v>
      </c>
      <c r="O1167" s="127">
        <v>2</v>
      </c>
      <c r="P1167" s="127">
        <v>2</v>
      </c>
      <c r="Q1167" s="127">
        <v>30</v>
      </c>
      <c r="R1167" s="127">
        <v>99</v>
      </c>
      <c r="S1167" s="127">
        <v>96</v>
      </c>
      <c r="T1167" s="169">
        <v>1.02</v>
      </c>
      <c r="U1167" s="127">
        <f t="shared" si="100"/>
        <v>2.04</v>
      </c>
      <c r="V1167" s="127">
        <f t="shared" si="101"/>
        <v>2.04</v>
      </c>
      <c r="W1167" s="127">
        <f t="shared" si="102"/>
        <v>30.6</v>
      </c>
      <c r="X1167" s="127">
        <f t="shared" si="103"/>
        <v>100.98</v>
      </c>
      <c r="Y1167" s="127">
        <f t="shared" si="104"/>
        <v>97.92</v>
      </c>
    </row>
    <row r="1168" spans="1:31" ht="11.25" hidden="1" customHeight="1" x14ac:dyDescent="0.3">
      <c r="A1168" s="126" t="s">
        <v>188</v>
      </c>
      <c r="B1168" s="126">
        <v>49</v>
      </c>
      <c r="C1168" s="126">
        <v>66</v>
      </c>
      <c r="D1168" s="126" t="str">
        <f t="shared" si="94"/>
        <v>4966</v>
      </c>
      <c r="E1168" s="101">
        <v>568</v>
      </c>
      <c r="F1168" s="101">
        <v>2209</v>
      </c>
      <c r="G1168" s="101">
        <v>35767</v>
      </c>
      <c r="H1168" s="101">
        <v>384216.07</v>
      </c>
      <c r="I1168" s="101">
        <v>203985.40299999999</v>
      </c>
      <c r="J1168" s="101">
        <v>364</v>
      </c>
      <c r="K1168" s="101">
        <v>1995</v>
      </c>
      <c r="L1168" s="101">
        <v>34845</v>
      </c>
      <c r="M1168" s="101">
        <v>241447.96</v>
      </c>
      <c r="N1168" s="101">
        <v>113998.55</v>
      </c>
      <c r="O1168" s="127">
        <v>340</v>
      </c>
      <c r="P1168" s="127">
        <v>2308</v>
      </c>
      <c r="Q1168" s="127">
        <v>48962</v>
      </c>
      <c r="R1168" s="127">
        <v>275256</v>
      </c>
      <c r="S1168" s="127">
        <v>138372</v>
      </c>
      <c r="T1168" s="169">
        <v>1.02</v>
      </c>
      <c r="U1168" s="127">
        <f t="shared" si="100"/>
        <v>346.8</v>
      </c>
      <c r="V1168" s="127">
        <f t="shared" si="101"/>
        <v>2354.16</v>
      </c>
      <c r="W1168" s="127">
        <f t="shared" si="102"/>
        <v>49941.24</v>
      </c>
      <c r="X1168" s="127">
        <f t="shared" si="103"/>
        <v>280761.12</v>
      </c>
      <c r="Y1168" s="127">
        <f t="shared" si="104"/>
        <v>141139.44</v>
      </c>
    </row>
    <row r="1169" spans="1:25" ht="11.25" hidden="1" customHeight="1" x14ac:dyDescent="0.3">
      <c r="A1169" s="126" t="s">
        <v>188</v>
      </c>
      <c r="B1169" s="126">
        <v>49</v>
      </c>
      <c r="C1169" s="126">
        <v>30</v>
      </c>
      <c r="D1169" s="126" t="str">
        <f t="shared" si="94"/>
        <v>4930</v>
      </c>
      <c r="E1169" s="101">
        <v>667.5</v>
      </c>
      <c r="F1169" s="101">
        <v>6311</v>
      </c>
      <c r="G1169" s="101">
        <v>27395</v>
      </c>
      <c r="H1169" s="101">
        <v>962919.255</v>
      </c>
      <c r="I1169" s="101">
        <v>324340.81550000003</v>
      </c>
      <c r="J1169" s="101">
        <v>0</v>
      </c>
      <c r="K1169" s="101">
        <v>0</v>
      </c>
      <c r="L1169" s="101">
        <v>0</v>
      </c>
      <c r="M1169" s="101">
        <v>0</v>
      </c>
      <c r="N1169" s="101">
        <v>0</v>
      </c>
      <c r="O1169" s="127">
        <v>147</v>
      </c>
      <c r="P1169" s="127">
        <v>174</v>
      </c>
      <c r="Q1169" s="127">
        <v>2897</v>
      </c>
      <c r="R1169" s="127">
        <v>120328</v>
      </c>
      <c r="S1169" s="127">
        <v>64295</v>
      </c>
      <c r="T1169" s="169">
        <v>1.02</v>
      </c>
      <c r="U1169" s="127">
        <f t="shared" si="100"/>
        <v>149.94</v>
      </c>
      <c r="V1169" s="127">
        <f t="shared" si="101"/>
        <v>177.48</v>
      </c>
      <c r="W1169" s="127">
        <f t="shared" si="102"/>
        <v>2954.94</v>
      </c>
      <c r="X1169" s="127">
        <f t="shared" si="103"/>
        <v>122734.56</v>
      </c>
      <c r="Y1169" s="127">
        <f t="shared" si="104"/>
        <v>65580.899999999994</v>
      </c>
    </row>
    <row r="1170" spans="1:25" ht="11.25" hidden="1" customHeight="1" x14ac:dyDescent="0.3">
      <c r="A1170" s="126" t="s">
        <v>188</v>
      </c>
      <c r="B1170" s="126">
        <v>49</v>
      </c>
      <c r="C1170" s="126">
        <v>21</v>
      </c>
      <c r="D1170" s="126" t="str">
        <f t="shared" si="94"/>
        <v>4921</v>
      </c>
      <c r="E1170" s="101">
        <v>1615.5</v>
      </c>
      <c r="F1170" s="101">
        <v>7545</v>
      </c>
      <c r="G1170" s="101">
        <v>32565.5</v>
      </c>
      <c r="H1170" s="101">
        <v>558688.67499999993</v>
      </c>
      <c r="I1170" s="101">
        <v>134370.1605</v>
      </c>
      <c r="J1170" s="101">
        <v>2368</v>
      </c>
      <c r="K1170" s="101">
        <v>12947</v>
      </c>
      <c r="L1170" s="101">
        <v>66741</v>
      </c>
      <c r="M1170" s="101">
        <v>1020387.51</v>
      </c>
      <c r="N1170" s="101">
        <v>343620.41599999997</v>
      </c>
      <c r="O1170" s="127">
        <v>1854</v>
      </c>
      <c r="P1170" s="127">
        <v>14735</v>
      </c>
      <c r="Q1170" s="127">
        <v>71389</v>
      </c>
      <c r="R1170" s="127">
        <v>1095681</v>
      </c>
      <c r="S1170" s="127">
        <v>370900</v>
      </c>
      <c r="T1170" s="169">
        <v>1.02</v>
      </c>
      <c r="U1170" s="127"/>
      <c r="V1170" s="127"/>
      <c r="W1170" s="127"/>
      <c r="X1170" s="127"/>
      <c r="Y1170" s="127"/>
    </row>
    <row r="1171" spans="1:25" ht="11.25" hidden="1" customHeight="1" x14ac:dyDescent="0.3">
      <c r="A1171" s="126" t="s">
        <v>188</v>
      </c>
      <c r="B1171" s="126">
        <v>49</v>
      </c>
      <c r="C1171" s="126">
        <v>71</v>
      </c>
      <c r="D1171" s="126" t="str">
        <f t="shared" ref="D1171:D1269" si="105">CONCATENATE(B1171,C1171)</f>
        <v>4971</v>
      </c>
      <c r="E1171" s="101">
        <v>554.5</v>
      </c>
      <c r="F1171" s="101">
        <v>10328</v>
      </c>
      <c r="G1171" s="101">
        <v>33875</v>
      </c>
      <c r="H1171" s="101">
        <v>257106.25</v>
      </c>
      <c r="I1171" s="101">
        <v>129491.349</v>
      </c>
      <c r="J1171" s="101">
        <v>631</v>
      </c>
      <c r="K1171" s="101">
        <v>9729</v>
      </c>
      <c r="L1171" s="101">
        <v>39262</v>
      </c>
      <c r="M1171" s="101">
        <v>329607.52</v>
      </c>
      <c r="N1171" s="101">
        <v>174353.22700000001</v>
      </c>
      <c r="O1171" s="127">
        <v>396</v>
      </c>
      <c r="P1171" s="127">
        <v>8803</v>
      </c>
      <c r="Q1171" s="127">
        <v>77605</v>
      </c>
      <c r="R1171" s="127">
        <v>379045</v>
      </c>
      <c r="S1171" s="127">
        <v>212331</v>
      </c>
      <c r="T1171" s="169">
        <v>0.98</v>
      </c>
      <c r="U1171" s="127">
        <v>693</v>
      </c>
      <c r="V1171" s="127">
        <v>19624</v>
      </c>
      <c r="W1171" s="127">
        <v>186259</v>
      </c>
      <c r="X1171" s="127">
        <v>763347</v>
      </c>
      <c r="Y1171" s="127">
        <v>387925</v>
      </c>
    </row>
    <row r="1172" spans="1:25" ht="11.25" hidden="1" customHeight="1" x14ac:dyDescent="0.3">
      <c r="A1172" s="126" t="s">
        <v>188</v>
      </c>
      <c r="B1172" s="126">
        <v>49</v>
      </c>
      <c r="C1172" s="126">
        <v>25</v>
      </c>
      <c r="D1172" s="126" t="str">
        <f t="shared" si="105"/>
        <v>4925</v>
      </c>
      <c r="E1172" s="101">
        <v>1394</v>
      </c>
      <c r="F1172" s="101">
        <v>11183</v>
      </c>
      <c r="G1172" s="101">
        <v>51254</v>
      </c>
      <c r="H1172" s="101">
        <v>729960.22</v>
      </c>
      <c r="I1172" s="101">
        <v>368075.39299999998</v>
      </c>
      <c r="J1172" s="101">
        <v>1062</v>
      </c>
      <c r="K1172" s="101">
        <v>10751</v>
      </c>
      <c r="L1172" s="101">
        <v>83790</v>
      </c>
      <c r="M1172" s="101">
        <v>1251618.74</v>
      </c>
      <c r="N1172" s="101">
        <v>549304.47199999995</v>
      </c>
      <c r="O1172" s="127">
        <v>1080</v>
      </c>
      <c r="P1172" s="127">
        <v>9014</v>
      </c>
      <c r="Q1172" s="127">
        <v>46951</v>
      </c>
      <c r="R1172" s="127">
        <v>405487</v>
      </c>
      <c r="S1172" s="127">
        <v>211189</v>
      </c>
      <c r="T1172" s="169">
        <v>1.02</v>
      </c>
      <c r="U1172" s="127">
        <f t="shared" si="100"/>
        <v>1101.5999999999999</v>
      </c>
      <c r="V1172" s="127">
        <f t="shared" si="101"/>
        <v>9194.2800000000007</v>
      </c>
      <c r="W1172" s="127">
        <f t="shared" si="102"/>
        <v>47890.020000000004</v>
      </c>
      <c r="X1172" s="127">
        <f t="shared" si="103"/>
        <v>413596.74</v>
      </c>
      <c r="Y1172" s="127">
        <f t="shared" si="104"/>
        <v>215412.78</v>
      </c>
    </row>
    <row r="1173" spans="1:25" ht="11.25" hidden="1" customHeight="1" x14ac:dyDescent="0.3">
      <c r="A1173" s="126" t="s">
        <v>188</v>
      </c>
      <c r="B1173" s="126">
        <v>49</v>
      </c>
      <c r="C1173" s="126">
        <v>14</v>
      </c>
      <c r="D1173" s="126" t="str">
        <f t="shared" si="105"/>
        <v>4914</v>
      </c>
      <c r="J1173" s="101">
        <v>60</v>
      </c>
      <c r="K1173" s="101">
        <v>87</v>
      </c>
      <c r="L1173" s="101">
        <v>155</v>
      </c>
      <c r="M1173" s="101">
        <v>6876.45</v>
      </c>
      <c r="N1173" s="101">
        <v>1064.0920000000001</v>
      </c>
      <c r="O1173" s="127">
        <v>98</v>
      </c>
      <c r="P1173" s="127">
        <v>142</v>
      </c>
      <c r="Q1173" s="127">
        <v>227</v>
      </c>
      <c r="R1173" s="127">
        <v>9401</v>
      </c>
      <c r="S1173" s="127">
        <v>1202</v>
      </c>
      <c r="T1173" s="169">
        <v>1.02</v>
      </c>
      <c r="U1173" s="127">
        <f t="shared" si="100"/>
        <v>99.960000000000008</v>
      </c>
      <c r="V1173" s="127">
        <f t="shared" si="101"/>
        <v>144.84</v>
      </c>
      <c r="W1173" s="127">
        <f t="shared" si="102"/>
        <v>231.54</v>
      </c>
      <c r="X1173" s="127">
        <f t="shared" si="103"/>
        <v>9589.02</v>
      </c>
      <c r="Y1173" s="127">
        <f t="shared" si="104"/>
        <v>1226.04</v>
      </c>
    </row>
    <row r="1174" spans="1:25" ht="11.25" hidden="1" customHeight="1" x14ac:dyDescent="0.3">
      <c r="A1174" s="126" t="s">
        <v>188</v>
      </c>
      <c r="B1174" s="126">
        <v>49</v>
      </c>
      <c r="C1174" s="126">
        <v>22</v>
      </c>
      <c r="D1174" s="126" t="str">
        <f t="shared" si="105"/>
        <v>4922</v>
      </c>
      <c r="J1174" s="101">
        <v>21</v>
      </c>
      <c r="K1174" s="101">
        <v>26</v>
      </c>
      <c r="L1174" s="101">
        <v>1331</v>
      </c>
      <c r="M1174" s="101">
        <v>11332.93</v>
      </c>
      <c r="N1174" s="101">
        <v>10114.848</v>
      </c>
      <c r="O1174" s="127">
        <v>8</v>
      </c>
      <c r="P1174" s="127">
        <v>14</v>
      </c>
      <c r="Q1174" s="127">
        <v>404</v>
      </c>
      <c r="R1174" s="127">
        <v>4512</v>
      </c>
      <c r="S1174" s="127">
        <v>3534</v>
      </c>
      <c r="T1174" s="169">
        <v>1.02</v>
      </c>
      <c r="U1174" s="127">
        <f t="shared" si="100"/>
        <v>8.16</v>
      </c>
      <c r="V1174" s="127">
        <f t="shared" si="101"/>
        <v>14.280000000000001</v>
      </c>
      <c r="W1174" s="127">
        <f t="shared" si="102"/>
        <v>412.08</v>
      </c>
      <c r="X1174" s="127">
        <f t="shared" si="103"/>
        <v>4602.24</v>
      </c>
      <c r="Y1174" s="127">
        <f t="shared" si="104"/>
        <v>3604.68</v>
      </c>
    </row>
    <row r="1175" spans="1:25" ht="11.25" hidden="1" customHeight="1" x14ac:dyDescent="0.3">
      <c r="A1175" s="126" t="s">
        <v>188</v>
      </c>
      <c r="B1175" s="126">
        <v>49</v>
      </c>
      <c r="C1175" s="126">
        <v>26</v>
      </c>
      <c r="D1175" s="126" t="str">
        <f t="shared" si="105"/>
        <v>4926</v>
      </c>
      <c r="J1175" s="101">
        <v>9</v>
      </c>
      <c r="K1175" s="101">
        <v>30</v>
      </c>
      <c r="L1175" s="101">
        <v>135</v>
      </c>
      <c r="M1175" s="101">
        <v>3857.71</v>
      </c>
      <c r="N1175" s="101">
        <v>1484.4870000000001</v>
      </c>
      <c r="O1175" s="127">
        <v>3</v>
      </c>
      <c r="P1175" s="127">
        <v>26</v>
      </c>
      <c r="Q1175" s="127">
        <v>480</v>
      </c>
      <c r="R1175" s="127">
        <v>5458</v>
      </c>
      <c r="S1175" s="127">
        <v>1086</v>
      </c>
      <c r="T1175" s="169">
        <v>1.02</v>
      </c>
      <c r="U1175" s="127">
        <f t="shared" si="100"/>
        <v>3.06</v>
      </c>
      <c r="V1175" s="127">
        <f t="shared" si="101"/>
        <v>26.52</v>
      </c>
      <c r="W1175" s="127">
        <f t="shared" si="102"/>
        <v>489.6</v>
      </c>
      <c r="X1175" s="127">
        <f t="shared" si="103"/>
        <v>5567.16</v>
      </c>
      <c r="Y1175" s="127">
        <f t="shared" si="104"/>
        <v>1107.72</v>
      </c>
    </row>
    <row r="1176" spans="1:25" ht="11.25" hidden="1" customHeight="1" x14ac:dyDescent="0.3">
      <c r="A1176" s="126" t="s">
        <v>188</v>
      </c>
      <c r="B1176" s="126">
        <v>49</v>
      </c>
      <c r="C1176" s="126">
        <v>32</v>
      </c>
      <c r="D1176" s="126" t="str">
        <f t="shared" si="105"/>
        <v>4932</v>
      </c>
      <c r="J1176" s="101">
        <v>115</v>
      </c>
      <c r="K1176" s="101">
        <v>166</v>
      </c>
      <c r="L1176" s="101">
        <v>2359</v>
      </c>
      <c r="M1176" s="101">
        <v>37676.589999999997</v>
      </c>
      <c r="N1176" s="101">
        <v>12458.602999999999</v>
      </c>
      <c r="O1176" s="127">
        <v>57</v>
      </c>
      <c r="P1176" s="127">
        <v>175</v>
      </c>
      <c r="Q1176" s="127">
        <v>5625</v>
      </c>
      <c r="R1176" s="127">
        <v>56145</v>
      </c>
      <c r="S1176" s="127">
        <v>124402</v>
      </c>
      <c r="T1176" s="169">
        <v>1.02</v>
      </c>
      <c r="U1176" s="127">
        <f t="shared" si="100"/>
        <v>58.14</v>
      </c>
      <c r="V1176" s="127">
        <f t="shared" si="101"/>
        <v>178.5</v>
      </c>
      <c r="W1176" s="127">
        <f t="shared" si="102"/>
        <v>5737.5</v>
      </c>
      <c r="X1176" s="127">
        <f t="shared" si="103"/>
        <v>57267.9</v>
      </c>
      <c r="Y1176" s="127">
        <f t="shared" si="104"/>
        <v>126890.04000000001</v>
      </c>
    </row>
    <row r="1177" spans="1:25" ht="11.25" hidden="1" customHeight="1" x14ac:dyDescent="0.3">
      <c r="A1177" s="126" t="s">
        <v>188</v>
      </c>
      <c r="B1177" s="126">
        <v>49</v>
      </c>
      <c r="C1177" s="126">
        <v>43</v>
      </c>
      <c r="D1177" s="126" t="str">
        <f t="shared" si="105"/>
        <v>4943</v>
      </c>
      <c r="J1177" s="101">
        <v>0</v>
      </c>
      <c r="K1177" s="101">
        <v>0</v>
      </c>
      <c r="L1177" s="101">
        <v>0</v>
      </c>
      <c r="M1177" s="101">
        <v>0</v>
      </c>
      <c r="N1177" s="101">
        <v>0</v>
      </c>
      <c r="O1177" s="127">
        <v>0</v>
      </c>
      <c r="P1177" s="127">
        <v>0</v>
      </c>
      <c r="Q1177" s="127">
        <v>0</v>
      </c>
      <c r="R1177" s="127">
        <v>0</v>
      </c>
      <c r="S1177" s="127">
        <v>0</v>
      </c>
      <c r="T1177" s="169">
        <v>1.02</v>
      </c>
      <c r="U1177" s="127">
        <f t="shared" si="100"/>
        <v>0</v>
      </c>
      <c r="V1177" s="127">
        <f t="shared" si="101"/>
        <v>0</v>
      </c>
      <c r="W1177" s="127">
        <f t="shared" si="102"/>
        <v>0</v>
      </c>
      <c r="X1177" s="127">
        <f t="shared" si="103"/>
        <v>0</v>
      </c>
      <c r="Y1177" s="127">
        <f t="shared" si="104"/>
        <v>0</v>
      </c>
    </row>
    <row r="1178" spans="1:25" ht="11.25" hidden="1" customHeight="1" x14ac:dyDescent="0.3">
      <c r="A1178" s="126" t="s">
        <v>188</v>
      </c>
      <c r="B1178" s="126">
        <v>49</v>
      </c>
      <c r="C1178" s="126">
        <v>44</v>
      </c>
      <c r="D1178" s="126" t="str">
        <f t="shared" si="105"/>
        <v>4944</v>
      </c>
      <c r="J1178" s="101">
        <v>1</v>
      </c>
      <c r="K1178" s="101">
        <v>10</v>
      </c>
      <c r="L1178" s="101">
        <v>10</v>
      </c>
      <c r="M1178" s="101">
        <v>349.44</v>
      </c>
      <c r="N1178" s="101">
        <v>32.468000000000004</v>
      </c>
      <c r="O1178" s="127">
        <v>0</v>
      </c>
      <c r="P1178" s="127">
        <v>0</v>
      </c>
      <c r="Q1178" s="127">
        <v>0</v>
      </c>
      <c r="R1178" s="127">
        <v>0</v>
      </c>
      <c r="S1178" s="127">
        <v>0</v>
      </c>
      <c r="T1178" s="169">
        <v>1.02</v>
      </c>
      <c r="U1178" s="127">
        <f t="shared" si="100"/>
        <v>0</v>
      </c>
      <c r="V1178" s="127">
        <f t="shared" si="101"/>
        <v>0</v>
      </c>
      <c r="W1178" s="127">
        <f t="shared" si="102"/>
        <v>0</v>
      </c>
      <c r="X1178" s="127">
        <f t="shared" si="103"/>
        <v>0</v>
      </c>
      <c r="Y1178" s="127">
        <f t="shared" si="104"/>
        <v>0</v>
      </c>
    </row>
    <row r="1179" spans="1:25" ht="11.25" hidden="1" customHeight="1" x14ac:dyDescent="0.3">
      <c r="A1179" s="126" t="s">
        <v>188</v>
      </c>
      <c r="B1179" s="126">
        <v>49</v>
      </c>
      <c r="C1179" s="126">
        <v>45</v>
      </c>
      <c r="D1179" s="126" t="str">
        <f t="shared" si="105"/>
        <v>4945</v>
      </c>
      <c r="J1179" s="101">
        <v>0</v>
      </c>
      <c r="K1179" s="101">
        <v>0</v>
      </c>
      <c r="L1179" s="101">
        <v>0</v>
      </c>
      <c r="M1179" s="101">
        <v>0</v>
      </c>
      <c r="N1179" s="101">
        <v>0</v>
      </c>
      <c r="O1179" s="127">
        <v>0</v>
      </c>
      <c r="P1179" s="127">
        <v>0</v>
      </c>
      <c r="Q1179" s="127">
        <v>0</v>
      </c>
      <c r="R1179" s="127">
        <v>0</v>
      </c>
      <c r="S1179" s="127">
        <v>0</v>
      </c>
      <c r="T1179" s="169">
        <v>1.02</v>
      </c>
      <c r="U1179" s="127">
        <f t="shared" si="100"/>
        <v>0</v>
      </c>
      <c r="V1179" s="127">
        <f t="shared" si="101"/>
        <v>0</v>
      </c>
      <c r="W1179" s="127">
        <f t="shared" si="102"/>
        <v>0</v>
      </c>
      <c r="X1179" s="127">
        <f t="shared" si="103"/>
        <v>0</v>
      </c>
      <c r="Y1179" s="127">
        <f t="shared" si="104"/>
        <v>0</v>
      </c>
    </row>
    <row r="1180" spans="1:25" ht="11.25" hidden="1" customHeight="1" x14ac:dyDescent="0.3">
      <c r="A1180" s="126" t="s">
        <v>188</v>
      </c>
      <c r="B1180" s="126">
        <v>49</v>
      </c>
      <c r="C1180" s="126">
        <v>47</v>
      </c>
      <c r="D1180" s="126" t="str">
        <f t="shared" si="105"/>
        <v>4947</v>
      </c>
      <c r="J1180" s="101">
        <v>1</v>
      </c>
      <c r="K1180" s="101">
        <v>1</v>
      </c>
      <c r="L1180" s="101">
        <v>20</v>
      </c>
      <c r="M1180" s="101">
        <v>159</v>
      </c>
      <c r="N1180" s="101">
        <v>14.365</v>
      </c>
      <c r="O1180" s="127">
        <v>8</v>
      </c>
      <c r="P1180" s="127">
        <v>18</v>
      </c>
      <c r="Q1180" s="127">
        <v>507</v>
      </c>
      <c r="R1180" s="127">
        <v>21720</v>
      </c>
      <c r="S1180" s="127">
        <v>5300</v>
      </c>
      <c r="T1180" s="169">
        <v>1.02</v>
      </c>
      <c r="U1180" s="127">
        <f t="shared" si="100"/>
        <v>8.16</v>
      </c>
      <c r="V1180" s="127">
        <f t="shared" si="101"/>
        <v>18.36</v>
      </c>
      <c r="W1180" s="127">
        <f t="shared" si="102"/>
        <v>517.14</v>
      </c>
      <c r="X1180" s="127">
        <f t="shared" si="103"/>
        <v>22154.400000000001</v>
      </c>
      <c r="Y1180" s="127">
        <f t="shared" si="104"/>
        <v>5406</v>
      </c>
    </row>
    <row r="1181" spans="1:25" ht="11.25" hidden="1" customHeight="1" x14ac:dyDescent="0.3">
      <c r="A1181" s="126" t="s">
        <v>188</v>
      </c>
      <c r="B1181" s="126">
        <v>49</v>
      </c>
      <c r="C1181" s="126">
        <v>91</v>
      </c>
      <c r="D1181" s="126" t="str">
        <f t="shared" si="105"/>
        <v>4991</v>
      </c>
      <c r="J1181" s="101">
        <v>68</v>
      </c>
      <c r="K1181" s="101">
        <v>177</v>
      </c>
      <c r="L1181" s="101">
        <v>842</v>
      </c>
      <c r="M1181" s="101">
        <v>7932.91</v>
      </c>
      <c r="N1181" s="101">
        <v>3688.3029999999999</v>
      </c>
      <c r="O1181" s="127">
        <v>45</v>
      </c>
      <c r="P1181" s="127">
        <v>137</v>
      </c>
      <c r="Q1181" s="127">
        <v>890</v>
      </c>
      <c r="R1181" s="127">
        <v>6686</v>
      </c>
      <c r="S1181" s="127">
        <v>2548</v>
      </c>
      <c r="T1181" s="169">
        <v>1.02</v>
      </c>
      <c r="U1181" s="127">
        <f t="shared" si="100"/>
        <v>45.9</v>
      </c>
      <c r="V1181" s="127">
        <f t="shared" si="101"/>
        <v>139.74</v>
      </c>
      <c r="W1181" s="127">
        <f t="shared" si="102"/>
        <v>907.80000000000007</v>
      </c>
      <c r="X1181" s="127">
        <f t="shared" si="103"/>
        <v>6819.72</v>
      </c>
      <c r="Y1181" s="127">
        <f t="shared" si="104"/>
        <v>2598.96</v>
      </c>
    </row>
    <row r="1182" spans="1:25" ht="11.25" hidden="1" customHeight="1" x14ac:dyDescent="0.3">
      <c r="A1182" s="126" t="s">
        <v>188</v>
      </c>
      <c r="B1182" s="126">
        <v>49</v>
      </c>
      <c r="C1182" s="126">
        <v>27</v>
      </c>
      <c r="D1182" s="126" t="str">
        <f t="shared" si="105"/>
        <v>4927</v>
      </c>
      <c r="E1182" s="101">
        <v>104</v>
      </c>
      <c r="F1182" s="101">
        <v>2591</v>
      </c>
      <c r="G1182" s="101">
        <v>8346</v>
      </c>
      <c r="H1182" s="101">
        <v>98482.139999999985</v>
      </c>
      <c r="I1182" s="101">
        <v>33265.236000000004</v>
      </c>
      <c r="J1182" s="101">
        <v>89</v>
      </c>
      <c r="K1182" s="101">
        <v>2874</v>
      </c>
      <c r="L1182" s="101">
        <v>16964</v>
      </c>
      <c r="M1182" s="101">
        <v>195121.44</v>
      </c>
      <c r="N1182" s="101">
        <v>66599.039999999994</v>
      </c>
      <c r="O1182" s="127">
        <v>105</v>
      </c>
      <c r="P1182" s="127">
        <v>3330</v>
      </c>
      <c r="Q1182" s="127">
        <v>22764</v>
      </c>
      <c r="R1182" s="127">
        <v>213527</v>
      </c>
      <c r="S1182" s="127">
        <v>103439</v>
      </c>
      <c r="T1182" s="169">
        <v>1.02</v>
      </c>
      <c r="U1182" s="127">
        <f t="shared" si="100"/>
        <v>107.10000000000001</v>
      </c>
      <c r="V1182" s="127">
        <f t="shared" si="101"/>
        <v>3396.6</v>
      </c>
      <c r="W1182" s="127">
        <f t="shared" si="102"/>
        <v>23219.279999999999</v>
      </c>
      <c r="X1182" s="127">
        <f t="shared" si="103"/>
        <v>217797.54</v>
      </c>
      <c r="Y1182" s="127">
        <f t="shared" si="104"/>
        <v>105507.78</v>
      </c>
    </row>
    <row r="1183" spans="1:25" ht="11.25" hidden="1" customHeight="1" x14ac:dyDescent="0.3">
      <c r="A1183" s="126" t="s">
        <v>188</v>
      </c>
      <c r="B1183" s="126">
        <v>49</v>
      </c>
      <c r="C1183" s="126">
        <v>41</v>
      </c>
      <c r="D1183" s="126" t="str">
        <f t="shared" si="105"/>
        <v>4941</v>
      </c>
      <c r="J1183" s="101">
        <v>4</v>
      </c>
      <c r="K1183" s="101">
        <v>5</v>
      </c>
      <c r="L1183" s="101">
        <v>27</v>
      </c>
      <c r="M1183" s="101">
        <v>340.17</v>
      </c>
      <c r="N1183" s="101">
        <v>337.27300000000002</v>
      </c>
      <c r="O1183" s="127">
        <v>4</v>
      </c>
      <c r="P1183" s="127">
        <v>5</v>
      </c>
      <c r="Q1183" s="127">
        <v>27</v>
      </c>
      <c r="R1183" s="127">
        <v>167</v>
      </c>
      <c r="S1183" s="127">
        <v>149</v>
      </c>
      <c r="T1183" s="169">
        <v>1.02</v>
      </c>
      <c r="U1183" s="127">
        <f t="shared" si="100"/>
        <v>4.08</v>
      </c>
      <c r="V1183" s="127">
        <f t="shared" si="101"/>
        <v>5.0999999999999996</v>
      </c>
      <c r="W1183" s="127">
        <f t="shared" si="102"/>
        <v>27.54</v>
      </c>
      <c r="X1183" s="127">
        <f t="shared" si="103"/>
        <v>170.34</v>
      </c>
      <c r="Y1183" s="127">
        <f t="shared" si="104"/>
        <v>151.97999999999999</v>
      </c>
    </row>
    <row r="1184" spans="1:25" ht="11.25" customHeight="1" x14ac:dyDescent="0.3">
      <c r="A1184" s="126" t="s">
        <v>188</v>
      </c>
      <c r="B1184" s="126">
        <v>49</v>
      </c>
      <c r="C1184" s="126" t="s">
        <v>172</v>
      </c>
      <c r="D1184" s="126" t="str">
        <f t="shared" si="105"/>
        <v>49Uml</v>
      </c>
      <c r="J1184" s="101">
        <v>159</v>
      </c>
      <c r="K1184" s="101">
        <v>173</v>
      </c>
      <c r="L1184" s="101">
        <v>71628</v>
      </c>
      <c r="N1184" s="101">
        <v>201484</v>
      </c>
      <c r="O1184" s="127">
        <v>362</v>
      </c>
      <c r="P1184" s="127">
        <v>398</v>
      </c>
      <c r="Q1184" s="127">
        <v>86451</v>
      </c>
      <c r="R1184" s="127"/>
      <c r="S1184" s="127">
        <v>409667.28399999999</v>
      </c>
      <c r="T1184" s="169">
        <v>1.02</v>
      </c>
      <c r="U1184" s="127">
        <f t="shared" si="100"/>
        <v>369.24</v>
      </c>
      <c r="V1184" s="127">
        <f t="shared" si="101"/>
        <v>405.96</v>
      </c>
      <c r="W1184" s="127">
        <f t="shared" si="102"/>
        <v>88180.02</v>
      </c>
      <c r="X1184" s="127">
        <f t="shared" si="103"/>
        <v>0</v>
      </c>
      <c r="Y1184" s="127">
        <f t="shared" si="104"/>
        <v>417860.62968000001</v>
      </c>
    </row>
    <row r="1185" spans="1:25" ht="11.25" hidden="1" customHeight="1" x14ac:dyDescent="0.3">
      <c r="A1185" s="126" t="s">
        <v>188</v>
      </c>
      <c r="B1185" s="126">
        <v>49</v>
      </c>
      <c r="C1185" s="126">
        <v>37</v>
      </c>
      <c r="D1185" s="126" t="str">
        <f t="shared" si="105"/>
        <v>4937</v>
      </c>
      <c r="E1185" s="101">
        <v>10.25</v>
      </c>
      <c r="F1185" s="101">
        <v>46.5</v>
      </c>
      <c r="G1185" s="101">
        <v>918</v>
      </c>
      <c r="H1185" s="101">
        <v>3899.8</v>
      </c>
      <c r="I1185" s="101">
        <v>1756.64625</v>
      </c>
      <c r="J1185" s="101">
        <v>20</v>
      </c>
      <c r="K1185" s="101">
        <v>57</v>
      </c>
      <c r="L1185" s="101">
        <v>1065</v>
      </c>
      <c r="M1185" s="101">
        <v>8013.45</v>
      </c>
      <c r="N1185" s="101">
        <v>3346.317</v>
      </c>
      <c r="O1185" s="127">
        <v>43</v>
      </c>
      <c r="P1185" s="127">
        <v>160</v>
      </c>
      <c r="Q1185" s="127">
        <v>3181</v>
      </c>
      <c r="R1185" s="127">
        <v>13408</v>
      </c>
      <c r="S1185" s="127">
        <v>6900</v>
      </c>
      <c r="T1185" s="169">
        <v>1.02</v>
      </c>
      <c r="U1185" s="127">
        <f t="shared" si="100"/>
        <v>43.86</v>
      </c>
      <c r="V1185" s="127">
        <f t="shared" si="101"/>
        <v>163.19999999999999</v>
      </c>
      <c r="W1185" s="127">
        <f t="shared" si="102"/>
        <v>3244.62</v>
      </c>
      <c r="X1185" s="127">
        <f t="shared" si="103"/>
        <v>13676.16</v>
      </c>
      <c r="Y1185" s="127">
        <f t="shared" si="104"/>
        <v>7038</v>
      </c>
    </row>
    <row r="1186" spans="1:25" ht="11.25" hidden="1" customHeight="1" x14ac:dyDescent="0.3">
      <c r="A1186" s="126" t="s">
        <v>188</v>
      </c>
      <c r="B1186" s="126">
        <v>50</v>
      </c>
      <c r="C1186" s="126">
        <v>12</v>
      </c>
      <c r="D1186" s="126" t="str">
        <f t="shared" si="105"/>
        <v>5012</v>
      </c>
      <c r="E1186" s="101">
        <v>88</v>
      </c>
      <c r="F1186" s="101">
        <v>142</v>
      </c>
      <c r="G1186" s="101">
        <v>182</v>
      </c>
      <c r="H1186" s="101">
        <v>4825.83</v>
      </c>
      <c r="I1186" s="101">
        <v>941.90399999999988</v>
      </c>
      <c r="J1186" s="101">
        <v>35</v>
      </c>
      <c r="K1186" s="101">
        <v>63</v>
      </c>
      <c r="L1186" s="101">
        <v>88</v>
      </c>
      <c r="M1186" s="101">
        <v>1874.42</v>
      </c>
      <c r="N1186" s="101">
        <v>375.53699999999998</v>
      </c>
      <c r="O1186" s="127">
        <v>22</v>
      </c>
      <c r="P1186" s="127">
        <v>28</v>
      </c>
      <c r="Q1186" s="127">
        <v>32</v>
      </c>
      <c r="R1186" s="127">
        <v>951</v>
      </c>
      <c r="S1186" s="127">
        <v>209</v>
      </c>
      <c r="T1186" s="169">
        <v>1.02</v>
      </c>
      <c r="U1186" s="127">
        <f t="shared" si="100"/>
        <v>22.44</v>
      </c>
      <c r="V1186" s="127">
        <f t="shared" si="101"/>
        <v>28.560000000000002</v>
      </c>
      <c r="W1186" s="127">
        <f t="shared" si="102"/>
        <v>32.64</v>
      </c>
      <c r="X1186" s="127">
        <f t="shared" si="103"/>
        <v>970.02</v>
      </c>
      <c r="Y1186" s="127">
        <f t="shared" si="104"/>
        <v>213.18</v>
      </c>
    </row>
    <row r="1187" spans="1:25" ht="11.25" hidden="1" customHeight="1" x14ac:dyDescent="0.3">
      <c r="A1187" s="126" t="s">
        <v>188</v>
      </c>
      <c r="B1187" s="126">
        <v>50</v>
      </c>
      <c r="C1187" s="126">
        <v>14</v>
      </c>
      <c r="D1187" s="126" t="str">
        <f t="shared" si="105"/>
        <v>5014</v>
      </c>
      <c r="E1187" s="101">
        <v>2</v>
      </c>
      <c r="F1187" s="101">
        <v>2</v>
      </c>
      <c r="G1187" s="101">
        <v>8</v>
      </c>
      <c r="H1187" s="101">
        <v>151.02000000000001</v>
      </c>
      <c r="I1187" s="101">
        <v>61.268999999999998</v>
      </c>
      <c r="J1187" s="101">
        <v>69</v>
      </c>
      <c r="K1187" s="101">
        <v>98</v>
      </c>
      <c r="L1187" s="101">
        <v>188</v>
      </c>
      <c r="M1187" s="101">
        <v>6977.58</v>
      </c>
      <c r="N1187" s="101">
        <v>891.57299999999998</v>
      </c>
      <c r="O1187" s="127">
        <v>154</v>
      </c>
      <c r="P1187" s="127">
        <v>176</v>
      </c>
      <c r="Q1187" s="127">
        <v>330</v>
      </c>
      <c r="R1187" s="127">
        <v>9046</v>
      </c>
      <c r="S1187" s="127">
        <v>1127</v>
      </c>
      <c r="T1187" s="169">
        <v>1.02</v>
      </c>
      <c r="U1187" s="127">
        <f t="shared" si="100"/>
        <v>157.08000000000001</v>
      </c>
      <c r="V1187" s="127">
        <f t="shared" si="101"/>
        <v>179.52</v>
      </c>
      <c r="W1187" s="127">
        <f t="shared" si="102"/>
        <v>336.6</v>
      </c>
      <c r="X1187" s="127">
        <f t="shared" si="103"/>
        <v>9226.92</v>
      </c>
      <c r="Y1187" s="127">
        <f t="shared" si="104"/>
        <v>1149.54</v>
      </c>
    </row>
    <row r="1188" spans="1:25" ht="11.25" hidden="1" customHeight="1" x14ac:dyDescent="0.3">
      <c r="A1188" s="126" t="s">
        <v>188</v>
      </c>
      <c r="B1188" s="126">
        <v>50</v>
      </c>
      <c r="C1188" s="126">
        <v>17</v>
      </c>
      <c r="D1188" s="126" t="str">
        <f t="shared" si="105"/>
        <v>5017</v>
      </c>
      <c r="E1188" s="101">
        <v>8894</v>
      </c>
      <c r="F1188" s="101">
        <v>10889</v>
      </c>
      <c r="G1188" s="101">
        <v>13308</v>
      </c>
      <c r="H1188" s="101">
        <v>597930.49</v>
      </c>
      <c r="I1188" s="101">
        <v>122643.09999999999</v>
      </c>
      <c r="J1188">
        <v>2660</v>
      </c>
      <c r="K1188">
        <v>4303</v>
      </c>
      <c r="L1188">
        <v>6245</v>
      </c>
      <c r="M1188" s="101">
        <v>187420.92</v>
      </c>
      <c r="N1188" s="101">
        <v>29369.625</v>
      </c>
      <c r="O1188" s="127">
        <v>4284</v>
      </c>
      <c r="P1188" s="127">
        <v>6174</v>
      </c>
      <c r="Q1188" s="127">
        <v>8667</v>
      </c>
      <c r="R1188" s="127">
        <v>260177</v>
      </c>
      <c r="S1188" s="127">
        <v>42072</v>
      </c>
      <c r="T1188" s="169">
        <v>1.02</v>
      </c>
      <c r="U1188" s="127">
        <v>6806</v>
      </c>
      <c r="V1188" s="127">
        <v>16578</v>
      </c>
      <c r="W1188" s="127">
        <v>20930</v>
      </c>
      <c r="X1188" s="127">
        <v>341423.58</v>
      </c>
      <c r="Y1188" s="127">
        <v>60000</v>
      </c>
    </row>
    <row r="1189" spans="1:25" ht="11.25" hidden="1" customHeight="1" x14ac:dyDescent="0.3">
      <c r="A1189" s="126" t="s">
        <v>188</v>
      </c>
      <c r="B1189" s="126">
        <v>50</v>
      </c>
      <c r="C1189" s="126">
        <v>18</v>
      </c>
      <c r="D1189" s="126" t="str">
        <f t="shared" si="105"/>
        <v>5018</v>
      </c>
      <c r="E1189" s="101">
        <v>1401</v>
      </c>
      <c r="F1189" s="101">
        <v>1746</v>
      </c>
      <c r="G1189" s="101">
        <v>1991</v>
      </c>
      <c r="H1189" s="101">
        <v>109228.38</v>
      </c>
      <c r="I1189" s="101">
        <v>30317.919999999998</v>
      </c>
      <c r="J1189" s="101">
        <v>7035</v>
      </c>
      <c r="K1189" s="101">
        <v>7589</v>
      </c>
      <c r="L1189" s="101">
        <v>8416</v>
      </c>
      <c r="M1189" s="101">
        <v>368759.63</v>
      </c>
      <c r="N1189" s="101">
        <v>73229.69</v>
      </c>
      <c r="O1189" s="127">
        <v>5461</v>
      </c>
      <c r="P1189" s="127">
        <v>5920</v>
      </c>
      <c r="Q1189" s="127">
        <v>6407</v>
      </c>
      <c r="R1189" s="127">
        <v>295887</v>
      </c>
      <c r="S1189" s="127">
        <v>65549</v>
      </c>
      <c r="T1189" s="169">
        <v>1.02</v>
      </c>
      <c r="U1189" s="127">
        <f t="shared" si="100"/>
        <v>5570.22</v>
      </c>
      <c r="V1189" s="127">
        <f t="shared" si="101"/>
        <v>6038.4000000000005</v>
      </c>
      <c r="W1189" s="127">
        <f t="shared" si="102"/>
        <v>6535.14</v>
      </c>
      <c r="X1189" s="127">
        <f t="shared" si="103"/>
        <v>301804.74</v>
      </c>
      <c r="Y1189" s="127">
        <f t="shared" si="104"/>
        <v>66859.98</v>
      </c>
    </row>
    <row r="1190" spans="1:25" ht="11.25" hidden="1" customHeight="1" x14ac:dyDescent="0.3">
      <c r="A1190" s="126" t="s">
        <v>188</v>
      </c>
      <c r="B1190" s="126">
        <v>50</v>
      </c>
      <c r="C1190" s="126">
        <v>28</v>
      </c>
      <c r="D1190" s="126" t="str">
        <f t="shared" si="105"/>
        <v>5028</v>
      </c>
      <c r="E1190" s="101">
        <v>519</v>
      </c>
      <c r="F1190" s="101">
        <v>5407</v>
      </c>
      <c r="G1190" s="101">
        <v>52474</v>
      </c>
      <c r="H1190" s="101">
        <v>1835632.9</v>
      </c>
      <c r="I1190" s="101">
        <v>470116.85000000003</v>
      </c>
      <c r="J1190" s="101">
        <v>826</v>
      </c>
      <c r="K1190" s="101">
        <v>5587</v>
      </c>
      <c r="L1190" s="101">
        <v>52040</v>
      </c>
      <c r="M1190" s="101">
        <v>926517.6</v>
      </c>
      <c r="N1190" s="101">
        <v>189884.448</v>
      </c>
      <c r="O1190" s="127">
        <v>420</v>
      </c>
      <c r="P1190" s="127">
        <v>8744</v>
      </c>
      <c r="Q1190" s="127">
        <v>61247</v>
      </c>
      <c r="R1190" s="127">
        <v>1341680</v>
      </c>
      <c r="S1190" s="127">
        <v>289980</v>
      </c>
      <c r="T1190" s="169">
        <v>1.02</v>
      </c>
      <c r="U1190" s="127">
        <v>248</v>
      </c>
      <c r="V1190" s="127">
        <v>1560</v>
      </c>
      <c r="W1190" s="127">
        <v>4936</v>
      </c>
      <c r="X1190" s="144">
        <f t="shared" si="103"/>
        <v>1368513.6</v>
      </c>
      <c r="Y1190" s="127">
        <v>36945</v>
      </c>
    </row>
    <row r="1191" spans="1:25" ht="11.25" hidden="1" customHeight="1" x14ac:dyDescent="0.3">
      <c r="A1191" s="126" t="s">
        <v>188</v>
      </c>
      <c r="B1191" s="126">
        <v>50</v>
      </c>
      <c r="C1191" s="126">
        <v>46</v>
      </c>
      <c r="D1191" s="126" t="str">
        <f t="shared" si="105"/>
        <v>5046</v>
      </c>
      <c r="E1191" s="101">
        <v>486</v>
      </c>
      <c r="F1191" s="101">
        <v>1126</v>
      </c>
      <c r="G1191" s="101">
        <v>24902</v>
      </c>
      <c r="H1191" s="101">
        <v>455212.27999999997</v>
      </c>
      <c r="I1191" s="101">
        <v>154845.71400000001</v>
      </c>
      <c r="J1191" s="101">
        <v>331</v>
      </c>
      <c r="K1191" s="101">
        <v>813</v>
      </c>
      <c r="L1191" s="101">
        <v>12425</v>
      </c>
      <c r="M1191" s="101">
        <v>193091</v>
      </c>
      <c r="N1191" s="101">
        <v>81702.183000000005</v>
      </c>
      <c r="O1191" s="127">
        <v>498</v>
      </c>
      <c r="P1191" s="127">
        <v>1004</v>
      </c>
      <c r="Q1191" s="127">
        <v>30949</v>
      </c>
      <c r="R1191" s="127">
        <v>486653</v>
      </c>
      <c r="S1191" s="127">
        <v>196180</v>
      </c>
      <c r="T1191" s="169">
        <v>1.02</v>
      </c>
      <c r="U1191" s="127">
        <f t="shared" si="100"/>
        <v>507.96000000000004</v>
      </c>
      <c r="V1191" s="127">
        <f t="shared" si="101"/>
        <v>1024.08</v>
      </c>
      <c r="W1191" s="127">
        <f t="shared" si="102"/>
        <v>31567.98</v>
      </c>
      <c r="X1191" s="127">
        <f t="shared" si="103"/>
        <v>496386.06</v>
      </c>
      <c r="Y1191" s="127">
        <f t="shared" si="104"/>
        <v>200103.6</v>
      </c>
    </row>
    <row r="1192" spans="1:25" ht="11.25" hidden="1" customHeight="1" x14ac:dyDescent="0.3">
      <c r="A1192" s="126" t="s">
        <v>188</v>
      </c>
      <c r="B1192" s="126">
        <v>50</v>
      </c>
      <c r="C1192" s="126">
        <v>66</v>
      </c>
      <c r="D1192" s="126" t="str">
        <f t="shared" si="105"/>
        <v>5066</v>
      </c>
      <c r="E1192" s="101">
        <v>729</v>
      </c>
      <c r="F1192" s="101">
        <v>2924</v>
      </c>
      <c r="G1192" s="101">
        <v>66770</v>
      </c>
      <c r="H1192" s="101">
        <v>447189.26</v>
      </c>
      <c r="I1192" s="101">
        <v>225014.31000000003</v>
      </c>
      <c r="J1192" s="101">
        <v>380</v>
      </c>
      <c r="K1192" s="101">
        <v>2371</v>
      </c>
      <c r="L1192" s="101">
        <v>54490</v>
      </c>
      <c r="M1192" s="101">
        <v>403867.59</v>
      </c>
      <c r="N1192" s="101">
        <v>276584.83899999998</v>
      </c>
      <c r="O1192" s="127">
        <v>414</v>
      </c>
      <c r="P1192" s="127">
        <v>2390</v>
      </c>
      <c r="Q1192" s="127">
        <v>44289</v>
      </c>
      <c r="R1192" s="127">
        <v>267325</v>
      </c>
      <c r="S1192" s="127">
        <v>129343</v>
      </c>
      <c r="T1192" s="169">
        <v>1.02</v>
      </c>
      <c r="U1192" s="127">
        <f t="shared" si="100"/>
        <v>422.28000000000003</v>
      </c>
      <c r="V1192" s="127">
        <f t="shared" si="101"/>
        <v>2437.8000000000002</v>
      </c>
      <c r="W1192" s="127">
        <f t="shared" si="102"/>
        <v>45174.78</v>
      </c>
      <c r="X1192" s="127">
        <f t="shared" si="103"/>
        <v>272671.5</v>
      </c>
      <c r="Y1192" s="127">
        <f t="shared" si="104"/>
        <v>131929.86000000002</v>
      </c>
    </row>
    <row r="1193" spans="1:25" ht="11.25" hidden="1" customHeight="1" x14ac:dyDescent="0.3">
      <c r="A1193" s="126" t="s">
        <v>188</v>
      </c>
      <c r="B1193" s="126">
        <v>50</v>
      </c>
      <c r="C1193" s="126">
        <v>30</v>
      </c>
      <c r="D1193" s="126" t="str">
        <f t="shared" si="105"/>
        <v>5030</v>
      </c>
      <c r="E1193" s="101">
        <v>737</v>
      </c>
      <c r="F1193" s="101">
        <v>6090</v>
      </c>
      <c r="G1193" s="101">
        <v>26875</v>
      </c>
      <c r="H1193" s="101">
        <v>790223.64500000002</v>
      </c>
      <c r="I1193" s="101">
        <v>234942.54149999999</v>
      </c>
      <c r="J1193" s="101">
        <v>0</v>
      </c>
      <c r="K1193" s="101">
        <v>0</v>
      </c>
      <c r="L1193" s="101">
        <v>0</v>
      </c>
      <c r="M1193" s="101">
        <v>0</v>
      </c>
      <c r="N1193" s="101">
        <v>0</v>
      </c>
      <c r="O1193" s="127">
        <v>142</v>
      </c>
      <c r="P1193" s="127">
        <v>280</v>
      </c>
      <c r="Q1193" s="127">
        <v>920</v>
      </c>
      <c r="R1193" s="127">
        <v>31712</v>
      </c>
      <c r="S1193" s="127">
        <v>16776</v>
      </c>
      <c r="T1193" s="169">
        <v>1.02</v>
      </c>
      <c r="U1193" s="127">
        <f t="shared" si="100"/>
        <v>144.84</v>
      </c>
      <c r="V1193" s="127">
        <f t="shared" si="101"/>
        <v>285.60000000000002</v>
      </c>
      <c r="W1193" s="127">
        <f t="shared" si="102"/>
        <v>938.4</v>
      </c>
      <c r="X1193" s="127">
        <f t="shared" si="103"/>
        <v>32346.240000000002</v>
      </c>
      <c r="Y1193" s="127">
        <f t="shared" si="104"/>
        <v>17111.52</v>
      </c>
    </row>
    <row r="1194" spans="1:25" ht="11.25" hidden="1" customHeight="1" x14ac:dyDescent="0.3">
      <c r="A1194" s="126" t="s">
        <v>188</v>
      </c>
      <c r="B1194" s="126">
        <v>50</v>
      </c>
      <c r="C1194" s="126">
        <v>21</v>
      </c>
      <c r="D1194" s="126" t="str">
        <f t="shared" si="105"/>
        <v>5021</v>
      </c>
      <c r="E1194" s="101">
        <v>1867</v>
      </c>
      <c r="F1194" s="101">
        <v>7896</v>
      </c>
      <c r="G1194" s="101">
        <v>38626</v>
      </c>
      <c r="H1194" s="101">
        <v>662975.47499999998</v>
      </c>
      <c r="I1194" s="101">
        <v>180282.88499999998</v>
      </c>
      <c r="J1194" s="101">
        <v>2027</v>
      </c>
      <c r="K1194" s="101">
        <v>12706</v>
      </c>
      <c r="L1194" s="101">
        <v>60993</v>
      </c>
      <c r="M1194" s="101">
        <v>915460.23</v>
      </c>
      <c r="N1194" s="101">
        <v>252396.47200000001</v>
      </c>
      <c r="O1194" s="127">
        <v>1963</v>
      </c>
      <c r="P1194" s="127">
        <v>12577</v>
      </c>
      <c r="Q1194" s="127">
        <v>51081</v>
      </c>
      <c r="R1194" s="127">
        <v>747438</v>
      </c>
      <c r="S1194" s="127">
        <v>212255</v>
      </c>
      <c r="T1194" s="169">
        <v>1.02</v>
      </c>
      <c r="U1194" s="127"/>
      <c r="V1194" s="127"/>
      <c r="W1194" s="127"/>
      <c r="X1194" s="127"/>
      <c r="Y1194" s="127"/>
    </row>
    <row r="1195" spans="1:25" ht="11.25" hidden="1" customHeight="1" x14ac:dyDescent="0.3">
      <c r="A1195" s="126" t="s">
        <v>188</v>
      </c>
      <c r="B1195" s="126">
        <v>50</v>
      </c>
      <c r="C1195" s="126">
        <v>71</v>
      </c>
      <c r="D1195" s="126" t="str">
        <f t="shared" si="105"/>
        <v>5071</v>
      </c>
      <c r="E1195" s="101">
        <v>702.5</v>
      </c>
      <c r="F1195" s="101">
        <v>12086.5</v>
      </c>
      <c r="G1195" s="101">
        <v>43281</v>
      </c>
      <c r="H1195" s="101">
        <v>386607.46500000003</v>
      </c>
      <c r="I1195" s="101">
        <v>217053.49099999998</v>
      </c>
      <c r="J1195" s="101">
        <v>694</v>
      </c>
      <c r="K1195" s="101">
        <v>11385</v>
      </c>
      <c r="L1195" s="101">
        <v>41158</v>
      </c>
      <c r="M1195" s="101">
        <v>457750.31</v>
      </c>
      <c r="N1195" s="101">
        <v>188464.84400000001</v>
      </c>
      <c r="O1195" s="127">
        <v>354</v>
      </c>
      <c r="P1195" s="127">
        <v>8126</v>
      </c>
      <c r="Q1195" s="127">
        <v>26611</v>
      </c>
      <c r="R1195" s="127">
        <v>210754</v>
      </c>
      <c r="S1195" s="127">
        <v>127777</v>
      </c>
      <c r="T1195" s="169">
        <v>0.98</v>
      </c>
      <c r="U1195" s="127">
        <v>571</v>
      </c>
      <c r="V1195" s="127">
        <v>19095</v>
      </c>
      <c r="W1195" s="127">
        <v>59717</v>
      </c>
      <c r="X1195" s="127">
        <v>514017</v>
      </c>
      <c r="Y1195" s="127">
        <v>258783</v>
      </c>
    </row>
    <row r="1196" spans="1:25" ht="11.25" hidden="1" customHeight="1" x14ac:dyDescent="0.3">
      <c r="A1196" s="126" t="s">
        <v>188</v>
      </c>
      <c r="B1196" s="126">
        <v>50</v>
      </c>
      <c r="C1196" s="126">
        <v>25</v>
      </c>
      <c r="D1196" s="126" t="str">
        <f t="shared" si="105"/>
        <v>5025</v>
      </c>
      <c r="E1196" s="101">
        <v>1653</v>
      </c>
      <c r="F1196" s="101">
        <v>12432</v>
      </c>
      <c r="G1196" s="101">
        <v>51675</v>
      </c>
      <c r="H1196" s="101">
        <v>650379.27000000014</v>
      </c>
      <c r="I1196" s="101">
        <v>272582.09700000007</v>
      </c>
      <c r="J1196" s="101">
        <v>906</v>
      </c>
      <c r="K1196" s="101">
        <v>9153</v>
      </c>
      <c r="L1196" s="101">
        <v>46961</v>
      </c>
      <c r="M1196" s="101">
        <v>609590.73</v>
      </c>
      <c r="N1196" s="101">
        <v>267496.24800000002</v>
      </c>
      <c r="O1196" s="127">
        <v>1124</v>
      </c>
      <c r="P1196" s="127">
        <v>9555</v>
      </c>
      <c r="Q1196" s="127">
        <v>34537</v>
      </c>
      <c r="R1196" s="127">
        <v>353196</v>
      </c>
      <c r="S1196" s="127">
        <v>198732</v>
      </c>
      <c r="T1196" s="169">
        <v>1.02</v>
      </c>
      <c r="U1196" s="127">
        <f t="shared" si="100"/>
        <v>1146.48</v>
      </c>
      <c r="V1196" s="127">
        <f>P1196*T1196</f>
        <v>9746.1</v>
      </c>
      <c r="W1196" s="127">
        <f t="shared" si="102"/>
        <v>35227.74</v>
      </c>
      <c r="X1196" s="127">
        <f t="shared" si="103"/>
        <v>360259.92</v>
      </c>
      <c r="Y1196" s="127">
        <f t="shared" si="104"/>
        <v>202706.64</v>
      </c>
    </row>
    <row r="1197" spans="1:25" ht="11.25" hidden="1" customHeight="1" x14ac:dyDescent="0.3">
      <c r="A1197" s="126" t="s">
        <v>188</v>
      </c>
      <c r="B1197" s="126">
        <v>50</v>
      </c>
      <c r="C1197" s="126">
        <v>22</v>
      </c>
      <c r="D1197" s="126" t="str">
        <f t="shared" si="105"/>
        <v>5022</v>
      </c>
      <c r="J1197" s="101">
        <v>25</v>
      </c>
      <c r="K1197" s="101">
        <v>32</v>
      </c>
      <c r="L1197" s="101">
        <v>590</v>
      </c>
      <c r="M1197" s="101">
        <v>3830.51</v>
      </c>
      <c r="N1197" s="101">
        <v>3077.8249999999998</v>
      </c>
      <c r="O1197" s="127">
        <v>5</v>
      </c>
      <c r="P1197" s="127">
        <v>5</v>
      </c>
      <c r="Q1197" s="127">
        <v>31</v>
      </c>
      <c r="R1197" s="127">
        <v>212</v>
      </c>
      <c r="S1197" s="127">
        <v>139</v>
      </c>
      <c r="T1197" s="169">
        <v>1.02</v>
      </c>
      <c r="U1197" s="127">
        <f t="shared" si="100"/>
        <v>5.0999999999999996</v>
      </c>
      <c r="V1197" s="127">
        <f t="shared" si="101"/>
        <v>5.0999999999999996</v>
      </c>
      <c r="W1197" s="127">
        <f t="shared" si="102"/>
        <v>31.62</v>
      </c>
      <c r="X1197" s="127">
        <f t="shared" si="103"/>
        <v>216.24</v>
      </c>
      <c r="Y1197" s="127">
        <f t="shared" si="104"/>
        <v>141.78</v>
      </c>
    </row>
    <row r="1198" spans="1:25" ht="11.25" hidden="1" customHeight="1" x14ac:dyDescent="0.3">
      <c r="A1198" s="126" t="s">
        <v>188</v>
      </c>
      <c r="B1198" s="126">
        <v>50</v>
      </c>
      <c r="C1198" s="126">
        <v>26</v>
      </c>
      <c r="D1198" s="126" t="str">
        <f t="shared" si="105"/>
        <v>5026</v>
      </c>
      <c r="J1198" s="101">
        <v>1</v>
      </c>
      <c r="K1198" s="101">
        <v>3</v>
      </c>
      <c r="L1198" s="101">
        <v>12</v>
      </c>
      <c r="M1198" s="101">
        <v>315.7</v>
      </c>
      <c r="N1198" s="101">
        <v>73.912000000000006</v>
      </c>
      <c r="O1198" s="127">
        <v>1</v>
      </c>
      <c r="P1198" s="127">
        <v>1</v>
      </c>
      <c r="Q1198" s="127">
        <v>1</v>
      </c>
      <c r="R1198" s="127">
        <v>0</v>
      </c>
      <c r="S1198" s="127">
        <v>14</v>
      </c>
      <c r="T1198" s="169">
        <v>1.02</v>
      </c>
      <c r="U1198" s="127">
        <f t="shared" si="100"/>
        <v>1.02</v>
      </c>
      <c r="V1198" s="127">
        <f t="shared" si="101"/>
        <v>1.02</v>
      </c>
      <c r="W1198" s="127">
        <f t="shared" si="102"/>
        <v>1.02</v>
      </c>
      <c r="X1198" s="127">
        <f t="shared" si="103"/>
        <v>0</v>
      </c>
      <c r="Y1198" s="127">
        <f t="shared" si="104"/>
        <v>14.280000000000001</v>
      </c>
    </row>
    <row r="1199" spans="1:25" ht="11.25" hidden="1" customHeight="1" x14ac:dyDescent="0.3">
      <c r="A1199" s="126" t="s">
        <v>188</v>
      </c>
      <c r="B1199" s="126">
        <v>50</v>
      </c>
      <c r="C1199" s="126">
        <v>32</v>
      </c>
      <c r="D1199" s="126" t="str">
        <f t="shared" si="105"/>
        <v>5032</v>
      </c>
      <c r="J1199" s="101">
        <v>105</v>
      </c>
      <c r="K1199" s="101">
        <v>130</v>
      </c>
      <c r="L1199" s="101">
        <v>3285</v>
      </c>
      <c r="M1199" s="101">
        <v>8257.7199999999993</v>
      </c>
      <c r="N1199" s="101">
        <v>16626.383000000002</v>
      </c>
      <c r="O1199" s="127">
        <v>57</v>
      </c>
      <c r="P1199" s="127">
        <v>125</v>
      </c>
      <c r="Q1199" s="127">
        <v>1274</v>
      </c>
      <c r="R1199" s="127">
        <v>14418</v>
      </c>
      <c r="S1199" s="127">
        <v>5955</v>
      </c>
      <c r="T1199" s="169">
        <v>1.02</v>
      </c>
      <c r="U1199" s="127">
        <f t="shared" si="100"/>
        <v>58.14</v>
      </c>
      <c r="V1199" s="127">
        <f t="shared" si="101"/>
        <v>127.5</v>
      </c>
      <c r="W1199" s="127">
        <f t="shared" si="102"/>
        <v>1299.48</v>
      </c>
      <c r="X1199" s="127">
        <f t="shared" si="103"/>
        <v>14706.36</v>
      </c>
      <c r="Y1199" s="127">
        <f t="shared" si="104"/>
        <v>6074.1</v>
      </c>
    </row>
    <row r="1200" spans="1:25" ht="11.25" hidden="1" customHeight="1" x14ac:dyDescent="0.3">
      <c r="A1200" s="126" t="s">
        <v>188</v>
      </c>
      <c r="B1200" s="126">
        <v>50</v>
      </c>
      <c r="C1200" s="126">
        <v>43</v>
      </c>
      <c r="D1200" s="126" t="str">
        <f t="shared" si="105"/>
        <v>5043</v>
      </c>
      <c r="J1200" s="101">
        <v>0</v>
      </c>
      <c r="K1200" s="101">
        <v>0</v>
      </c>
      <c r="L1200" s="101">
        <v>0</v>
      </c>
      <c r="M1200" s="101">
        <v>0</v>
      </c>
      <c r="N1200" s="101">
        <v>0</v>
      </c>
      <c r="O1200" s="127">
        <v>0</v>
      </c>
      <c r="P1200" s="127">
        <v>0</v>
      </c>
      <c r="Q1200" s="127">
        <v>0</v>
      </c>
      <c r="R1200" s="127">
        <v>0</v>
      </c>
      <c r="S1200" s="127">
        <v>0</v>
      </c>
      <c r="T1200" s="169">
        <v>1.02</v>
      </c>
      <c r="U1200" s="127">
        <f t="shared" si="100"/>
        <v>0</v>
      </c>
      <c r="V1200" s="127">
        <f t="shared" si="101"/>
        <v>0</v>
      </c>
      <c r="W1200" s="127">
        <f t="shared" si="102"/>
        <v>0</v>
      </c>
      <c r="X1200" s="127">
        <f t="shared" si="103"/>
        <v>0</v>
      </c>
      <c r="Y1200" s="127">
        <f t="shared" si="104"/>
        <v>0</v>
      </c>
    </row>
    <row r="1201" spans="1:25" ht="11.25" hidden="1" customHeight="1" x14ac:dyDescent="0.3">
      <c r="A1201" s="126" t="s">
        <v>188</v>
      </c>
      <c r="B1201" s="126">
        <v>50</v>
      </c>
      <c r="C1201" s="126">
        <v>44</v>
      </c>
      <c r="D1201" s="126" t="str">
        <f t="shared" si="105"/>
        <v>5044</v>
      </c>
      <c r="J1201" s="101">
        <v>0</v>
      </c>
      <c r="K1201" s="101">
        <v>0</v>
      </c>
      <c r="L1201" s="101">
        <v>0</v>
      </c>
      <c r="M1201" s="101">
        <v>0</v>
      </c>
      <c r="N1201" s="101">
        <v>0</v>
      </c>
      <c r="O1201" s="127">
        <v>0</v>
      </c>
      <c r="P1201" s="127">
        <v>0</v>
      </c>
      <c r="Q1201" s="127">
        <v>0</v>
      </c>
      <c r="R1201" s="127">
        <v>0</v>
      </c>
      <c r="S1201" s="127">
        <v>0</v>
      </c>
      <c r="T1201" s="169">
        <v>1.02</v>
      </c>
      <c r="U1201" s="127">
        <f t="shared" si="100"/>
        <v>0</v>
      </c>
      <c r="V1201" s="127">
        <f t="shared" si="101"/>
        <v>0</v>
      </c>
      <c r="W1201" s="127">
        <f t="shared" si="102"/>
        <v>0</v>
      </c>
      <c r="X1201" s="127">
        <f t="shared" si="103"/>
        <v>0</v>
      </c>
      <c r="Y1201" s="127">
        <f t="shared" si="104"/>
        <v>0</v>
      </c>
    </row>
    <row r="1202" spans="1:25" ht="11.25" hidden="1" customHeight="1" x14ac:dyDescent="0.3">
      <c r="A1202" s="126" t="s">
        <v>188</v>
      </c>
      <c r="B1202" s="126">
        <v>50</v>
      </c>
      <c r="C1202" s="126">
        <v>45</v>
      </c>
      <c r="D1202" s="126" t="str">
        <f t="shared" si="105"/>
        <v>5045</v>
      </c>
      <c r="J1202" s="101">
        <v>0</v>
      </c>
      <c r="K1202" s="101">
        <v>0</v>
      </c>
      <c r="L1202" s="101">
        <v>0</v>
      </c>
      <c r="M1202" s="101">
        <v>0</v>
      </c>
      <c r="N1202" s="101">
        <v>0</v>
      </c>
      <c r="O1202" s="127">
        <v>0</v>
      </c>
      <c r="P1202" s="127">
        <v>0</v>
      </c>
      <c r="Q1202" s="127">
        <v>0</v>
      </c>
      <c r="R1202" s="127">
        <v>0</v>
      </c>
      <c r="S1202" s="127">
        <v>0</v>
      </c>
      <c r="T1202" s="169">
        <v>1.02</v>
      </c>
      <c r="U1202" s="127">
        <f t="shared" si="100"/>
        <v>0</v>
      </c>
      <c r="V1202" s="127">
        <f t="shared" si="101"/>
        <v>0</v>
      </c>
      <c r="W1202" s="127">
        <f t="shared" si="102"/>
        <v>0</v>
      </c>
      <c r="X1202" s="127">
        <f t="shared" si="103"/>
        <v>0</v>
      </c>
      <c r="Y1202" s="127">
        <f t="shared" si="104"/>
        <v>0</v>
      </c>
    </row>
    <row r="1203" spans="1:25" ht="11.25" hidden="1" customHeight="1" x14ac:dyDescent="0.3">
      <c r="A1203" s="126" t="s">
        <v>188</v>
      </c>
      <c r="B1203" s="126">
        <v>50</v>
      </c>
      <c r="C1203" s="126">
        <v>47</v>
      </c>
      <c r="D1203" s="126" t="str">
        <f t="shared" si="105"/>
        <v>5047</v>
      </c>
      <c r="J1203" s="101">
        <v>0</v>
      </c>
      <c r="K1203" s="101">
        <v>0</v>
      </c>
      <c r="L1203" s="101">
        <v>0</v>
      </c>
      <c r="M1203" s="101">
        <v>0</v>
      </c>
      <c r="N1203" s="101">
        <v>0</v>
      </c>
      <c r="O1203" s="127">
        <v>6</v>
      </c>
      <c r="P1203" s="127">
        <v>20</v>
      </c>
      <c r="Q1203" s="127">
        <v>3137</v>
      </c>
      <c r="R1203" s="127">
        <v>57497</v>
      </c>
      <c r="S1203" s="127">
        <v>9143</v>
      </c>
      <c r="T1203" s="169">
        <v>1.02</v>
      </c>
      <c r="U1203" s="127">
        <f t="shared" si="100"/>
        <v>6.12</v>
      </c>
      <c r="V1203" s="127">
        <f t="shared" si="101"/>
        <v>20.399999999999999</v>
      </c>
      <c r="W1203" s="127">
        <f t="shared" si="102"/>
        <v>3199.7400000000002</v>
      </c>
      <c r="X1203" s="127">
        <f t="shared" si="103"/>
        <v>58646.94</v>
      </c>
      <c r="Y1203" s="127">
        <f t="shared" si="104"/>
        <v>9325.86</v>
      </c>
    </row>
    <row r="1204" spans="1:25" ht="11.25" hidden="1" customHeight="1" x14ac:dyDescent="0.3">
      <c r="A1204" s="126" t="s">
        <v>188</v>
      </c>
      <c r="B1204" s="126">
        <v>50</v>
      </c>
      <c r="C1204" s="126">
        <v>91</v>
      </c>
      <c r="D1204" s="126" t="str">
        <f t="shared" si="105"/>
        <v>5091</v>
      </c>
      <c r="J1204" s="101">
        <v>55</v>
      </c>
      <c r="K1204" s="101">
        <v>274</v>
      </c>
      <c r="L1204" s="101">
        <v>1793</v>
      </c>
      <c r="M1204" s="101">
        <v>14033.31</v>
      </c>
      <c r="N1204" s="101">
        <v>6296.4849999999997</v>
      </c>
      <c r="O1204" s="127">
        <v>51</v>
      </c>
      <c r="P1204" s="127">
        <v>158</v>
      </c>
      <c r="Q1204" s="127">
        <v>1646</v>
      </c>
      <c r="R1204" s="127">
        <v>7913</v>
      </c>
      <c r="S1204" s="127">
        <v>3704</v>
      </c>
      <c r="T1204" s="169">
        <v>1.02</v>
      </c>
      <c r="U1204" s="127">
        <f t="shared" si="100"/>
        <v>52.02</v>
      </c>
      <c r="V1204" s="127">
        <f t="shared" si="101"/>
        <v>161.16</v>
      </c>
      <c r="W1204" s="127">
        <f t="shared" si="102"/>
        <v>1678.92</v>
      </c>
      <c r="X1204" s="127">
        <f t="shared" si="103"/>
        <v>8071.26</v>
      </c>
      <c r="Y1204" s="127">
        <f t="shared" si="104"/>
        <v>3778.08</v>
      </c>
    </row>
    <row r="1205" spans="1:25" ht="11.25" hidden="1" customHeight="1" x14ac:dyDescent="0.3">
      <c r="A1205" s="126" t="s">
        <v>188</v>
      </c>
      <c r="B1205" s="126">
        <v>50</v>
      </c>
      <c r="C1205" s="126">
        <v>48</v>
      </c>
      <c r="D1205" s="126" t="str">
        <f t="shared" si="105"/>
        <v>5048</v>
      </c>
      <c r="J1205" s="101">
        <v>0</v>
      </c>
      <c r="K1205" s="101">
        <v>0</v>
      </c>
      <c r="L1205" s="101">
        <v>0</v>
      </c>
      <c r="M1205" s="101">
        <v>0</v>
      </c>
      <c r="N1205" s="101">
        <v>0</v>
      </c>
      <c r="O1205" s="127">
        <v>0</v>
      </c>
      <c r="P1205" s="127">
        <v>0</v>
      </c>
      <c r="Q1205" s="127">
        <v>0</v>
      </c>
      <c r="R1205" s="127">
        <v>0</v>
      </c>
      <c r="S1205" s="127">
        <v>0</v>
      </c>
      <c r="T1205" s="169">
        <v>1.02</v>
      </c>
      <c r="U1205" s="127">
        <f t="shared" si="100"/>
        <v>0</v>
      </c>
      <c r="V1205" s="127">
        <f t="shared" si="101"/>
        <v>0</v>
      </c>
      <c r="W1205" s="127">
        <f t="shared" si="102"/>
        <v>0</v>
      </c>
      <c r="X1205" s="127">
        <f t="shared" si="103"/>
        <v>0</v>
      </c>
      <c r="Y1205" s="127">
        <f t="shared" si="104"/>
        <v>0</v>
      </c>
    </row>
    <row r="1206" spans="1:25" ht="11.25" hidden="1" customHeight="1" x14ac:dyDescent="0.3">
      <c r="A1206" s="126" t="s">
        <v>188</v>
      </c>
      <c r="B1206" s="126">
        <v>50</v>
      </c>
      <c r="C1206" s="126">
        <v>27</v>
      </c>
      <c r="D1206" s="126" t="str">
        <f t="shared" si="105"/>
        <v>5027</v>
      </c>
      <c r="E1206" s="101">
        <v>111</v>
      </c>
      <c r="F1206" s="101">
        <v>2902</v>
      </c>
      <c r="G1206" s="101">
        <v>19106</v>
      </c>
      <c r="H1206" s="101">
        <v>201637.11000000002</v>
      </c>
      <c r="I1206" s="101">
        <v>76364.134999999995</v>
      </c>
      <c r="J1206" s="101">
        <v>89</v>
      </c>
      <c r="K1206" s="101">
        <v>4460</v>
      </c>
      <c r="L1206" s="101">
        <v>21348</v>
      </c>
      <c r="M1206" s="101">
        <v>257138.79</v>
      </c>
      <c r="N1206" s="101">
        <v>98140.714000000007</v>
      </c>
      <c r="O1206" s="127">
        <v>86</v>
      </c>
      <c r="P1206" s="127">
        <v>3029</v>
      </c>
      <c r="Q1206" s="127">
        <v>13004</v>
      </c>
      <c r="R1206" s="127">
        <v>113715</v>
      </c>
      <c r="S1206" s="127">
        <v>54471</v>
      </c>
      <c r="T1206" s="169">
        <v>1.02</v>
      </c>
      <c r="U1206" s="127">
        <f t="shared" si="100"/>
        <v>87.72</v>
      </c>
      <c r="V1206" s="127">
        <f t="shared" si="101"/>
        <v>3089.58</v>
      </c>
      <c r="W1206" s="127">
        <f t="shared" si="102"/>
        <v>13264.08</v>
      </c>
      <c r="X1206" s="127">
        <f t="shared" si="103"/>
        <v>115989.3</v>
      </c>
      <c r="Y1206" s="127">
        <f t="shared" si="104"/>
        <v>55560.42</v>
      </c>
    </row>
    <row r="1207" spans="1:25" ht="11.25" hidden="1" customHeight="1" x14ac:dyDescent="0.3">
      <c r="A1207" s="126" t="s">
        <v>188</v>
      </c>
      <c r="B1207" s="126">
        <v>50</v>
      </c>
      <c r="C1207" s="126">
        <v>41</v>
      </c>
      <c r="D1207" s="126" t="str">
        <f t="shared" si="105"/>
        <v>5041</v>
      </c>
      <c r="J1207" s="101">
        <v>4</v>
      </c>
      <c r="K1207" s="101">
        <v>6</v>
      </c>
      <c r="L1207" s="101">
        <v>32</v>
      </c>
      <c r="M1207" s="101">
        <v>288.8</v>
      </c>
      <c r="N1207" s="101">
        <v>33.427</v>
      </c>
      <c r="O1207" s="127">
        <v>4</v>
      </c>
      <c r="P1207" s="127">
        <v>4</v>
      </c>
      <c r="Q1207" s="127">
        <v>7</v>
      </c>
      <c r="R1207" s="127">
        <v>256</v>
      </c>
      <c r="S1207" s="127">
        <v>47</v>
      </c>
      <c r="T1207" s="169">
        <v>1.02</v>
      </c>
      <c r="U1207" s="127">
        <f t="shared" si="100"/>
        <v>4.08</v>
      </c>
      <c r="V1207" s="127">
        <f t="shared" si="101"/>
        <v>4.08</v>
      </c>
      <c r="W1207" s="127">
        <f t="shared" si="102"/>
        <v>7.1400000000000006</v>
      </c>
      <c r="X1207" s="127">
        <f t="shared" si="103"/>
        <v>261.12</v>
      </c>
      <c r="Y1207" s="127">
        <f t="shared" si="104"/>
        <v>47.94</v>
      </c>
    </row>
    <row r="1208" spans="1:25" ht="11.25" customHeight="1" x14ac:dyDescent="0.3">
      <c r="A1208" s="126" t="s">
        <v>188</v>
      </c>
      <c r="B1208" s="126">
        <v>50</v>
      </c>
      <c r="C1208" s="126" t="s">
        <v>172</v>
      </c>
      <c r="D1208" s="126" t="str">
        <f t="shared" si="105"/>
        <v>50Uml</v>
      </c>
      <c r="J1208" s="101">
        <v>433</v>
      </c>
      <c r="K1208" s="101">
        <v>437</v>
      </c>
      <c r="L1208" s="101">
        <v>50439</v>
      </c>
      <c r="N1208" s="101">
        <v>175289</v>
      </c>
      <c r="O1208" s="127">
        <v>389</v>
      </c>
      <c r="P1208" s="127">
        <v>416</v>
      </c>
      <c r="Q1208" s="127">
        <v>74752</v>
      </c>
      <c r="R1208" s="127"/>
      <c r="S1208" s="127">
        <v>227747</v>
      </c>
      <c r="T1208" s="169">
        <v>1.02</v>
      </c>
      <c r="U1208" s="127">
        <f t="shared" si="100"/>
        <v>396.78000000000003</v>
      </c>
      <c r="V1208" s="127">
        <f t="shared" si="101"/>
        <v>424.32</v>
      </c>
      <c r="W1208" s="127">
        <f t="shared" si="102"/>
        <v>76247.040000000008</v>
      </c>
      <c r="X1208" s="127">
        <f t="shared" si="103"/>
        <v>0</v>
      </c>
      <c r="Y1208" s="127">
        <f t="shared" si="104"/>
        <v>232301.94</v>
      </c>
    </row>
    <row r="1209" spans="1:25" ht="11.25" hidden="1" customHeight="1" x14ac:dyDescent="0.3">
      <c r="A1209" s="126" t="s">
        <v>188</v>
      </c>
      <c r="B1209" s="126">
        <v>50</v>
      </c>
      <c r="C1209" s="126">
        <v>37</v>
      </c>
      <c r="D1209" s="126" t="str">
        <f t="shared" si="105"/>
        <v>5037</v>
      </c>
      <c r="E1209" s="101">
        <v>13</v>
      </c>
      <c r="F1209" s="101">
        <v>37.75</v>
      </c>
      <c r="G1209" s="101">
        <v>697</v>
      </c>
      <c r="H1209" s="101">
        <v>4111.1374999999998</v>
      </c>
      <c r="I1209" s="101">
        <v>3017.8357499999997</v>
      </c>
      <c r="J1209" s="101">
        <v>29</v>
      </c>
      <c r="K1209" s="101">
        <v>84</v>
      </c>
      <c r="L1209" s="101">
        <v>2442</v>
      </c>
      <c r="M1209" s="101">
        <v>17775.310000000001</v>
      </c>
      <c r="N1209" s="101">
        <v>9326.9339999999993</v>
      </c>
      <c r="O1209" s="127">
        <v>43</v>
      </c>
      <c r="P1209" s="127">
        <v>122</v>
      </c>
      <c r="Q1209" s="127">
        <v>2981</v>
      </c>
      <c r="R1209" s="127">
        <v>22536</v>
      </c>
      <c r="S1209" s="127">
        <v>14953</v>
      </c>
      <c r="T1209" s="169">
        <v>1.02</v>
      </c>
      <c r="U1209" s="127">
        <f t="shared" si="100"/>
        <v>43.86</v>
      </c>
      <c r="V1209" s="127">
        <f t="shared" si="101"/>
        <v>124.44</v>
      </c>
      <c r="W1209" s="127">
        <f t="shared" si="102"/>
        <v>3040.62</v>
      </c>
      <c r="X1209" s="127">
        <f t="shared" si="103"/>
        <v>22986.720000000001</v>
      </c>
      <c r="Y1209" s="127">
        <f t="shared" si="104"/>
        <v>15252.06</v>
      </c>
    </row>
    <row r="1210" spans="1:25" ht="11.25" hidden="1" customHeight="1" x14ac:dyDescent="0.3">
      <c r="A1210" s="126" t="s">
        <v>188</v>
      </c>
      <c r="B1210" s="126">
        <v>51</v>
      </c>
      <c r="C1210" s="126">
        <v>12</v>
      </c>
      <c r="D1210" s="126" t="str">
        <f t="shared" si="105"/>
        <v>5112</v>
      </c>
      <c r="E1210" s="101">
        <v>750</v>
      </c>
      <c r="F1210" s="101">
        <v>1123</v>
      </c>
      <c r="G1210" s="101">
        <v>1656</v>
      </c>
      <c r="H1210" s="101">
        <v>41511.259999999995</v>
      </c>
      <c r="I1210" s="101">
        <v>7702.6190000000006</v>
      </c>
      <c r="J1210" s="101">
        <v>9</v>
      </c>
      <c r="K1210" s="101">
        <v>11</v>
      </c>
      <c r="L1210" s="101">
        <v>12</v>
      </c>
      <c r="M1210" s="101">
        <v>238.42</v>
      </c>
      <c r="N1210" s="101">
        <v>65.204999999999998</v>
      </c>
      <c r="O1210" s="101">
        <v>9</v>
      </c>
      <c r="P1210" s="101">
        <v>12</v>
      </c>
      <c r="Q1210" s="101">
        <v>21</v>
      </c>
      <c r="R1210" s="101">
        <v>321.45999999999998</v>
      </c>
      <c r="S1210" s="101">
        <v>36.493000000000002</v>
      </c>
      <c r="T1210" s="169">
        <v>1.02</v>
      </c>
      <c r="U1210" s="127">
        <f t="shared" si="100"/>
        <v>9.18</v>
      </c>
      <c r="V1210" s="127">
        <f t="shared" si="101"/>
        <v>12.24</v>
      </c>
      <c r="W1210" s="127">
        <f t="shared" si="102"/>
        <v>21.42</v>
      </c>
      <c r="X1210" s="127">
        <f t="shared" si="103"/>
        <v>327.88919999999996</v>
      </c>
      <c r="Y1210" s="127">
        <f t="shared" si="104"/>
        <v>37.222860000000004</v>
      </c>
    </row>
    <row r="1211" spans="1:25" ht="11.25" hidden="1" customHeight="1" x14ac:dyDescent="0.3">
      <c r="A1211" s="126" t="s">
        <v>188</v>
      </c>
      <c r="B1211" s="126">
        <v>51</v>
      </c>
      <c r="C1211" s="126">
        <v>14</v>
      </c>
      <c r="D1211" s="126" t="str">
        <f t="shared" si="105"/>
        <v>5114</v>
      </c>
      <c r="E1211" s="101">
        <v>2</v>
      </c>
      <c r="F1211" s="101">
        <v>2</v>
      </c>
      <c r="G1211" s="101">
        <v>4</v>
      </c>
      <c r="H1211" s="101">
        <v>1343.22</v>
      </c>
      <c r="I1211" s="101">
        <v>238.97899999999998</v>
      </c>
      <c r="J1211" s="101">
        <v>62</v>
      </c>
      <c r="K1211" s="101">
        <v>85</v>
      </c>
      <c r="L1211" s="101">
        <v>137</v>
      </c>
      <c r="M1211" s="101">
        <v>8232.25</v>
      </c>
      <c r="N1211" s="101">
        <v>1116.99</v>
      </c>
      <c r="O1211" s="101">
        <v>159</v>
      </c>
      <c r="P1211" s="101">
        <v>195</v>
      </c>
      <c r="Q1211" s="101">
        <v>302</v>
      </c>
      <c r="R1211" s="101">
        <v>13819.95</v>
      </c>
      <c r="S1211" s="101">
        <v>1595.0909999999999</v>
      </c>
      <c r="T1211" s="169">
        <v>1.02</v>
      </c>
      <c r="U1211" s="127">
        <f t="shared" si="100"/>
        <v>162.18</v>
      </c>
      <c r="V1211" s="127">
        <f t="shared" si="101"/>
        <v>198.9</v>
      </c>
      <c r="W1211" s="127">
        <f t="shared" si="102"/>
        <v>308.04000000000002</v>
      </c>
      <c r="X1211" s="127">
        <f t="shared" si="103"/>
        <v>14096.349</v>
      </c>
      <c r="Y1211" s="127">
        <f t="shared" si="104"/>
        <v>1626.9928199999999</v>
      </c>
    </row>
    <row r="1212" spans="1:25" ht="11.25" hidden="1" customHeight="1" x14ac:dyDescent="0.3">
      <c r="A1212" s="126" t="s">
        <v>188</v>
      </c>
      <c r="B1212" s="126">
        <v>51</v>
      </c>
      <c r="C1212" s="126">
        <v>17</v>
      </c>
      <c r="D1212" s="126" t="str">
        <f t="shared" si="105"/>
        <v>5117</v>
      </c>
      <c r="E1212" s="101">
        <v>3593</v>
      </c>
      <c r="F1212" s="101">
        <v>4545</v>
      </c>
      <c r="G1212" s="101">
        <v>6030</v>
      </c>
      <c r="H1212" s="101">
        <v>256382.66</v>
      </c>
      <c r="I1212" s="101">
        <v>50221.229999999996</v>
      </c>
      <c r="J1212">
        <v>1413</v>
      </c>
      <c r="K1212">
        <v>2163</v>
      </c>
      <c r="L1212">
        <v>3118</v>
      </c>
      <c r="M1212" s="101">
        <v>98440.5</v>
      </c>
      <c r="N1212" s="101">
        <v>16421.742999999999</v>
      </c>
      <c r="O1212" s="101">
        <v>2257</v>
      </c>
      <c r="P1212" s="101">
        <v>3172</v>
      </c>
      <c r="Q1212" s="101">
        <v>4205</v>
      </c>
      <c r="R1212" s="101">
        <v>135037.53</v>
      </c>
      <c r="S1212" s="101">
        <v>22595.487000000001</v>
      </c>
      <c r="T1212" s="169">
        <v>1.02</v>
      </c>
      <c r="U1212" s="127">
        <v>3888</v>
      </c>
      <c r="V1212" s="127">
        <v>12785</v>
      </c>
      <c r="W1212" s="127">
        <v>15136</v>
      </c>
      <c r="X1212" s="127">
        <v>265380.53999999998</v>
      </c>
      <c r="Y1212" s="127">
        <v>50000</v>
      </c>
    </row>
    <row r="1213" spans="1:25" ht="11.25" hidden="1" customHeight="1" x14ac:dyDescent="0.3">
      <c r="A1213" s="126" t="s">
        <v>188</v>
      </c>
      <c r="B1213" s="126">
        <v>51</v>
      </c>
      <c r="C1213" s="126">
        <v>18</v>
      </c>
      <c r="D1213" s="126" t="str">
        <f t="shared" si="105"/>
        <v>5118</v>
      </c>
      <c r="E1213" s="101">
        <v>340</v>
      </c>
      <c r="F1213" s="101">
        <v>431</v>
      </c>
      <c r="G1213" s="101">
        <v>621</v>
      </c>
      <c r="H1213" s="101">
        <v>27470.57</v>
      </c>
      <c r="I1213" s="101">
        <v>4409.0159999999996</v>
      </c>
      <c r="J1213" s="101">
        <v>3036</v>
      </c>
      <c r="K1213" s="101">
        <v>3295</v>
      </c>
      <c r="L1213" s="101">
        <v>3627</v>
      </c>
      <c r="M1213" s="101">
        <v>176563.53</v>
      </c>
      <c r="N1213" s="101">
        <v>34228.57</v>
      </c>
      <c r="O1213" s="101">
        <v>3414</v>
      </c>
      <c r="P1213" s="101">
        <v>3694</v>
      </c>
      <c r="Q1213" s="101">
        <v>4073</v>
      </c>
      <c r="R1213" s="101">
        <v>202992</v>
      </c>
      <c r="S1213" s="101">
        <v>45409.48</v>
      </c>
      <c r="T1213" s="169">
        <v>1.02</v>
      </c>
      <c r="U1213" s="127">
        <f t="shared" ref="U1213" si="106">O1213*T1213</f>
        <v>3482.28</v>
      </c>
      <c r="V1213" s="127">
        <f t="shared" ref="V1213" si="107">P1213*T1213</f>
        <v>3767.88</v>
      </c>
      <c r="W1213" s="127">
        <f t="shared" ref="W1213" si="108">Q1213*T1213</f>
        <v>4154.46</v>
      </c>
      <c r="X1213" s="127">
        <f t="shared" ref="X1213:X1269" si="109">R1213*T1213</f>
        <v>207051.84</v>
      </c>
      <c r="Y1213" s="127">
        <f t="shared" ref="Y1213" si="110">S1213*T1213</f>
        <v>46317.669600000001</v>
      </c>
    </row>
    <row r="1214" spans="1:25" ht="11.25" hidden="1" customHeight="1" x14ac:dyDescent="0.3">
      <c r="A1214" s="126" t="s">
        <v>188</v>
      </c>
      <c r="B1214" s="126">
        <v>51</v>
      </c>
      <c r="C1214" s="126">
        <v>28</v>
      </c>
      <c r="D1214" s="126" t="str">
        <f t="shared" si="105"/>
        <v>5128</v>
      </c>
      <c r="E1214" s="101">
        <v>438</v>
      </c>
      <c r="F1214" s="101">
        <v>4949</v>
      </c>
      <c r="G1214" s="101">
        <v>41817</v>
      </c>
      <c r="H1214" s="101">
        <v>918070.61999999988</v>
      </c>
      <c r="I1214" s="101">
        <v>178583.62600000002</v>
      </c>
      <c r="J1214" s="101">
        <v>598</v>
      </c>
      <c r="K1214" s="101">
        <v>7427</v>
      </c>
      <c r="L1214" s="101">
        <v>128126</v>
      </c>
      <c r="M1214" s="101">
        <v>1053451.73</v>
      </c>
      <c r="N1214" s="101">
        <v>336859.86800000002</v>
      </c>
      <c r="O1214" s="101">
        <v>164</v>
      </c>
      <c r="P1214" s="101">
        <v>4861</v>
      </c>
      <c r="Q1214" s="101">
        <v>38233</v>
      </c>
      <c r="R1214" s="101">
        <v>800832.82</v>
      </c>
      <c r="S1214" s="101">
        <v>190107.04</v>
      </c>
      <c r="T1214" s="169">
        <v>1.02</v>
      </c>
      <c r="U1214" s="127">
        <v>92</v>
      </c>
      <c r="V1214" s="127">
        <v>1026</v>
      </c>
      <c r="W1214" s="127">
        <v>3610</v>
      </c>
      <c r="X1214" s="144">
        <f t="shared" si="109"/>
        <v>816849.47639999993</v>
      </c>
      <c r="Y1214" s="127">
        <v>28795</v>
      </c>
    </row>
    <row r="1215" spans="1:25" ht="11.25" hidden="1" customHeight="1" x14ac:dyDescent="0.3">
      <c r="A1215" s="126" t="s">
        <v>188</v>
      </c>
      <c r="B1215" s="126">
        <v>51</v>
      </c>
      <c r="C1215" s="126">
        <v>46</v>
      </c>
      <c r="D1215" s="126" t="str">
        <f t="shared" si="105"/>
        <v>5146</v>
      </c>
      <c r="E1215" s="101">
        <v>258</v>
      </c>
      <c r="F1215" s="101">
        <v>629</v>
      </c>
      <c r="G1215" s="101">
        <v>10475</v>
      </c>
      <c r="H1215" s="101">
        <v>133515.25</v>
      </c>
      <c r="I1215" s="101">
        <v>58921.361999999994</v>
      </c>
      <c r="J1215" s="101">
        <v>223</v>
      </c>
      <c r="K1215" s="101">
        <v>549</v>
      </c>
      <c r="L1215" s="101">
        <v>6549</v>
      </c>
      <c r="M1215" s="101">
        <v>126574.55</v>
      </c>
      <c r="N1215" s="101">
        <v>35382.713000000003</v>
      </c>
      <c r="O1215" s="101">
        <v>238</v>
      </c>
      <c r="P1215" s="101">
        <v>581</v>
      </c>
      <c r="Q1215" s="101">
        <v>3241</v>
      </c>
      <c r="R1215" s="101">
        <v>76240.34</v>
      </c>
      <c r="S1215" s="101">
        <v>27403.116999999998</v>
      </c>
      <c r="T1215" s="169">
        <v>1.02</v>
      </c>
      <c r="U1215" s="127">
        <f t="shared" ref="U1215:U1269" si="111">O1215*T1215</f>
        <v>242.76</v>
      </c>
      <c r="V1215" s="127">
        <f t="shared" ref="V1215:V1269" si="112">P1215*T1215</f>
        <v>592.62</v>
      </c>
      <c r="W1215" s="127">
        <f t="shared" ref="W1215:W1269" si="113">Q1215*T1215</f>
        <v>3305.82</v>
      </c>
      <c r="X1215" s="127">
        <f t="shared" si="109"/>
        <v>77765.146800000002</v>
      </c>
      <c r="Y1215" s="127">
        <f t="shared" ref="Y1215:Y1269" si="114">S1215*T1215</f>
        <v>27951.179339999999</v>
      </c>
    </row>
    <row r="1216" spans="1:25" ht="11.25" hidden="1" customHeight="1" x14ac:dyDescent="0.3">
      <c r="A1216" s="126" t="s">
        <v>188</v>
      </c>
      <c r="B1216" s="126">
        <v>51</v>
      </c>
      <c r="C1216" s="126">
        <v>47</v>
      </c>
      <c r="D1216" s="126" t="str">
        <f t="shared" si="105"/>
        <v>5147</v>
      </c>
      <c r="E1216" s="101">
        <v>1</v>
      </c>
      <c r="F1216" s="101">
        <v>1</v>
      </c>
      <c r="G1216" s="101">
        <v>1500</v>
      </c>
      <c r="H1216" s="101">
        <v>0</v>
      </c>
      <c r="I1216" s="101">
        <v>0</v>
      </c>
      <c r="J1216" s="101">
        <v>0</v>
      </c>
      <c r="K1216" s="101">
        <v>0</v>
      </c>
      <c r="L1216" s="101">
        <v>0</v>
      </c>
      <c r="M1216" s="101">
        <v>0</v>
      </c>
      <c r="N1216" s="101">
        <v>0</v>
      </c>
      <c r="O1216" s="101">
        <v>2</v>
      </c>
      <c r="P1216" s="101">
        <v>3</v>
      </c>
      <c r="Q1216" s="101">
        <v>56</v>
      </c>
      <c r="R1216" s="101">
        <v>1213.49</v>
      </c>
      <c r="S1216" s="101">
        <v>410.839</v>
      </c>
      <c r="T1216" s="169">
        <v>1.02</v>
      </c>
      <c r="U1216" s="127">
        <f t="shared" si="111"/>
        <v>2.04</v>
      </c>
      <c r="V1216" s="127">
        <f t="shared" si="112"/>
        <v>3.06</v>
      </c>
      <c r="W1216" s="127">
        <f t="shared" si="113"/>
        <v>57.120000000000005</v>
      </c>
      <c r="X1216" s="127">
        <f t="shared" si="109"/>
        <v>1237.7598</v>
      </c>
      <c r="Y1216" s="127">
        <f t="shared" si="114"/>
        <v>419.05578000000003</v>
      </c>
    </row>
    <row r="1217" spans="1:25" ht="11.25" hidden="1" customHeight="1" x14ac:dyDescent="0.3">
      <c r="A1217" s="126" t="s">
        <v>188</v>
      </c>
      <c r="B1217" s="126">
        <v>51</v>
      </c>
      <c r="C1217" s="126">
        <v>66</v>
      </c>
      <c r="D1217" s="126" t="str">
        <f t="shared" si="105"/>
        <v>5166</v>
      </c>
      <c r="E1217" s="101">
        <v>481</v>
      </c>
      <c r="F1217" s="101">
        <v>1882</v>
      </c>
      <c r="G1217" s="101">
        <v>22068</v>
      </c>
      <c r="H1217" s="101">
        <v>259099.89</v>
      </c>
      <c r="I1217" s="101">
        <v>98693.89499999999</v>
      </c>
      <c r="J1217" s="101">
        <v>149</v>
      </c>
      <c r="K1217" s="101">
        <v>705</v>
      </c>
      <c r="L1217" s="101">
        <v>13148</v>
      </c>
      <c r="M1217" s="101">
        <v>96101.21</v>
      </c>
      <c r="N1217" s="101">
        <v>47899.18</v>
      </c>
      <c r="O1217" s="101">
        <v>184</v>
      </c>
      <c r="P1217" s="101">
        <v>916</v>
      </c>
      <c r="Q1217" s="101">
        <v>32276</v>
      </c>
      <c r="R1217" s="101">
        <v>137341.37</v>
      </c>
      <c r="S1217" s="101">
        <v>66515.763000000006</v>
      </c>
      <c r="T1217" s="169">
        <v>1.02</v>
      </c>
      <c r="U1217" s="127">
        <f t="shared" si="111"/>
        <v>187.68</v>
      </c>
      <c r="V1217" s="127">
        <f t="shared" si="112"/>
        <v>934.32</v>
      </c>
      <c r="W1217" s="127">
        <f t="shared" si="113"/>
        <v>32921.520000000004</v>
      </c>
      <c r="X1217" s="127">
        <f t="shared" si="109"/>
        <v>140088.1974</v>
      </c>
      <c r="Y1217" s="127">
        <f t="shared" si="114"/>
        <v>67846.078260000009</v>
      </c>
    </row>
    <row r="1218" spans="1:25" ht="11.25" hidden="1" customHeight="1" x14ac:dyDescent="0.3">
      <c r="A1218" s="126" t="s">
        <v>188</v>
      </c>
      <c r="B1218" s="126">
        <v>51</v>
      </c>
      <c r="C1218" s="126">
        <v>30</v>
      </c>
      <c r="D1218" s="126" t="str">
        <f t="shared" si="105"/>
        <v>5130</v>
      </c>
      <c r="E1218" s="101">
        <v>481.5</v>
      </c>
      <c r="F1218" s="101">
        <v>4240</v>
      </c>
      <c r="G1218" s="101">
        <v>17898</v>
      </c>
      <c r="H1218" s="101">
        <v>400266.23000000004</v>
      </c>
      <c r="I1218" s="101">
        <v>137040.4515</v>
      </c>
      <c r="J1218" s="101">
        <v>0</v>
      </c>
      <c r="K1218" s="101">
        <v>0</v>
      </c>
      <c r="L1218" s="101">
        <v>0</v>
      </c>
      <c r="M1218" s="101">
        <v>0</v>
      </c>
      <c r="N1218" s="101">
        <v>0</v>
      </c>
      <c r="O1218" s="101">
        <v>60</v>
      </c>
      <c r="P1218" s="101">
        <v>68</v>
      </c>
      <c r="Q1218" s="101">
        <v>911</v>
      </c>
      <c r="R1218" s="101">
        <v>38704.879999999997</v>
      </c>
      <c r="S1218" s="101">
        <v>14440.92</v>
      </c>
      <c r="T1218" s="169">
        <v>1.02</v>
      </c>
      <c r="U1218" s="127">
        <f t="shared" si="111"/>
        <v>61.2</v>
      </c>
      <c r="V1218" s="127">
        <f t="shared" si="112"/>
        <v>69.36</v>
      </c>
      <c r="W1218" s="127">
        <f t="shared" si="113"/>
        <v>929.22</v>
      </c>
      <c r="X1218" s="127">
        <f t="shared" si="109"/>
        <v>39478.977599999998</v>
      </c>
      <c r="Y1218" s="127">
        <f t="shared" si="114"/>
        <v>14729.7384</v>
      </c>
    </row>
    <row r="1219" spans="1:25" ht="11.25" hidden="1" customHeight="1" x14ac:dyDescent="0.3">
      <c r="A1219" s="126" t="s">
        <v>188</v>
      </c>
      <c r="B1219" s="126">
        <v>51</v>
      </c>
      <c r="C1219" s="126">
        <v>21</v>
      </c>
      <c r="D1219" s="126" t="str">
        <f t="shared" si="105"/>
        <v>5121</v>
      </c>
      <c r="E1219" s="101">
        <v>1123</v>
      </c>
      <c r="F1219" s="101">
        <v>3853.5</v>
      </c>
      <c r="G1219" s="101">
        <v>16511</v>
      </c>
      <c r="H1219" s="101">
        <v>327110.20999999996</v>
      </c>
      <c r="I1219" s="101">
        <v>79033.4715</v>
      </c>
      <c r="J1219" s="101">
        <v>1440</v>
      </c>
      <c r="K1219" s="101">
        <v>5205</v>
      </c>
      <c r="L1219" s="101">
        <v>21699</v>
      </c>
      <c r="M1219" s="101">
        <v>279665.95999999996</v>
      </c>
      <c r="N1219" s="101">
        <v>75408.131999999998</v>
      </c>
      <c r="O1219" s="101">
        <v>1405</v>
      </c>
      <c r="P1219" s="101">
        <v>5448</v>
      </c>
      <c r="Q1219" s="101">
        <v>22679</v>
      </c>
      <c r="R1219" s="101">
        <v>373819.35</v>
      </c>
      <c r="S1219" s="101">
        <v>121630.34600000001</v>
      </c>
      <c r="T1219" s="169">
        <v>1.02</v>
      </c>
      <c r="U1219" s="127"/>
      <c r="V1219" s="127"/>
      <c r="W1219" s="127"/>
      <c r="X1219" s="127"/>
      <c r="Y1219" s="127"/>
    </row>
    <row r="1220" spans="1:25" ht="11.25" hidden="1" customHeight="1" x14ac:dyDescent="0.3">
      <c r="A1220" s="126" t="s">
        <v>188</v>
      </c>
      <c r="B1220" s="126">
        <v>51</v>
      </c>
      <c r="C1220" s="126">
        <v>71</v>
      </c>
      <c r="D1220" s="126" t="str">
        <f t="shared" si="105"/>
        <v>5171</v>
      </c>
      <c r="E1220" s="101">
        <v>558</v>
      </c>
      <c r="F1220" s="101">
        <v>8171.5</v>
      </c>
      <c r="G1220" s="101">
        <v>20298.5</v>
      </c>
      <c r="H1220" s="101">
        <v>216287.745</v>
      </c>
      <c r="I1220" s="101">
        <v>102836.37950000001</v>
      </c>
      <c r="J1220" s="101">
        <v>530</v>
      </c>
      <c r="K1220" s="101">
        <v>9874</v>
      </c>
      <c r="L1220" s="101">
        <v>27452</v>
      </c>
      <c r="M1220" s="101">
        <v>265164.03000000003</v>
      </c>
      <c r="N1220" s="101">
        <v>128138.65</v>
      </c>
      <c r="O1220" s="101">
        <v>181</v>
      </c>
      <c r="P1220" s="101">
        <v>4898</v>
      </c>
      <c r="Q1220" s="101">
        <v>17466</v>
      </c>
      <c r="R1220" s="101">
        <v>114421.94</v>
      </c>
      <c r="S1220" s="101">
        <v>57932.385000000002</v>
      </c>
      <c r="T1220" s="169">
        <v>0.98</v>
      </c>
      <c r="U1220" s="127">
        <v>297</v>
      </c>
      <c r="V1220" s="127">
        <v>9092</v>
      </c>
      <c r="W1220" s="127">
        <v>32550</v>
      </c>
      <c r="X1220" s="127">
        <v>273911</v>
      </c>
      <c r="Y1220" s="127">
        <v>135966</v>
      </c>
    </row>
    <row r="1221" spans="1:25" ht="11.25" hidden="1" customHeight="1" x14ac:dyDescent="0.3">
      <c r="A1221" s="126" t="s">
        <v>188</v>
      </c>
      <c r="B1221" s="126">
        <v>51</v>
      </c>
      <c r="C1221" s="126">
        <v>25</v>
      </c>
      <c r="D1221" s="126" t="str">
        <f t="shared" si="105"/>
        <v>5125</v>
      </c>
      <c r="E1221" s="101">
        <v>40</v>
      </c>
      <c r="F1221" s="101">
        <v>72</v>
      </c>
      <c r="G1221" s="101">
        <v>692</v>
      </c>
      <c r="H1221" s="101">
        <v>8203.119999999999</v>
      </c>
      <c r="I1221" s="101">
        <v>2142.8449999999998</v>
      </c>
      <c r="J1221" s="101">
        <v>580</v>
      </c>
      <c r="K1221" s="101">
        <v>4901</v>
      </c>
      <c r="L1221" s="101">
        <v>16938</v>
      </c>
      <c r="M1221" s="101">
        <v>332217.18</v>
      </c>
      <c r="N1221" s="101">
        <v>141794.97700000001</v>
      </c>
      <c r="O1221" s="101">
        <v>446</v>
      </c>
      <c r="P1221" s="101">
        <v>3072</v>
      </c>
      <c r="Q1221" s="101">
        <v>14383</v>
      </c>
      <c r="R1221" s="101">
        <v>192338.71</v>
      </c>
      <c r="S1221" s="101">
        <v>114870.69500000001</v>
      </c>
      <c r="T1221" s="169">
        <v>1.02</v>
      </c>
      <c r="U1221" s="127">
        <f t="shared" si="111"/>
        <v>454.92</v>
      </c>
      <c r="V1221" s="127">
        <f t="shared" si="112"/>
        <v>3133.44</v>
      </c>
      <c r="W1221" s="127">
        <f t="shared" si="113"/>
        <v>14670.66</v>
      </c>
      <c r="X1221" s="127">
        <f t="shared" si="109"/>
        <v>196185.48420000001</v>
      </c>
      <c r="Y1221" s="127">
        <f t="shared" si="114"/>
        <v>117168.10890000001</v>
      </c>
    </row>
    <row r="1222" spans="1:25" ht="11.25" hidden="1" customHeight="1" x14ac:dyDescent="0.3">
      <c r="A1222" s="126" t="s">
        <v>188</v>
      </c>
      <c r="B1222" s="126">
        <v>51</v>
      </c>
      <c r="C1222" s="126">
        <v>22</v>
      </c>
      <c r="D1222" s="126" t="str">
        <f t="shared" si="105"/>
        <v>5122</v>
      </c>
      <c r="J1222" s="101">
        <v>19</v>
      </c>
      <c r="K1222" s="101">
        <v>23</v>
      </c>
      <c r="L1222" s="101">
        <v>1914</v>
      </c>
      <c r="M1222" s="101">
        <v>16646.13</v>
      </c>
      <c r="N1222" s="101">
        <v>8077.56</v>
      </c>
      <c r="O1222" s="101">
        <v>1</v>
      </c>
      <c r="P1222" s="101">
        <v>1</v>
      </c>
      <c r="Q1222" s="101">
        <v>6</v>
      </c>
      <c r="R1222" s="101">
        <v>270</v>
      </c>
      <c r="S1222" s="101">
        <v>135.083</v>
      </c>
      <c r="T1222" s="169">
        <v>1.02</v>
      </c>
      <c r="U1222" s="127">
        <f t="shared" si="111"/>
        <v>1.02</v>
      </c>
      <c r="V1222" s="127">
        <f t="shared" si="112"/>
        <v>1.02</v>
      </c>
      <c r="W1222" s="127">
        <f t="shared" si="113"/>
        <v>6.12</v>
      </c>
      <c r="X1222" s="127">
        <f t="shared" si="109"/>
        <v>275.39999999999998</v>
      </c>
      <c r="Y1222" s="127">
        <f t="shared" si="114"/>
        <v>137.78466</v>
      </c>
    </row>
    <row r="1223" spans="1:25" ht="11.25" hidden="1" customHeight="1" x14ac:dyDescent="0.3">
      <c r="A1223" s="126" t="s">
        <v>188</v>
      </c>
      <c r="B1223" s="126">
        <v>51</v>
      </c>
      <c r="C1223" s="126">
        <v>26</v>
      </c>
      <c r="D1223" s="126" t="str">
        <f t="shared" si="105"/>
        <v>5126</v>
      </c>
      <c r="J1223" s="101">
        <v>2</v>
      </c>
      <c r="K1223" s="101">
        <v>2</v>
      </c>
      <c r="L1223" s="101">
        <v>2</v>
      </c>
      <c r="M1223" s="101">
        <v>0</v>
      </c>
      <c r="N1223" s="101">
        <v>1.0029999999999999</v>
      </c>
      <c r="O1223" s="101">
        <v>0</v>
      </c>
      <c r="P1223" s="101">
        <v>0</v>
      </c>
      <c r="Q1223" s="101">
        <v>0</v>
      </c>
      <c r="R1223" s="101">
        <v>0</v>
      </c>
      <c r="S1223" s="101">
        <v>0</v>
      </c>
      <c r="T1223" s="169">
        <v>1.02</v>
      </c>
      <c r="U1223" s="127">
        <f t="shared" si="111"/>
        <v>0</v>
      </c>
      <c r="V1223" s="127">
        <f t="shared" si="112"/>
        <v>0</v>
      </c>
      <c r="W1223" s="127">
        <f t="shared" si="113"/>
        <v>0</v>
      </c>
      <c r="X1223" s="127">
        <f t="shared" si="109"/>
        <v>0</v>
      </c>
      <c r="Y1223" s="127">
        <f t="shared" si="114"/>
        <v>0</v>
      </c>
    </row>
    <row r="1224" spans="1:25" ht="11.25" hidden="1" customHeight="1" x14ac:dyDescent="0.3">
      <c r="A1224" s="126" t="s">
        <v>188</v>
      </c>
      <c r="B1224" s="126">
        <v>51</v>
      </c>
      <c r="C1224" s="126">
        <v>32</v>
      </c>
      <c r="D1224" s="126" t="str">
        <f t="shared" si="105"/>
        <v>5132</v>
      </c>
      <c r="J1224" s="101">
        <v>159</v>
      </c>
      <c r="K1224" s="101">
        <v>225</v>
      </c>
      <c r="L1224" s="101">
        <v>5593</v>
      </c>
      <c r="M1224" s="101">
        <v>60558.33</v>
      </c>
      <c r="N1224" s="101">
        <v>21181.035</v>
      </c>
      <c r="O1224" s="101">
        <v>30</v>
      </c>
      <c r="P1224" s="101">
        <v>94</v>
      </c>
      <c r="Q1224" s="101">
        <v>2298</v>
      </c>
      <c r="R1224" s="101">
        <v>20306.97</v>
      </c>
      <c r="S1224" s="101">
        <v>6483.2669999999998</v>
      </c>
      <c r="T1224" s="169">
        <v>1.02</v>
      </c>
      <c r="U1224" s="127">
        <f t="shared" si="111"/>
        <v>30.6</v>
      </c>
      <c r="V1224" s="127">
        <f t="shared" si="112"/>
        <v>95.88</v>
      </c>
      <c r="W1224" s="127">
        <f t="shared" si="113"/>
        <v>2343.96</v>
      </c>
      <c r="X1224" s="127">
        <f t="shared" si="109"/>
        <v>20713.109400000001</v>
      </c>
      <c r="Y1224" s="127">
        <f t="shared" si="114"/>
        <v>6612.9323400000003</v>
      </c>
    </row>
    <row r="1225" spans="1:25" ht="11.25" hidden="1" customHeight="1" x14ac:dyDescent="0.3">
      <c r="A1225" s="126" t="s">
        <v>188</v>
      </c>
      <c r="B1225" s="126">
        <v>51</v>
      </c>
      <c r="C1225" s="126">
        <v>43</v>
      </c>
      <c r="D1225" s="126" t="str">
        <f t="shared" si="105"/>
        <v>5143</v>
      </c>
      <c r="J1225" s="101">
        <v>0</v>
      </c>
      <c r="K1225" s="101">
        <v>0</v>
      </c>
      <c r="L1225" s="101">
        <v>0</v>
      </c>
      <c r="M1225" s="101">
        <v>0</v>
      </c>
      <c r="N1225" s="101">
        <v>0</v>
      </c>
      <c r="O1225" s="101">
        <v>0</v>
      </c>
      <c r="P1225" s="101">
        <v>0</v>
      </c>
      <c r="Q1225" s="101">
        <v>0</v>
      </c>
      <c r="R1225" s="101">
        <v>0</v>
      </c>
      <c r="S1225" s="101">
        <v>0</v>
      </c>
      <c r="T1225" s="169">
        <v>1.02</v>
      </c>
      <c r="U1225" s="127">
        <f t="shared" si="111"/>
        <v>0</v>
      </c>
      <c r="V1225" s="127">
        <f t="shared" si="112"/>
        <v>0</v>
      </c>
      <c r="W1225" s="127">
        <f t="shared" si="113"/>
        <v>0</v>
      </c>
      <c r="X1225" s="127">
        <f t="shared" si="109"/>
        <v>0</v>
      </c>
      <c r="Y1225" s="127">
        <f t="shared" si="114"/>
        <v>0</v>
      </c>
    </row>
    <row r="1226" spans="1:25" ht="11.25" hidden="1" customHeight="1" x14ac:dyDescent="0.3">
      <c r="A1226" s="126" t="s">
        <v>188</v>
      </c>
      <c r="B1226" s="126">
        <v>51</v>
      </c>
      <c r="C1226" s="126">
        <v>44</v>
      </c>
      <c r="D1226" s="126" t="str">
        <f t="shared" si="105"/>
        <v>5144</v>
      </c>
      <c r="J1226" s="101">
        <v>0</v>
      </c>
      <c r="K1226" s="101">
        <v>0</v>
      </c>
      <c r="L1226" s="101">
        <v>0</v>
      </c>
      <c r="M1226" s="101">
        <v>0</v>
      </c>
      <c r="N1226" s="101">
        <v>0</v>
      </c>
      <c r="O1226" s="101">
        <v>0</v>
      </c>
      <c r="P1226" s="101">
        <v>0</v>
      </c>
      <c r="Q1226" s="101">
        <v>0</v>
      </c>
      <c r="R1226" s="101">
        <v>0</v>
      </c>
      <c r="S1226" s="101">
        <v>0</v>
      </c>
      <c r="T1226" s="169">
        <v>1.02</v>
      </c>
      <c r="U1226" s="127">
        <f t="shared" si="111"/>
        <v>0</v>
      </c>
      <c r="V1226" s="127">
        <f t="shared" si="112"/>
        <v>0</v>
      </c>
      <c r="W1226" s="127">
        <f t="shared" si="113"/>
        <v>0</v>
      </c>
      <c r="X1226" s="127">
        <f t="shared" si="109"/>
        <v>0</v>
      </c>
      <c r="Y1226" s="127">
        <f t="shared" si="114"/>
        <v>0</v>
      </c>
    </row>
    <row r="1227" spans="1:25" ht="11.25" hidden="1" customHeight="1" x14ac:dyDescent="0.3">
      <c r="A1227" s="126" t="s">
        <v>188</v>
      </c>
      <c r="B1227" s="126">
        <v>51</v>
      </c>
      <c r="C1227" s="126">
        <v>45</v>
      </c>
      <c r="D1227" s="126" t="str">
        <f t="shared" si="105"/>
        <v>5145</v>
      </c>
      <c r="J1227" s="101">
        <v>1</v>
      </c>
      <c r="K1227" s="101">
        <v>1</v>
      </c>
      <c r="L1227" s="101">
        <v>5</v>
      </c>
      <c r="M1227" s="101">
        <v>83.75</v>
      </c>
      <c r="N1227" s="101">
        <v>63.679000000000002</v>
      </c>
      <c r="O1227" s="101">
        <v>0</v>
      </c>
      <c r="P1227" s="101">
        <v>0</v>
      </c>
      <c r="Q1227" s="101">
        <v>0</v>
      </c>
      <c r="R1227" s="101">
        <v>0</v>
      </c>
      <c r="S1227" s="101">
        <v>0</v>
      </c>
      <c r="T1227" s="169">
        <v>1.02</v>
      </c>
      <c r="U1227" s="127">
        <f t="shared" si="111"/>
        <v>0</v>
      </c>
      <c r="V1227" s="127">
        <f t="shared" si="112"/>
        <v>0</v>
      </c>
      <c r="W1227" s="127">
        <f t="shared" si="113"/>
        <v>0</v>
      </c>
      <c r="X1227" s="127">
        <f t="shared" si="109"/>
        <v>0</v>
      </c>
      <c r="Y1227" s="127">
        <f t="shared" si="114"/>
        <v>0</v>
      </c>
    </row>
    <row r="1228" spans="1:25" ht="11.25" hidden="1" customHeight="1" x14ac:dyDescent="0.3">
      <c r="A1228" s="126" t="s">
        <v>188</v>
      </c>
      <c r="B1228" s="126">
        <v>51</v>
      </c>
      <c r="C1228" s="126">
        <v>48</v>
      </c>
      <c r="D1228" s="126" t="str">
        <f t="shared" si="105"/>
        <v>5148</v>
      </c>
      <c r="J1228" s="101">
        <v>0</v>
      </c>
      <c r="K1228" s="101">
        <v>0</v>
      </c>
      <c r="L1228" s="101">
        <v>0</v>
      </c>
      <c r="M1228" s="101">
        <v>0</v>
      </c>
      <c r="N1228" s="101">
        <v>0</v>
      </c>
      <c r="O1228" s="101">
        <v>0</v>
      </c>
      <c r="P1228" s="101">
        <v>0</v>
      </c>
      <c r="Q1228" s="101">
        <v>0</v>
      </c>
      <c r="R1228" s="101">
        <v>0</v>
      </c>
      <c r="S1228" s="101">
        <v>0</v>
      </c>
      <c r="T1228" s="169">
        <v>1.02</v>
      </c>
      <c r="U1228" s="127">
        <f t="shared" si="111"/>
        <v>0</v>
      </c>
      <c r="V1228" s="127">
        <f t="shared" si="112"/>
        <v>0</v>
      </c>
      <c r="W1228" s="127">
        <f t="shared" si="113"/>
        <v>0</v>
      </c>
      <c r="X1228" s="127">
        <f t="shared" si="109"/>
        <v>0</v>
      </c>
      <c r="Y1228" s="127">
        <f t="shared" si="114"/>
        <v>0</v>
      </c>
    </row>
    <row r="1229" spans="1:25" ht="11.25" hidden="1" customHeight="1" x14ac:dyDescent="0.3">
      <c r="A1229" s="126" t="s">
        <v>188</v>
      </c>
      <c r="B1229" s="126">
        <v>51</v>
      </c>
      <c r="C1229" s="126">
        <v>91</v>
      </c>
      <c r="D1229" s="126" t="str">
        <f t="shared" si="105"/>
        <v>5191</v>
      </c>
      <c r="J1229" s="101">
        <v>33</v>
      </c>
      <c r="K1229" s="101">
        <v>210</v>
      </c>
      <c r="L1229" s="101">
        <v>714</v>
      </c>
      <c r="M1229" s="101">
        <v>6559.41</v>
      </c>
      <c r="N1229" s="101">
        <v>2380.625</v>
      </c>
      <c r="O1229" s="101">
        <v>35</v>
      </c>
      <c r="P1229" s="101">
        <v>125</v>
      </c>
      <c r="Q1229" s="101">
        <v>847</v>
      </c>
      <c r="R1229" s="101">
        <v>10007.23</v>
      </c>
      <c r="S1229" s="101">
        <v>2226.5369999999998</v>
      </c>
      <c r="T1229" s="169">
        <v>1.02</v>
      </c>
      <c r="U1229" s="127">
        <f t="shared" si="111"/>
        <v>35.700000000000003</v>
      </c>
      <c r="V1229" s="127">
        <f t="shared" si="112"/>
        <v>127.5</v>
      </c>
      <c r="W1229" s="127">
        <f t="shared" si="113"/>
        <v>863.94</v>
      </c>
      <c r="X1229" s="127">
        <f t="shared" si="109"/>
        <v>10207.374599999999</v>
      </c>
      <c r="Y1229" s="127">
        <f t="shared" si="114"/>
        <v>2271.06774</v>
      </c>
    </row>
    <row r="1230" spans="1:25" ht="11.25" hidden="1" customHeight="1" x14ac:dyDescent="0.3">
      <c r="A1230" s="126" t="s">
        <v>188</v>
      </c>
      <c r="B1230" s="126">
        <v>51</v>
      </c>
      <c r="C1230" s="126">
        <v>27</v>
      </c>
      <c r="D1230" s="126" t="str">
        <f t="shared" si="105"/>
        <v>5127</v>
      </c>
      <c r="E1230" s="101">
        <v>28</v>
      </c>
      <c r="F1230" s="101">
        <v>51</v>
      </c>
      <c r="G1230" s="101">
        <v>279</v>
      </c>
      <c r="H1230" s="101">
        <v>4587.01</v>
      </c>
      <c r="I1230" s="101">
        <v>2521.5529999999999</v>
      </c>
      <c r="J1230" s="101">
        <v>66</v>
      </c>
      <c r="K1230" s="101">
        <v>2957</v>
      </c>
      <c r="L1230" s="101">
        <v>10008</v>
      </c>
      <c r="M1230" s="101">
        <v>115965.51</v>
      </c>
      <c r="N1230" s="101">
        <v>35220.142999999996</v>
      </c>
      <c r="O1230" s="101">
        <v>41</v>
      </c>
      <c r="P1230" s="101">
        <v>1756</v>
      </c>
      <c r="Q1230" s="101">
        <v>10473</v>
      </c>
      <c r="R1230" s="101">
        <v>85967.71</v>
      </c>
      <c r="S1230" s="101">
        <v>28864.118999999999</v>
      </c>
      <c r="T1230" s="169">
        <v>1.02</v>
      </c>
      <c r="U1230" s="127">
        <f t="shared" si="111"/>
        <v>41.82</v>
      </c>
      <c r="V1230" s="127">
        <f t="shared" si="112"/>
        <v>1791.1200000000001</v>
      </c>
      <c r="W1230" s="127">
        <f t="shared" si="113"/>
        <v>10682.460000000001</v>
      </c>
      <c r="X1230" s="127">
        <f t="shared" si="109"/>
        <v>87687.064200000008</v>
      </c>
      <c r="Y1230" s="127">
        <f t="shared" si="114"/>
        <v>29441.401379999999</v>
      </c>
    </row>
    <row r="1231" spans="1:25" ht="11.25" hidden="1" customHeight="1" x14ac:dyDescent="0.3">
      <c r="A1231" s="126" t="s">
        <v>188</v>
      </c>
      <c r="B1231" s="126">
        <v>51</v>
      </c>
      <c r="C1231" s="126">
        <v>34</v>
      </c>
      <c r="D1231" s="126" t="str">
        <f t="shared" si="105"/>
        <v>5134</v>
      </c>
      <c r="J1231" s="101">
        <v>1</v>
      </c>
      <c r="K1231" s="101">
        <v>3</v>
      </c>
      <c r="L1231" s="101">
        <v>200</v>
      </c>
      <c r="M1231" s="101">
        <v>1196</v>
      </c>
      <c r="N1231" s="101">
        <v>60.185000000000002</v>
      </c>
      <c r="O1231" s="101">
        <v>0</v>
      </c>
      <c r="P1231" s="101">
        <v>0</v>
      </c>
      <c r="Q1231" s="101">
        <v>0</v>
      </c>
      <c r="R1231" s="101">
        <v>0</v>
      </c>
      <c r="S1231" s="101">
        <v>0</v>
      </c>
      <c r="T1231" s="169">
        <v>1.02</v>
      </c>
      <c r="U1231" s="127">
        <f t="shared" si="111"/>
        <v>0</v>
      </c>
      <c r="V1231" s="127">
        <f t="shared" si="112"/>
        <v>0</v>
      </c>
      <c r="W1231" s="127">
        <f t="shared" si="113"/>
        <v>0</v>
      </c>
      <c r="X1231" s="127">
        <f t="shared" si="109"/>
        <v>0</v>
      </c>
      <c r="Y1231" s="127">
        <f t="shared" si="114"/>
        <v>0</v>
      </c>
    </row>
    <row r="1232" spans="1:25" ht="11.25" hidden="1" customHeight="1" x14ac:dyDescent="0.3">
      <c r="A1232" s="126" t="s">
        <v>188</v>
      </c>
      <c r="B1232" s="126">
        <v>51</v>
      </c>
      <c r="C1232" s="126">
        <v>35</v>
      </c>
      <c r="D1232" s="126" t="str">
        <f t="shared" si="105"/>
        <v>5135</v>
      </c>
      <c r="J1232" s="101">
        <v>1</v>
      </c>
      <c r="K1232" s="101">
        <v>1</v>
      </c>
      <c r="L1232" s="101">
        <v>1</v>
      </c>
      <c r="M1232" s="101">
        <v>0</v>
      </c>
      <c r="N1232" s="101">
        <v>1.3979999999999999</v>
      </c>
      <c r="O1232" s="101">
        <v>1</v>
      </c>
      <c r="P1232" s="101">
        <v>6</v>
      </c>
      <c r="Q1232" s="101">
        <v>10</v>
      </c>
      <c r="R1232" s="101">
        <v>0</v>
      </c>
      <c r="S1232" s="101">
        <v>26.952000000000002</v>
      </c>
      <c r="T1232" s="169">
        <v>1.02</v>
      </c>
      <c r="U1232" s="127">
        <f t="shared" si="111"/>
        <v>1.02</v>
      </c>
      <c r="V1232" s="127">
        <f t="shared" si="112"/>
        <v>6.12</v>
      </c>
      <c r="W1232" s="127">
        <f t="shared" si="113"/>
        <v>10.199999999999999</v>
      </c>
      <c r="X1232" s="127">
        <f t="shared" si="109"/>
        <v>0</v>
      </c>
      <c r="Y1232" s="127">
        <f t="shared" si="114"/>
        <v>27.491040000000002</v>
      </c>
    </row>
    <row r="1233" spans="1:25" ht="11.25" customHeight="1" x14ac:dyDescent="0.3">
      <c r="A1233" s="126" t="s">
        <v>188</v>
      </c>
      <c r="B1233" s="126">
        <v>51</v>
      </c>
      <c r="C1233" s="126" t="s">
        <v>172</v>
      </c>
      <c r="D1233" s="126" t="str">
        <f t="shared" si="105"/>
        <v>51Uml</v>
      </c>
      <c r="J1233" s="101">
        <v>381</v>
      </c>
      <c r="K1233" s="101">
        <v>388</v>
      </c>
      <c r="L1233" s="101">
        <v>108554</v>
      </c>
      <c r="N1233" s="101">
        <v>276929</v>
      </c>
      <c r="O1233" s="101">
        <v>154</v>
      </c>
      <c r="P1233" s="101">
        <v>183</v>
      </c>
      <c r="Q1233" s="101">
        <v>54362</v>
      </c>
      <c r="S1233" s="101">
        <v>104507.59699999999</v>
      </c>
      <c r="T1233" s="169">
        <v>1.02</v>
      </c>
      <c r="U1233" s="127">
        <f t="shared" si="111"/>
        <v>157.08000000000001</v>
      </c>
      <c r="V1233" s="127">
        <f t="shared" si="112"/>
        <v>186.66</v>
      </c>
      <c r="W1233" s="127">
        <f t="shared" si="113"/>
        <v>55449.24</v>
      </c>
      <c r="X1233" s="127">
        <f t="shared" si="109"/>
        <v>0</v>
      </c>
      <c r="Y1233" s="127">
        <f t="shared" si="114"/>
        <v>106597.74893999999</v>
      </c>
    </row>
    <row r="1234" spans="1:25" ht="11.25" hidden="1" customHeight="1" x14ac:dyDescent="0.3">
      <c r="A1234" s="126" t="s">
        <v>188</v>
      </c>
      <c r="B1234" s="126">
        <v>51</v>
      </c>
      <c r="C1234" s="126">
        <v>37</v>
      </c>
      <c r="D1234" s="126" t="str">
        <f t="shared" si="105"/>
        <v>5137</v>
      </c>
      <c r="E1234" s="101">
        <v>3.25</v>
      </c>
      <c r="F1234" s="101">
        <v>13.5</v>
      </c>
      <c r="G1234" s="101">
        <v>417</v>
      </c>
      <c r="H1234" s="101">
        <v>10841.29</v>
      </c>
      <c r="I1234" s="101">
        <v>203.60849999999999</v>
      </c>
      <c r="J1234" s="101">
        <v>11</v>
      </c>
      <c r="K1234" s="101">
        <v>24</v>
      </c>
      <c r="L1234" s="101">
        <v>817</v>
      </c>
      <c r="M1234" s="101">
        <v>3830.74</v>
      </c>
      <c r="N1234" s="101">
        <v>1945.585</v>
      </c>
      <c r="O1234" s="101">
        <v>17</v>
      </c>
      <c r="P1234" s="101">
        <v>89</v>
      </c>
      <c r="Q1234" s="101">
        <v>727</v>
      </c>
      <c r="R1234" s="101">
        <v>5592.87</v>
      </c>
      <c r="S1234" s="101">
        <v>2639.7330000000002</v>
      </c>
      <c r="T1234" s="169">
        <v>1.02</v>
      </c>
      <c r="U1234" s="127">
        <f t="shared" si="111"/>
        <v>17.34</v>
      </c>
      <c r="V1234" s="127">
        <f t="shared" si="112"/>
        <v>90.78</v>
      </c>
      <c r="W1234" s="127">
        <f t="shared" si="113"/>
        <v>741.54</v>
      </c>
      <c r="X1234" s="127">
        <f t="shared" si="109"/>
        <v>5704.7273999999998</v>
      </c>
      <c r="Y1234" s="127">
        <f t="shared" si="114"/>
        <v>2692.5276600000002</v>
      </c>
    </row>
    <row r="1235" spans="1:25" ht="11.25" hidden="1" customHeight="1" x14ac:dyDescent="0.3">
      <c r="A1235" s="126" t="s">
        <v>188</v>
      </c>
      <c r="B1235" s="126">
        <v>52</v>
      </c>
      <c r="C1235" s="126">
        <v>12</v>
      </c>
      <c r="D1235" s="126" t="str">
        <f t="shared" si="105"/>
        <v>5212</v>
      </c>
      <c r="E1235" s="101">
        <v>2</v>
      </c>
      <c r="F1235" s="101">
        <v>2</v>
      </c>
      <c r="G1235" s="101">
        <v>2</v>
      </c>
      <c r="H1235" s="101">
        <v>0</v>
      </c>
      <c r="I1235" s="101">
        <v>0</v>
      </c>
      <c r="J1235" s="101">
        <v>8</v>
      </c>
      <c r="K1235" s="101">
        <v>11</v>
      </c>
      <c r="L1235" s="101">
        <v>13</v>
      </c>
      <c r="M1235" s="101">
        <v>419.7</v>
      </c>
      <c r="N1235" s="101">
        <v>108.709</v>
      </c>
      <c r="O1235" s="101">
        <v>6</v>
      </c>
      <c r="P1235" s="101">
        <v>8</v>
      </c>
      <c r="Q1235" s="101">
        <v>8</v>
      </c>
      <c r="R1235" s="101">
        <v>403.58</v>
      </c>
      <c r="S1235" s="101">
        <v>108.526</v>
      </c>
      <c r="T1235" s="169">
        <v>1.02</v>
      </c>
      <c r="U1235" s="127">
        <f t="shared" si="111"/>
        <v>6.12</v>
      </c>
      <c r="V1235" s="127">
        <f t="shared" si="112"/>
        <v>8.16</v>
      </c>
      <c r="W1235" s="127">
        <f t="shared" si="113"/>
        <v>8.16</v>
      </c>
      <c r="X1235" s="127">
        <f t="shared" si="109"/>
        <v>411.65159999999997</v>
      </c>
      <c r="Y1235" s="127">
        <f t="shared" si="114"/>
        <v>110.69651999999999</v>
      </c>
    </row>
    <row r="1236" spans="1:25" ht="11.25" hidden="1" customHeight="1" x14ac:dyDescent="0.3">
      <c r="A1236" s="126" t="s">
        <v>188</v>
      </c>
      <c r="B1236" s="126">
        <v>52</v>
      </c>
      <c r="C1236" s="126">
        <v>17</v>
      </c>
      <c r="D1236" s="126" t="str">
        <f t="shared" si="105"/>
        <v>5217</v>
      </c>
      <c r="E1236" s="101">
        <v>2088</v>
      </c>
      <c r="F1236" s="101">
        <v>2922</v>
      </c>
      <c r="G1236" s="101">
        <v>4042</v>
      </c>
      <c r="H1236" s="101">
        <v>158855.66999999998</v>
      </c>
      <c r="I1236" s="101">
        <v>29752.546999999999</v>
      </c>
      <c r="J1236" s="101">
        <v>993</v>
      </c>
      <c r="K1236" s="101">
        <v>1647</v>
      </c>
      <c r="L1236" s="101">
        <v>2289</v>
      </c>
      <c r="M1236" s="101">
        <v>77665.83</v>
      </c>
      <c r="N1236" s="101">
        <v>12400.924000000001</v>
      </c>
      <c r="O1236" s="101">
        <v>1132</v>
      </c>
      <c r="P1236" s="101">
        <v>1894</v>
      </c>
      <c r="Q1236" s="101">
        <v>2984</v>
      </c>
      <c r="R1236" s="101">
        <v>87603.16</v>
      </c>
      <c r="S1236" s="101">
        <v>14796.799000000001</v>
      </c>
      <c r="T1236" s="169">
        <v>1.02</v>
      </c>
      <c r="U1236" s="127">
        <v>2916</v>
      </c>
      <c r="V1236" s="127">
        <v>4956</v>
      </c>
      <c r="W1236" s="127">
        <v>9252</v>
      </c>
      <c r="X1236" s="127">
        <f t="shared" si="109"/>
        <v>89355.223200000008</v>
      </c>
      <c r="Y1236" s="127">
        <v>50000</v>
      </c>
    </row>
    <row r="1237" spans="1:25" ht="11.25" hidden="1" customHeight="1" x14ac:dyDescent="0.3">
      <c r="A1237" s="126" t="s">
        <v>188</v>
      </c>
      <c r="B1237" s="126">
        <v>52</v>
      </c>
      <c r="C1237" s="126">
        <v>18</v>
      </c>
      <c r="D1237" s="126" t="str">
        <f t="shared" si="105"/>
        <v>5218</v>
      </c>
      <c r="E1237" s="101">
        <v>231</v>
      </c>
      <c r="F1237" s="101">
        <v>357</v>
      </c>
      <c r="G1237" s="101">
        <v>500</v>
      </c>
      <c r="H1237" s="101">
        <v>18384.32</v>
      </c>
      <c r="I1237" s="101">
        <v>2606.509</v>
      </c>
      <c r="J1237" s="101">
        <v>2588</v>
      </c>
      <c r="K1237" s="101">
        <v>2926</v>
      </c>
      <c r="L1237" s="101">
        <v>3224</v>
      </c>
      <c r="M1237" s="101">
        <v>167269.47</v>
      </c>
      <c r="N1237" s="101">
        <v>33030.103999999999</v>
      </c>
      <c r="O1237" s="101">
        <v>2455</v>
      </c>
      <c r="P1237" s="101">
        <v>2714</v>
      </c>
      <c r="Q1237" s="101">
        <v>2940</v>
      </c>
      <c r="R1237" s="101">
        <v>158219.5</v>
      </c>
      <c r="S1237" s="101">
        <v>38825.703000000001</v>
      </c>
      <c r="T1237" s="169">
        <v>1.02</v>
      </c>
      <c r="U1237" s="127">
        <f t="shared" si="111"/>
        <v>2504.1</v>
      </c>
      <c r="V1237" s="127">
        <f t="shared" si="112"/>
        <v>2768.28</v>
      </c>
      <c r="W1237" s="127">
        <f t="shared" si="113"/>
        <v>2998.8</v>
      </c>
      <c r="X1237" s="127">
        <f t="shared" si="109"/>
        <v>161383.89000000001</v>
      </c>
      <c r="Y1237" s="127">
        <f t="shared" si="114"/>
        <v>39602.217060000003</v>
      </c>
    </row>
    <row r="1238" spans="1:25" ht="11.25" hidden="1" customHeight="1" x14ac:dyDescent="0.3">
      <c r="A1238" s="126" t="s">
        <v>188</v>
      </c>
      <c r="B1238" s="126">
        <v>52</v>
      </c>
      <c r="C1238" s="126">
        <v>28</v>
      </c>
      <c r="D1238" s="126" t="str">
        <f t="shared" si="105"/>
        <v>5228</v>
      </c>
      <c r="E1238" s="101">
        <v>56</v>
      </c>
      <c r="F1238" s="101">
        <v>240</v>
      </c>
      <c r="G1238" s="101">
        <v>8344</v>
      </c>
      <c r="H1238" s="101">
        <v>682485.74</v>
      </c>
      <c r="I1238" s="101">
        <v>166850.89199999996</v>
      </c>
      <c r="J1238" s="101">
        <v>260</v>
      </c>
      <c r="K1238" s="101">
        <v>660</v>
      </c>
      <c r="L1238" s="101">
        <v>4404</v>
      </c>
      <c r="M1238" s="101">
        <v>121781.14</v>
      </c>
      <c r="N1238" s="101">
        <v>35118.381999999998</v>
      </c>
      <c r="O1238" s="101">
        <v>94</v>
      </c>
      <c r="P1238" s="101">
        <v>554</v>
      </c>
      <c r="Q1238" s="101">
        <v>2461</v>
      </c>
      <c r="R1238" s="101">
        <v>79786.929999999993</v>
      </c>
      <c r="S1238" s="101">
        <v>16841.766</v>
      </c>
      <c r="T1238" s="169">
        <v>1.02</v>
      </c>
      <c r="U1238" s="127">
        <v>91</v>
      </c>
      <c r="V1238" s="127">
        <v>560</v>
      </c>
      <c r="W1238" s="127">
        <v>2478</v>
      </c>
      <c r="X1238" s="144">
        <f t="shared" si="109"/>
        <v>81382.66859999999</v>
      </c>
      <c r="Y1238" s="127">
        <v>16908</v>
      </c>
    </row>
    <row r="1239" spans="1:25" ht="11.25" hidden="1" customHeight="1" x14ac:dyDescent="0.3">
      <c r="A1239" s="126" t="s">
        <v>188</v>
      </c>
      <c r="B1239" s="126">
        <v>52</v>
      </c>
      <c r="C1239" s="126">
        <v>46</v>
      </c>
      <c r="D1239" s="126" t="str">
        <f t="shared" si="105"/>
        <v>5246</v>
      </c>
      <c r="E1239" s="101">
        <v>101</v>
      </c>
      <c r="F1239" s="101">
        <v>209</v>
      </c>
      <c r="G1239" s="101">
        <v>4197</v>
      </c>
      <c r="H1239" s="101">
        <v>28134.91</v>
      </c>
      <c r="I1239" s="101">
        <v>9008.7720000000008</v>
      </c>
      <c r="J1239" s="101">
        <v>37</v>
      </c>
      <c r="K1239" s="101">
        <v>113</v>
      </c>
      <c r="L1239" s="101">
        <v>14365</v>
      </c>
      <c r="M1239" s="101">
        <v>230411.55</v>
      </c>
      <c r="N1239" s="101">
        <v>61715.622000000003</v>
      </c>
      <c r="O1239" s="101">
        <v>91</v>
      </c>
      <c r="P1239" s="101">
        <v>168</v>
      </c>
      <c r="Q1239" s="101">
        <v>4889</v>
      </c>
      <c r="R1239" s="101">
        <v>57610.01</v>
      </c>
      <c r="S1239" s="101">
        <v>13244.583000000001</v>
      </c>
      <c r="T1239" s="169">
        <v>1.02</v>
      </c>
      <c r="U1239" s="127">
        <f t="shared" si="111"/>
        <v>92.820000000000007</v>
      </c>
      <c r="V1239" s="127">
        <f t="shared" si="112"/>
        <v>171.36</v>
      </c>
      <c r="W1239" s="127">
        <f t="shared" si="113"/>
        <v>4986.78</v>
      </c>
      <c r="X1239" s="127">
        <f t="shared" si="109"/>
        <v>58762.210200000001</v>
      </c>
      <c r="Y1239" s="127">
        <f t="shared" si="114"/>
        <v>13509.474660000002</v>
      </c>
    </row>
    <row r="1240" spans="1:25" ht="11.25" hidden="1" customHeight="1" x14ac:dyDescent="0.3">
      <c r="A1240" s="126" t="s">
        <v>188</v>
      </c>
      <c r="B1240" s="126">
        <v>52</v>
      </c>
      <c r="C1240" s="126">
        <v>66</v>
      </c>
      <c r="D1240" s="126" t="str">
        <f t="shared" si="105"/>
        <v>5266</v>
      </c>
      <c r="E1240" s="101">
        <v>92</v>
      </c>
      <c r="F1240" s="101">
        <v>377</v>
      </c>
      <c r="G1240" s="101">
        <v>3953</v>
      </c>
      <c r="H1240" s="101">
        <v>41046</v>
      </c>
      <c r="I1240" s="101">
        <v>20167.946</v>
      </c>
      <c r="J1240" s="101">
        <v>109</v>
      </c>
      <c r="K1240" s="101">
        <v>193</v>
      </c>
      <c r="L1240" s="101">
        <v>2893</v>
      </c>
      <c r="M1240" s="101">
        <v>30322.23</v>
      </c>
      <c r="N1240" s="101">
        <v>10498.778</v>
      </c>
      <c r="O1240" s="101">
        <v>165</v>
      </c>
      <c r="P1240" s="101">
        <v>1064</v>
      </c>
      <c r="Q1240" s="101">
        <v>24698</v>
      </c>
      <c r="R1240" s="101">
        <v>100703.38</v>
      </c>
      <c r="S1240" s="101">
        <v>187947.36900000001</v>
      </c>
      <c r="T1240" s="169">
        <v>1.02</v>
      </c>
      <c r="U1240" s="127">
        <f t="shared" si="111"/>
        <v>168.3</v>
      </c>
      <c r="V1240" s="127">
        <f t="shared" si="112"/>
        <v>1085.28</v>
      </c>
      <c r="W1240" s="127">
        <f t="shared" si="113"/>
        <v>25191.96</v>
      </c>
      <c r="X1240" s="127">
        <f t="shared" si="109"/>
        <v>102717.4476</v>
      </c>
      <c r="Y1240" s="127">
        <f t="shared" si="114"/>
        <v>191706.31638</v>
      </c>
    </row>
    <row r="1241" spans="1:25" ht="11.25" hidden="1" customHeight="1" x14ac:dyDescent="0.3">
      <c r="A1241" s="126" t="s">
        <v>188</v>
      </c>
      <c r="B1241" s="126">
        <v>52</v>
      </c>
      <c r="C1241" s="126">
        <v>30</v>
      </c>
      <c r="D1241" s="126" t="str">
        <f t="shared" si="105"/>
        <v>5230</v>
      </c>
      <c r="E1241" s="101">
        <v>153</v>
      </c>
      <c r="F1241" s="101">
        <v>479.5</v>
      </c>
      <c r="G1241" s="101">
        <v>4940.5</v>
      </c>
      <c r="H1241" s="101">
        <v>208985.60500000001</v>
      </c>
      <c r="I1241" s="101">
        <v>84412.5</v>
      </c>
      <c r="J1241" s="101">
        <v>0</v>
      </c>
      <c r="K1241" s="101">
        <v>0</v>
      </c>
      <c r="L1241" s="101">
        <v>0</v>
      </c>
      <c r="M1241" s="101">
        <v>0</v>
      </c>
      <c r="N1241" s="101">
        <v>0</v>
      </c>
      <c r="O1241" s="101">
        <v>31</v>
      </c>
      <c r="P1241" s="101">
        <v>38</v>
      </c>
      <c r="Q1241" s="101">
        <v>701</v>
      </c>
      <c r="R1241" s="101">
        <v>67857.13</v>
      </c>
      <c r="S1241" s="101">
        <v>43701.673000000003</v>
      </c>
      <c r="T1241" s="169">
        <v>1.02</v>
      </c>
      <c r="U1241" s="127">
        <f t="shared" si="111"/>
        <v>31.62</v>
      </c>
      <c r="V1241" s="127">
        <f t="shared" si="112"/>
        <v>38.76</v>
      </c>
      <c r="W1241" s="127">
        <f t="shared" si="113"/>
        <v>715.02</v>
      </c>
      <c r="X1241" s="127">
        <f t="shared" si="109"/>
        <v>69214.272600000011</v>
      </c>
      <c r="Y1241" s="127">
        <f t="shared" si="114"/>
        <v>44575.706460000001</v>
      </c>
    </row>
    <row r="1242" spans="1:25" ht="11.25" hidden="1" customHeight="1" x14ac:dyDescent="0.3">
      <c r="A1242" s="126" t="s">
        <v>188</v>
      </c>
      <c r="B1242" s="126">
        <v>52</v>
      </c>
      <c r="C1242" s="126">
        <v>21</v>
      </c>
      <c r="D1242" s="126" t="str">
        <f t="shared" si="105"/>
        <v>5221</v>
      </c>
      <c r="E1242" s="101">
        <v>246</v>
      </c>
      <c r="F1242" s="101">
        <v>999</v>
      </c>
      <c r="G1242" s="101">
        <v>9646.5</v>
      </c>
      <c r="H1242" s="101">
        <v>67762.604999999996</v>
      </c>
      <c r="I1242" s="101">
        <v>18939.425499999998</v>
      </c>
      <c r="J1242" s="101">
        <v>316</v>
      </c>
      <c r="K1242" s="101">
        <v>2807</v>
      </c>
      <c r="L1242" s="101">
        <v>23850</v>
      </c>
      <c r="M1242" s="101">
        <v>279057.91000000003</v>
      </c>
      <c r="N1242" s="101">
        <v>65520.837</v>
      </c>
      <c r="O1242" s="101">
        <v>125</v>
      </c>
      <c r="P1242" s="101">
        <v>1169</v>
      </c>
      <c r="Q1242" s="101">
        <v>3763</v>
      </c>
      <c r="R1242" s="101">
        <v>51897.93</v>
      </c>
      <c r="S1242" s="101">
        <v>13775.142</v>
      </c>
      <c r="T1242" s="169">
        <v>1.02</v>
      </c>
      <c r="U1242" s="127"/>
      <c r="V1242" s="127"/>
      <c r="W1242" s="127"/>
      <c r="X1242" s="127"/>
      <c r="Y1242" s="127"/>
    </row>
    <row r="1243" spans="1:25" ht="11.25" hidden="1" customHeight="1" x14ac:dyDescent="0.3">
      <c r="A1243" s="126" t="s">
        <v>188</v>
      </c>
      <c r="B1243" s="126">
        <v>52</v>
      </c>
      <c r="C1243" s="126">
        <v>71</v>
      </c>
      <c r="D1243" s="126" t="str">
        <f t="shared" si="105"/>
        <v>5271</v>
      </c>
      <c r="E1243" s="101">
        <v>193.5</v>
      </c>
      <c r="F1243" s="101">
        <v>7766</v>
      </c>
      <c r="G1243" s="101">
        <v>15369.5</v>
      </c>
      <c r="H1243" s="101">
        <v>112384.69500000001</v>
      </c>
      <c r="I1243" s="101">
        <v>50331.561999999998</v>
      </c>
      <c r="J1243" s="101">
        <v>117</v>
      </c>
      <c r="K1243" s="101">
        <v>6706</v>
      </c>
      <c r="L1243" s="101">
        <v>14440</v>
      </c>
      <c r="M1243" s="101">
        <v>138263.65</v>
      </c>
      <c r="N1243" s="101">
        <v>64055.534</v>
      </c>
      <c r="O1243" s="101">
        <v>2</v>
      </c>
      <c r="P1243" s="101">
        <v>2</v>
      </c>
      <c r="Q1243" s="101">
        <v>2</v>
      </c>
      <c r="R1243" s="101">
        <v>8.2200000000000006</v>
      </c>
      <c r="S1243" s="101">
        <v>1.6519999999999999</v>
      </c>
      <c r="T1243" s="169">
        <v>0.98</v>
      </c>
      <c r="U1243" s="127">
        <v>4</v>
      </c>
      <c r="V1243" s="127">
        <v>4</v>
      </c>
      <c r="W1243" s="127">
        <v>4</v>
      </c>
      <c r="X1243" s="127">
        <v>8</v>
      </c>
      <c r="Y1243" s="127">
        <v>22</v>
      </c>
    </row>
    <row r="1244" spans="1:25" ht="11.25" hidden="1" customHeight="1" x14ac:dyDescent="0.3">
      <c r="A1244" s="126" t="s">
        <v>188</v>
      </c>
      <c r="B1244" s="126">
        <v>52</v>
      </c>
      <c r="C1244" s="126">
        <v>25</v>
      </c>
      <c r="D1244" s="126" t="str">
        <f t="shared" si="105"/>
        <v>5225</v>
      </c>
      <c r="E1244" s="101">
        <v>1</v>
      </c>
      <c r="F1244" s="101">
        <v>4</v>
      </c>
      <c r="G1244" s="101">
        <v>7</v>
      </c>
      <c r="H1244" s="101">
        <v>23.19</v>
      </c>
      <c r="I1244" s="101">
        <v>2.0249999999999999</v>
      </c>
      <c r="J1244" s="101">
        <v>0</v>
      </c>
      <c r="K1244" s="101">
        <v>0</v>
      </c>
      <c r="L1244" s="101">
        <v>0</v>
      </c>
      <c r="M1244" s="101">
        <v>0</v>
      </c>
      <c r="N1244" s="101">
        <v>0</v>
      </c>
      <c r="O1244" s="101">
        <v>0</v>
      </c>
      <c r="P1244" s="101">
        <v>0</v>
      </c>
      <c r="Q1244" s="101">
        <v>0</v>
      </c>
      <c r="R1244" s="101">
        <v>0</v>
      </c>
      <c r="S1244" s="101">
        <v>0</v>
      </c>
      <c r="T1244" s="169">
        <v>1.02</v>
      </c>
      <c r="U1244" s="127">
        <f t="shared" si="111"/>
        <v>0</v>
      </c>
      <c r="V1244" s="127">
        <f t="shared" si="112"/>
        <v>0</v>
      </c>
      <c r="W1244" s="127">
        <f t="shared" si="113"/>
        <v>0</v>
      </c>
      <c r="X1244" s="127">
        <f t="shared" si="109"/>
        <v>0</v>
      </c>
      <c r="Y1244" s="127">
        <f t="shared" si="114"/>
        <v>0</v>
      </c>
    </row>
    <row r="1245" spans="1:25" ht="11.25" hidden="1" customHeight="1" x14ac:dyDescent="0.3">
      <c r="A1245" s="126" t="s">
        <v>188</v>
      </c>
      <c r="B1245" s="126">
        <v>52</v>
      </c>
      <c r="C1245" s="126">
        <v>14</v>
      </c>
      <c r="D1245" s="126" t="str">
        <f t="shared" si="105"/>
        <v>5214</v>
      </c>
      <c r="J1245" s="101">
        <v>20</v>
      </c>
      <c r="K1245" s="101">
        <v>20</v>
      </c>
      <c r="L1245" s="101">
        <v>26</v>
      </c>
      <c r="M1245" s="101">
        <v>1911.32</v>
      </c>
      <c r="N1245" s="101">
        <v>246.17</v>
      </c>
      <c r="O1245" s="101">
        <v>55</v>
      </c>
      <c r="P1245" s="101">
        <v>73</v>
      </c>
      <c r="Q1245" s="101">
        <v>111</v>
      </c>
      <c r="R1245" s="101">
        <v>5545.05</v>
      </c>
      <c r="S1245" s="101">
        <v>992.63400000000001</v>
      </c>
      <c r="T1245" s="169">
        <v>1.02</v>
      </c>
      <c r="U1245" s="127">
        <f t="shared" si="111"/>
        <v>56.1</v>
      </c>
      <c r="V1245" s="127">
        <f t="shared" si="112"/>
        <v>74.460000000000008</v>
      </c>
      <c r="W1245" s="127">
        <f t="shared" si="113"/>
        <v>113.22</v>
      </c>
      <c r="X1245" s="127">
        <f t="shared" si="109"/>
        <v>5655.951</v>
      </c>
      <c r="Y1245" s="127">
        <f t="shared" si="114"/>
        <v>1012.48668</v>
      </c>
    </row>
    <row r="1246" spans="1:25" ht="11.25" hidden="1" customHeight="1" x14ac:dyDescent="0.3">
      <c r="A1246" s="126" t="s">
        <v>188</v>
      </c>
      <c r="B1246" s="126">
        <v>52</v>
      </c>
      <c r="C1246" s="126">
        <v>22</v>
      </c>
      <c r="D1246" s="126" t="str">
        <f t="shared" si="105"/>
        <v>5222</v>
      </c>
      <c r="J1246" s="101">
        <v>4</v>
      </c>
      <c r="K1246" s="101">
        <v>5</v>
      </c>
      <c r="L1246" s="101">
        <v>1072</v>
      </c>
      <c r="M1246" s="101">
        <v>1751.61</v>
      </c>
      <c r="N1246" s="101">
        <v>851.38800000000003</v>
      </c>
      <c r="O1246" s="101">
        <v>2</v>
      </c>
      <c r="P1246" s="101">
        <v>2</v>
      </c>
      <c r="Q1246" s="101">
        <v>11</v>
      </c>
      <c r="R1246" s="101">
        <v>1195.2</v>
      </c>
      <c r="S1246" s="101">
        <v>110.105</v>
      </c>
      <c r="T1246" s="169">
        <v>1.02</v>
      </c>
      <c r="U1246" s="127">
        <f t="shared" si="111"/>
        <v>2.04</v>
      </c>
      <c r="V1246" s="127">
        <f t="shared" si="112"/>
        <v>2.04</v>
      </c>
      <c r="W1246" s="127">
        <f t="shared" si="113"/>
        <v>11.22</v>
      </c>
      <c r="X1246" s="127">
        <f t="shared" si="109"/>
        <v>1219.104</v>
      </c>
      <c r="Y1246" s="127">
        <f t="shared" si="114"/>
        <v>112.30710000000001</v>
      </c>
    </row>
    <row r="1247" spans="1:25" ht="11.25" hidden="1" customHeight="1" x14ac:dyDescent="0.3">
      <c r="A1247" s="126" t="s">
        <v>188</v>
      </c>
      <c r="B1247" s="126">
        <v>52</v>
      </c>
      <c r="C1247" s="126">
        <v>26</v>
      </c>
      <c r="D1247" s="126" t="str">
        <f t="shared" si="105"/>
        <v>5226</v>
      </c>
      <c r="J1247" s="101">
        <v>0</v>
      </c>
      <c r="K1247" s="101">
        <v>0</v>
      </c>
      <c r="L1247" s="101">
        <v>0</v>
      </c>
      <c r="M1247" s="101">
        <v>0</v>
      </c>
      <c r="N1247" s="101">
        <v>0</v>
      </c>
      <c r="O1247" s="101">
        <v>0</v>
      </c>
      <c r="P1247" s="101">
        <v>0</v>
      </c>
      <c r="Q1247" s="101">
        <v>0</v>
      </c>
      <c r="R1247" s="101">
        <v>0</v>
      </c>
      <c r="S1247" s="101">
        <v>0</v>
      </c>
      <c r="T1247" s="169">
        <v>1.02</v>
      </c>
      <c r="U1247" s="127">
        <f t="shared" si="111"/>
        <v>0</v>
      </c>
      <c r="V1247" s="127">
        <f t="shared" si="112"/>
        <v>0</v>
      </c>
      <c r="W1247" s="127">
        <f t="shared" si="113"/>
        <v>0</v>
      </c>
      <c r="X1247" s="127">
        <f t="shared" si="109"/>
        <v>0</v>
      </c>
      <c r="Y1247" s="127">
        <f t="shared" si="114"/>
        <v>0</v>
      </c>
    </row>
    <row r="1248" spans="1:25" ht="11.25" hidden="1" customHeight="1" x14ac:dyDescent="0.3">
      <c r="A1248" s="126" t="s">
        <v>188</v>
      </c>
      <c r="B1248" s="126">
        <v>52</v>
      </c>
      <c r="C1248" s="126">
        <v>32</v>
      </c>
      <c r="D1248" s="126" t="str">
        <f t="shared" si="105"/>
        <v>5232</v>
      </c>
      <c r="J1248" s="101">
        <v>4</v>
      </c>
      <c r="K1248" s="101">
        <v>40</v>
      </c>
      <c r="L1248" s="101">
        <v>816</v>
      </c>
      <c r="M1248" s="101">
        <v>8140.14</v>
      </c>
      <c r="N1248" s="101">
        <v>2535.7330000000002</v>
      </c>
      <c r="O1248" s="101">
        <v>5</v>
      </c>
      <c r="P1248" s="101">
        <v>8</v>
      </c>
      <c r="Q1248" s="101">
        <v>413</v>
      </c>
      <c r="R1248" s="101">
        <v>10190.5</v>
      </c>
      <c r="S1248" s="101">
        <v>3409.5160000000001</v>
      </c>
      <c r="T1248" s="169">
        <v>1.02</v>
      </c>
      <c r="U1248" s="127">
        <f t="shared" si="111"/>
        <v>5.0999999999999996</v>
      </c>
      <c r="V1248" s="127">
        <f t="shared" si="112"/>
        <v>8.16</v>
      </c>
      <c r="W1248" s="127">
        <f t="shared" si="113"/>
        <v>421.26</v>
      </c>
      <c r="X1248" s="127">
        <f t="shared" si="109"/>
        <v>10394.31</v>
      </c>
      <c r="Y1248" s="127">
        <f t="shared" si="114"/>
        <v>3477.7063200000002</v>
      </c>
    </row>
    <row r="1249" spans="1:25" ht="11.25" hidden="1" customHeight="1" x14ac:dyDescent="0.3">
      <c r="A1249" s="126" t="s">
        <v>188</v>
      </c>
      <c r="B1249" s="126">
        <v>52</v>
      </c>
      <c r="C1249" s="126">
        <v>43</v>
      </c>
      <c r="D1249" s="126" t="str">
        <f t="shared" si="105"/>
        <v>5243</v>
      </c>
      <c r="J1249" s="101">
        <v>0</v>
      </c>
      <c r="K1249" s="101">
        <v>0</v>
      </c>
      <c r="L1249" s="101">
        <v>0</v>
      </c>
      <c r="M1249" s="101">
        <v>0</v>
      </c>
      <c r="N1249" s="101">
        <v>0</v>
      </c>
      <c r="O1249" s="101">
        <v>0</v>
      </c>
      <c r="P1249" s="101">
        <v>0</v>
      </c>
      <c r="Q1249" s="101">
        <v>0</v>
      </c>
      <c r="R1249" s="101">
        <v>0</v>
      </c>
      <c r="S1249" s="101">
        <v>0</v>
      </c>
      <c r="T1249" s="169">
        <v>1.02</v>
      </c>
      <c r="U1249" s="127">
        <f t="shared" si="111"/>
        <v>0</v>
      </c>
      <c r="V1249" s="127">
        <f t="shared" si="112"/>
        <v>0</v>
      </c>
      <c r="W1249" s="127">
        <f t="shared" si="113"/>
        <v>0</v>
      </c>
      <c r="X1249" s="127">
        <f t="shared" si="109"/>
        <v>0</v>
      </c>
      <c r="Y1249" s="127">
        <f t="shared" si="114"/>
        <v>0</v>
      </c>
    </row>
    <row r="1250" spans="1:25" ht="11.25" hidden="1" customHeight="1" x14ac:dyDescent="0.3">
      <c r="A1250" s="126" t="s">
        <v>188</v>
      </c>
      <c r="B1250" s="126">
        <v>52</v>
      </c>
      <c r="C1250" s="126">
        <v>44</v>
      </c>
      <c r="D1250" s="126" t="str">
        <f t="shared" si="105"/>
        <v>5244</v>
      </c>
      <c r="J1250" s="101">
        <v>0</v>
      </c>
      <c r="K1250" s="101">
        <v>0</v>
      </c>
      <c r="L1250" s="101">
        <v>0</v>
      </c>
      <c r="M1250" s="101">
        <v>0</v>
      </c>
      <c r="N1250" s="101">
        <v>0</v>
      </c>
      <c r="O1250" s="101">
        <v>0</v>
      </c>
      <c r="P1250" s="101">
        <v>0</v>
      </c>
      <c r="Q1250" s="101">
        <v>0</v>
      </c>
      <c r="R1250" s="101">
        <v>0</v>
      </c>
      <c r="S1250" s="101">
        <v>0</v>
      </c>
      <c r="T1250" s="169">
        <v>1.02</v>
      </c>
      <c r="U1250" s="127">
        <f t="shared" si="111"/>
        <v>0</v>
      </c>
      <c r="V1250" s="127">
        <f t="shared" si="112"/>
        <v>0</v>
      </c>
      <c r="W1250" s="127">
        <f t="shared" si="113"/>
        <v>0</v>
      </c>
      <c r="X1250" s="127">
        <f t="shared" si="109"/>
        <v>0</v>
      </c>
      <c r="Y1250" s="127">
        <f t="shared" si="114"/>
        <v>0</v>
      </c>
    </row>
    <row r="1251" spans="1:25" ht="11.25" hidden="1" customHeight="1" x14ac:dyDescent="0.3">
      <c r="A1251" s="126" t="s">
        <v>188</v>
      </c>
      <c r="B1251" s="126">
        <v>52</v>
      </c>
      <c r="C1251" s="126">
        <v>45</v>
      </c>
      <c r="D1251" s="126" t="str">
        <f t="shared" si="105"/>
        <v>5245</v>
      </c>
      <c r="J1251" s="101">
        <v>0</v>
      </c>
      <c r="K1251" s="101">
        <v>0</v>
      </c>
      <c r="L1251" s="101">
        <v>0</v>
      </c>
      <c r="M1251" s="101">
        <v>0</v>
      </c>
      <c r="N1251" s="101">
        <v>0</v>
      </c>
      <c r="O1251" s="101">
        <v>0</v>
      </c>
      <c r="P1251" s="101">
        <v>0</v>
      </c>
      <c r="Q1251" s="101">
        <v>0</v>
      </c>
      <c r="R1251" s="101">
        <v>0</v>
      </c>
      <c r="S1251" s="101">
        <v>0</v>
      </c>
      <c r="T1251" s="169">
        <v>1.02</v>
      </c>
      <c r="U1251" s="127">
        <f t="shared" si="111"/>
        <v>0</v>
      </c>
      <c r="V1251" s="127">
        <f t="shared" si="112"/>
        <v>0</v>
      </c>
      <c r="W1251" s="127">
        <f t="shared" si="113"/>
        <v>0</v>
      </c>
      <c r="X1251" s="127">
        <f t="shared" si="109"/>
        <v>0</v>
      </c>
      <c r="Y1251" s="127">
        <f t="shared" si="114"/>
        <v>0</v>
      </c>
    </row>
    <row r="1252" spans="1:25" ht="11.25" hidden="1" customHeight="1" x14ac:dyDescent="0.3">
      <c r="A1252" s="126" t="s">
        <v>188</v>
      </c>
      <c r="B1252" s="126">
        <v>52</v>
      </c>
      <c r="C1252" s="126">
        <v>91</v>
      </c>
      <c r="D1252" s="126" t="str">
        <f t="shared" si="105"/>
        <v>5291</v>
      </c>
      <c r="J1252" s="101">
        <v>15</v>
      </c>
      <c r="K1252" s="101">
        <v>26</v>
      </c>
      <c r="L1252" s="101">
        <v>369</v>
      </c>
      <c r="M1252" s="101">
        <v>894.53</v>
      </c>
      <c r="N1252" s="101">
        <v>574.899</v>
      </c>
      <c r="O1252" s="101">
        <v>15</v>
      </c>
      <c r="P1252" s="101">
        <v>66</v>
      </c>
      <c r="Q1252" s="101">
        <v>222</v>
      </c>
      <c r="R1252" s="101">
        <v>2036.14</v>
      </c>
      <c r="S1252" s="101">
        <v>726.69600000000003</v>
      </c>
      <c r="T1252" s="169">
        <v>1.02</v>
      </c>
      <c r="U1252" s="127">
        <f t="shared" si="111"/>
        <v>15.3</v>
      </c>
      <c r="V1252" s="127">
        <f t="shared" si="112"/>
        <v>67.320000000000007</v>
      </c>
      <c r="W1252" s="127">
        <f t="shared" si="113"/>
        <v>226.44</v>
      </c>
      <c r="X1252" s="127">
        <f t="shared" si="109"/>
        <v>2076.8628000000003</v>
      </c>
      <c r="Y1252" s="127">
        <f t="shared" si="114"/>
        <v>741.22991999999999</v>
      </c>
    </row>
    <row r="1253" spans="1:25" ht="11.25" hidden="1" customHeight="1" x14ac:dyDescent="0.3">
      <c r="A1253" s="126" t="s">
        <v>188</v>
      </c>
      <c r="B1253" s="126">
        <v>52</v>
      </c>
      <c r="C1253" s="126">
        <v>47</v>
      </c>
      <c r="D1253" s="126" t="str">
        <f t="shared" si="105"/>
        <v>5247</v>
      </c>
      <c r="J1253" s="101">
        <v>0</v>
      </c>
      <c r="K1253" s="101">
        <v>0</v>
      </c>
      <c r="L1253" s="101">
        <v>0</v>
      </c>
      <c r="M1253" s="101">
        <v>0</v>
      </c>
      <c r="N1253" s="101">
        <v>0</v>
      </c>
      <c r="O1253" s="101">
        <v>1</v>
      </c>
      <c r="P1253" s="101">
        <v>4</v>
      </c>
      <c r="Q1253" s="101">
        <v>64</v>
      </c>
      <c r="R1253" s="101">
        <v>4044.54</v>
      </c>
      <c r="S1253" s="101">
        <v>956.23199999999997</v>
      </c>
      <c r="T1253" s="169">
        <v>1.02</v>
      </c>
      <c r="U1253" s="127">
        <f t="shared" si="111"/>
        <v>1.02</v>
      </c>
      <c r="V1253" s="127">
        <f t="shared" si="112"/>
        <v>4.08</v>
      </c>
      <c r="W1253" s="127">
        <f t="shared" si="113"/>
        <v>65.28</v>
      </c>
      <c r="X1253" s="127">
        <f t="shared" si="109"/>
        <v>4125.4308000000001</v>
      </c>
      <c r="Y1253" s="127">
        <f t="shared" si="114"/>
        <v>975.35663999999997</v>
      </c>
    </row>
    <row r="1254" spans="1:25" ht="11.25" hidden="1" customHeight="1" x14ac:dyDescent="0.3">
      <c r="A1254" s="126" t="s">
        <v>188</v>
      </c>
      <c r="B1254" s="126">
        <v>52</v>
      </c>
      <c r="C1254" s="126">
        <v>48</v>
      </c>
      <c r="D1254" s="126" t="str">
        <f t="shared" si="105"/>
        <v>5248</v>
      </c>
      <c r="J1254" s="101">
        <v>0</v>
      </c>
      <c r="K1254" s="101">
        <v>0</v>
      </c>
      <c r="L1254" s="101">
        <v>0</v>
      </c>
      <c r="M1254" s="101">
        <v>0</v>
      </c>
      <c r="N1254" s="101">
        <v>0</v>
      </c>
      <c r="O1254" s="101">
        <v>0</v>
      </c>
      <c r="P1254" s="101">
        <v>0</v>
      </c>
      <c r="Q1254" s="101">
        <v>0</v>
      </c>
      <c r="R1254" s="101">
        <v>0</v>
      </c>
      <c r="S1254" s="101">
        <v>0</v>
      </c>
      <c r="T1254" s="169">
        <v>1.02</v>
      </c>
      <c r="U1254" s="127">
        <f t="shared" si="111"/>
        <v>0</v>
      </c>
      <c r="V1254" s="127">
        <f t="shared" si="112"/>
        <v>0</v>
      </c>
      <c r="W1254" s="127">
        <f t="shared" si="113"/>
        <v>0</v>
      </c>
      <c r="X1254" s="127">
        <f t="shared" si="109"/>
        <v>0</v>
      </c>
      <c r="Y1254" s="127">
        <f t="shared" si="114"/>
        <v>0</v>
      </c>
    </row>
    <row r="1255" spans="1:25" ht="11.25" hidden="1" customHeight="1" x14ac:dyDescent="0.3">
      <c r="A1255" s="126" t="s">
        <v>188</v>
      </c>
      <c r="B1255" s="126">
        <v>52</v>
      </c>
      <c r="C1255" s="126">
        <v>27</v>
      </c>
      <c r="D1255" s="126" t="str">
        <f t="shared" si="105"/>
        <v>5227</v>
      </c>
      <c r="E1255" s="101">
        <v>5</v>
      </c>
      <c r="F1255" s="101">
        <v>13</v>
      </c>
      <c r="G1255" s="101">
        <v>54</v>
      </c>
      <c r="H1255" s="101">
        <v>251.18</v>
      </c>
      <c r="I1255" s="101">
        <v>30.381999999999998</v>
      </c>
      <c r="J1255" s="101">
        <v>0</v>
      </c>
      <c r="K1255" s="101">
        <v>0</v>
      </c>
      <c r="L1255" s="101">
        <v>0</v>
      </c>
      <c r="M1255" s="101">
        <v>0</v>
      </c>
      <c r="N1255" s="101">
        <v>0</v>
      </c>
      <c r="O1255" s="101">
        <v>0</v>
      </c>
      <c r="P1255" s="101">
        <v>0</v>
      </c>
      <c r="Q1255" s="101">
        <v>0</v>
      </c>
      <c r="R1255" s="101">
        <v>0</v>
      </c>
      <c r="S1255" s="101">
        <v>0</v>
      </c>
      <c r="T1255" s="169">
        <v>1.02</v>
      </c>
      <c r="U1255" s="127">
        <f t="shared" si="111"/>
        <v>0</v>
      </c>
      <c r="V1255" s="127">
        <f t="shared" si="112"/>
        <v>0</v>
      </c>
      <c r="W1255" s="127">
        <f t="shared" si="113"/>
        <v>0</v>
      </c>
      <c r="X1255" s="127">
        <f t="shared" si="109"/>
        <v>0</v>
      </c>
      <c r="Y1255" s="127">
        <f t="shared" si="114"/>
        <v>0</v>
      </c>
    </row>
    <row r="1256" spans="1:25" ht="11.25" customHeight="1" x14ac:dyDescent="0.3">
      <c r="A1256" s="126" t="s">
        <v>188</v>
      </c>
      <c r="B1256" s="126">
        <v>52</v>
      </c>
      <c r="C1256" s="126" t="s">
        <v>172</v>
      </c>
      <c r="D1256" s="126" t="str">
        <f t="shared" si="105"/>
        <v>52Uml</v>
      </c>
      <c r="J1256" s="101">
        <v>11</v>
      </c>
      <c r="K1256" s="101">
        <v>20</v>
      </c>
      <c r="L1256" s="101">
        <v>9070</v>
      </c>
      <c r="N1256" s="101">
        <v>3340</v>
      </c>
      <c r="O1256" s="101">
        <v>121</v>
      </c>
      <c r="P1256" s="101">
        <v>121</v>
      </c>
      <c r="Q1256" s="101">
        <v>21302</v>
      </c>
      <c r="S1256" s="101">
        <v>114622.541</v>
      </c>
      <c r="T1256" s="169">
        <v>1.02</v>
      </c>
      <c r="U1256" s="127">
        <f t="shared" si="111"/>
        <v>123.42</v>
      </c>
      <c r="V1256" s="127">
        <f t="shared" si="112"/>
        <v>123.42</v>
      </c>
      <c r="W1256" s="127">
        <f t="shared" si="113"/>
        <v>21728.04</v>
      </c>
      <c r="X1256" s="127">
        <f t="shared" si="109"/>
        <v>0</v>
      </c>
      <c r="Y1256" s="127">
        <f t="shared" si="114"/>
        <v>116914.99182</v>
      </c>
    </row>
    <row r="1257" spans="1:25" ht="11.25" hidden="1" customHeight="1" x14ac:dyDescent="0.3">
      <c r="A1257" s="126" t="s">
        <v>188</v>
      </c>
      <c r="B1257" s="126">
        <v>52</v>
      </c>
      <c r="C1257" s="126">
        <v>37</v>
      </c>
      <c r="D1257" s="126" t="str">
        <f t="shared" si="105"/>
        <v>5237</v>
      </c>
      <c r="E1257" s="101">
        <v>5.5</v>
      </c>
      <c r="F1257" s="101">
        <v>14.5</v>
      </c>
      <c r="G1257" s="101">
        <v>797.5</v>
      </c>
      <c r="H1257" s="101">
        <v>1933.5449999999998</v>
      </c>
      <c r="I1257" s="101">
        <v>913.76525000000004</v>
      </c>
      <c r="J1257" s="101">
        <v>8</v>
      </c>
      <c r="K1257" s="101">
        <v>28</v>
      </c>
      <c r="L1257" s="101">
        <v>164</v>
      </c>
      <c r="M1257" s="101">
        <v>1996.9</v>
      </c>
      <c r="N1257" s="101">
        <v>974.98199999999997</v>
      </c>
      <c r="O1257" s="101">
        <v>16</v>
      </c>
      <c r="P1257" s="101">
        <v>59</v>
      </c>
      <c r="Q1257" s="101">
        <v>428</v>
      </c>
      <c r="R1257" s="101">
        <v>4892.9399999999996</v>
      </c>
      <c r="S1257" s="101">
        <v>2803.7249999999999</v>
      </c>
      <c r="T1257" s="169">
        <v>1.02</v>
      </c>
      <c r="U1257" s="127">
        <f t="shared" si="111"/>
        <v>16.32</v>
      </c>
      <c r="V1257" s="127">
        <f t="shared" si="112"/>
        <v>60.18</v>
      </c>
      <c r="W1257" s="127">
        <f t="shared" si="113"/>
        <v>436.56</v>
      </c>
      <c r="X1257" s="127">
        <f t="shared" si="109"/>
        <v>4990.7987999999996</v>
      </c>
      <c r="Y1257" s="127">
        <f t="shared" si="114"/>
        <v>2859.7995000000001</v>
      </c>
    </row>
    <row r="1258" spans="1:25" ht="11.25" hidden="1" customHeight="1" x14ac:dyDescent="0.3">
      <c r="A1258" s="126" t="s">
        <v>188</v>
      </c>
      <c r="B1258" s="126">
        <v>53</v>
      </c>
      <c r="C1258" s="126">
        <v>12</v>
      </c>
      <c r="D1258" s="126" t="str">
        <f t="shared" si="105"/>
        <v>5312</v>
      </c>
      <c r="E1258" s="101">
        <v>12</v>
      </c>
      <c r="F1258" s="101">
        <v>13</v>
      </c>
      <c r="G1258" s="101">
        <v>28</v>
      </c>
      <c r="H1258" s="101">
        <v>266.20999999999998</v>
      </c>
      <c r="I1258" s="101">
        <v>113.274</v>
      </c>
      <c r="O1258" s="144">
        <v>0</v>
      </c>
      <c r="P1258" s="144">
        <v>0</v>
      </c>
      <c r="Q1258" s="144">
        <v>0</v>
      </c>
      <c r="R1258" s="144">
        <v>0</v>
      </c>
      <c r="S1258" s="144">
        <v>0</v>
      </c>
      <c r="T1258" s="169">
        <v>1.02</v>
      </c>
      <c r="U1258" s="144">
        <f t="shared" si="111"/>
        <v>0</v>
      </c>
      <c r="V1258" s="144">
        <f t="shared" si="112"/>
        <v>0</v>
      </c>
      <c r="W1258" s="144">
        <f t="shared" si="113"/>
        <v>0</v>
      </c>
      <c r="X1258" s="144">
        <f t="shared" si="109"/>
        <v>0</v>
      </c>
      <c r="Y1258" s="144">
        <f t="shared" si="114"/>
        <v>0</v>
      </c>
    </row>
    <row r="1259" spans="1:25" ht="11.25" hidden="1" customHeight="1" x14ac:dyDescent="0.3">
      <c r="A1259" s="126" t="s">
        <v>188</v>
      </c>
      <c r="B1259" s="126">
        <v>53</v>
      </c>
      <c r="C1259" s="126">
        <v>17</v>
      </c>
      <c r="D1259" s="126" t="str">
        <f t="shared" si="105"/>
        <v>5317</v>
      </c>
      <c r="E1259" s="101">
        <v>1104</v>
      </c>
      <c r="F1259" s="101">
        <v>1641</v>
      </c>
      <c r="G1259" s="101">
        <v>2076</v>
      </c>
      <c r="H1259" s="101">
        <v>70371.240000000005</v>
      </c>
      <c r="I1259" s="101">
        <v>12966.434000000001</v>
      </c>
      <c r="O1259" s="144">
        <v>0</v>
      </c>
      <c r="P1259" s="144">
        <v>0</v>
      </c>
      <c r="Q1259" s="144">
        <v>0</v>
      </c>
      <c r="R1259" s="144">
        <v>0</v>
      </c>
      <c r="S1259" s="144">
        <v>0</v>
      </c>
      <c r="T1259" s="169">
        <v>1.02</v>
      </c>
      <c r="U1259" s="127">
        <f t="shared" si="111"/>
        <v>0</v>
      </c>
      <c r="V1259" s="101">
        <v>0</v>
      </c>
      <c r="W1259" s="127">
        <f t="shared" si="113"/>
        <v>0</v>
      </c>
      <c r="X1259" s="127">
        <f t="shared" si="109"/>
        <v>0</v>
      </c>
      <c r="Y1259" s="127">
        <f t="shared" si="114"/>
        <v>0</v>
      </c>
    </row>
    <row r="1260" spans="1:25" ht="11.25" hidden="1" customHeight="1" x14ac:dyDescent="0.3">
      <c r="A1260" s="126" t="s">
        <v>188</v>
      </c>
      <c r="B1260" s="126">
        <v>53</v>
      </c>
      <c r="C1260" s="126">
        <v>18</v>
      </c>
      <c r="D1260" s="126" t="str">
        <f t="shared" si="105"/>
        <v>5318</v>
      </c>
      <c r="E1260" s="101">
        <v>115</v>
      </c>
      <c r="F1260" s="101">
        <v>178</v>
      </c>
      <c r="G1260" s="101">
        <v>242</v>
      </c>
      <c r="H1260" s="101">
        <v>6943.8799999999992</v>
      </c>
      <c r="I1260" s="101">
        <v>1421.1579999999999</v>
      </c>
      <c r="O1260" s="144">
        <v>0</v>
      </c>
      <c r="P1260" s="144">
        <v>0</v>
      </c>
      <c r="Q1260" s="144">
        <v>0</v>
      </c>
      <c r="R1260" s="144">
        <v>0</v>
      </c>
      <c r="S1260" s="144">
        <v>0</v>
      </c>
      <c r="T1260" s="169">
        <v>1.02</v>
      </c>
      <c r="U1260" s="144">
        <f t="shared" si="111"/>
        <v>0</v>
      </c>
      <c r="V1260" s="144">
        <f t="shared" si="112"/>
        <v>0</v>
      </c>
      <c r="W1260" s="144">
        <f t="shared" si="113"/>
        <v>0</v>
      </c>
      <c r="X1260" s="144">
        <f t="shared" si="109"/>
        <v>0</v>
      </c>
      <c r="Y1260" s="144">
        <f t="shared" si="114"/>
        <v>0</v>
      </c>
    </row>
    <row r="1261" spans="1:25" ht="11.25" hidden="1" customHeight="1" x14ac:dyDescent="0.3">
      <c r="A1261" s="126" t="s">
        <v>188</v>
      </c>
      <c r="B1261" s="126">
        <v>53</v>
      </c>
      <c r="C1261" s="126">
        <v>28</v>
      </c>
      <c r="D1261" s="126" t="str">
        <f t="shared" si="105"/>
        <v>5328</v>
      </c>
      <c r="E1261" s="101">
        <v>153</v>
      </c>
      <c r="F1261" s="101">
        <v>374</v>
      </c>
      <c r="G1261" s="101">
        <v>1777</v>
      </c>
      <c r="H1261" s="101">
        <v>87530.86</v>
      </c>
      <c r="I1261" s="101">
        <v>16899.206999999999</v>
      </c>
      <c r="O1261" s="144">
        <v>0</v>
      </c>
      <c r="P1261" s="144">
        <v>0</v>
      </c>
      <c r="Q1261" s="144">
        <v>0</v>
      </c>
      <c r="R1261" s="144">
        <v>0</v>
      </c>
      <c r="S1261" s="144">
        <v>0</v>
      </c>
      <c r="T1261" s="169">
        <v>1.02</v>
      </c>
      <c r="U1261" s="144">
        <f t="shared" si="111"/>
        <v>0</v>
      </c>
      <c r="V1261" s="144">
        <f t="shared" si="112"/>
        <v>0</v>
      </c>
      <c r="W1261" s="144">
        <f t="shared" si="113"/>
        <v>0</v>
      </c>
      <c r="X1261" s="144">
        <f t="shared" si="109"/>
        <v>0</v>
      </c>
      <c r="Y1261" s="144">
        <f t="shared" si="114"/>
        <v>0</v>
      </c>
    </row>
    <row r="1262" spans="1:25" ht="11.25" hidden="1" customHeight="1" x14ac:dyDescent="0.3">
      <c r="A1262" s="126" t="s">
        <v>188</v>
      </c>
      <c r="B1262" s="126">
        <v>53</v>
      </c>
      <c r="C1262" s="126">
        <v>46</v>
      </c>
      <c r="D1262" s="126" t="str">
        <f t="shared" si="105"/>
        <v>5346</v>
      </c>
      <c r="E1262" s="101">
        <v>7</v>
      </c>
      <c r="F1262" s="101">
        <v>9</v>
      </c>
      <c r="G1262" s="101">
        <v>157.91399999999999</v>
      </c>
      <c r="H1262" s="101">
        <v>3978.87</v>
      </c>
      <c r="I1262" s="101">
        <v>2104.7799999999997</v>
      </c>
      <c r="O1262" s="144">
        <v>0</v>
      </c>
      <c r="P1262" s="144">
        <v>0</v>
      </c>
      <c r="Q1262" s="144">
        <v>0</v>
      </c>
      <c r="R1262" s="144">
        <v>0</v>
      </c>
      <c r="S1262" s="144">
        <v>0</v>
      </c>
      <c r="T1262" s="169">
        <v>1.02</v>
      </c>
      <c r="U1262" s="144">
        <f t="shared" si="111"/>
        <v>0</v>
      </c>
      <c r="V1262" s="144">
        <f t="shared" si="112"/>
        <v>0</v>
      </c>
      <c r="W1262" s="144">
        <f t="shared" si="113"/>
        <v>0</v>
      </c>
      <c r="X1262" s="144">
        <f t="shared" si="109"/>
        <v>0</v>
      </c>
      <c r="Y1262" s="144">
        <f t="shared" si="114"/>
        <v>0</v>
      </c>
    </row>
    <row r="1263" spans="1:25" ht="11.25" hidden="1" customHeight="1" x14ac:dyDescent="0.3">
      <c r="A1263" s="126" t="s">
        <v>188</v>
      </c>
      <c r="B1263" s="126">
        <v>53</v>
      </c>
      <c r="C1263" s="126">
        <v>66</v>
      </c>
      <c r="D1263" s="126" t="str">
        <f t="shared" si="105"/>
        <v>5366</v>
      </c>
      <c r="E1263" s="101">
        <v>147</v>
      </c>
      <c r="F1263" s="101">
        <v>643</v>
      </c>
      <c r="G1263" s="101">
        <v>7286</v>
      </c>
      <c r="H1263" s="101">
        <v>50554.67</v>
      </c>
      <c r="I1263" s="101">
        <v>26080.613000000001</v>
      </c>
      <c r="O1263" s="144">
        <v>0</v>
      </c>
      <c r="P1263" s="144">
        <v>0</v>
      </c>
      <c r="Q1263" s="144">
        <v>0</v>
      </c>
      <c r="R1263" s="144">
        <v>0</v>
      </c>
      <c r="S1263" s="144">
        <v>0</v>
      </c>
      <c r="T1263" s="169">
        <v>1.02</v>
      </c>
      <c r="U1263" s="144">
        <f t="shared" si="111"/>
        <v>0</v>
      </c>
      <c r="V1263" s="144">
        <f t="shared" si="112"/>
        <v>0</v>
      </c>
      <c r="W1263" s="144">
        <f t="shared" si="113"/>
        <v>0</v>
      </c>
      <c r="X1263" s="144">
        <f t="shared" si="109"/>
        <v>0</v>
      </c>
      <c r="Y1263" s="144">
        <f t="shared" si="114"/>
        <v>0</v>
      </c>
    </row>
    <row r="1264" spans="1:25" ht="10.5" hidden="1" customHeight="1" x14ac:dyDescent="0.3">
      <c r="A1264" s="126" t="s">
        <v>188</v>
      </c>
      <c r="B1264" s="126">
        <v>53</v>
      </c>
      <c r="C1264" s="126">
        <v>30</v>
      </c>
      <c r="D1264" s="126" t="str">
        <f t="shared" si="105"/>
        <v>5330</v>
      </c>
      <c r="E1264" s="101">
        <v>105.5</v>
      </c>
      <c r="F1264" s="101">
        <v>1491.5</v>
      </c>
      <c r="G1264" s="101">
        <v>8153</v>
      </c>
      <c r="H1264" s="101">
        <v>217571.05499999999</v>
      </c>
      <c r="I1264" s="101">
        <v>67140.183499999999</v>
      </c>
      <c r="O1264" s="144">
        <v>0</v>
      </c>
      <c r="P1264" s="144">
        <v>0</v>
      </c>
      <c r="Q1264" s="144">
        <v>0</v>
      </c>
      <c r="R1264" s="144">
        <v>0</v>
      </c>
      <c r="S1264" s="144">
        <v>0</v>
      </c>
      <c r="T1264" s="169">
        <v>1.02</v>
      </c>
      <c r="U1264" s="144">
        <f t="shared" si="111"/>
        <v>0</v>
      </c>
      <c r="V1264" s="144">
        <f t="shared" si="112"/>
        <v>0</v>
      </c>
      <c r="W1264" s="144">
        <f t="shared" si="113"/>
        <v>0</v>
      </c>
      <c r="X1264" s="144">
        <f t="shared" si="109"/>
        <v>0</v>
      </c>
      <c r="Y1264" s="144">
        <f t="shared" si="114"/>
        <v>0</v>
      </c>
    </row>
    <row r="1265" spans="1:25" ht="11.25" hidden="1" customHeight="1" x14ac:dyDescent="0.3">
      <c r="A1265" s="126" t="s">
        <v>188</v>
      </c>
      <c r="B1265" s="126">
        <v>53</v>
      </c>
      <c r="C1265" s="126">
        <v>21</v>
      </c>
      <c r="D1265" s="126" t="str">
        <f t="shared" si="105"/>
        <v>5321</v>
      </c>
      <c r="E1265" s="101">
        <v>227.5</v>
      </c>
      <c r="F1265" s="101">
        <v>1936</v>
      </c>
      <c r="G1265" s="101">
        <v>5792.5</v>
      </c>
      <c r="H1265" s="101">
        <v>102705.005</v>
      </c>
      <c r="I1265" s="101">
        <v>24149.949000000001</v>
      </c>
      <c r="O1265" s="144">
        <v>0</v>
      </c>
      <c r="P1265" s="144">
        <v>0</v>
      </c>
      <c r="Q1265" s="144">
        <v>0</v>
      </c>
      <c r="R1265" s="144">
        <v>0</v>
      </c>
      <c r="S1265" s="144">
        <v>0</v>
      </c>
      <c r="T1265" s="169">
        <v>1.02</v>
      </c>
      <c r="U1265" s="144">
        <f t="shared" si="111"/>
        <v>0</v>
      </c>
      <c r="V1265" s="144">
        <f t="shared" si="112"/>
        <v>0</v>
      </c>
      <c r="W1265" s="144">
        <f t="shared" si="113"/>
        <v>0</v>
      </c>
      <c r="X1265" s="144">
        <f t="shared" si="109"/>
        <v>0</v>
      </c>
      <c r="Y1265" s="144">
        <f t="shared" si="114"/>
        <v>0</v>
      </c>
    </row>
    <row r="1266" spans="1:25" ht="11.25" hidden="1" customHeight="1" x14ac:dyDescent="0.3">
      <c r="A1266" s="126" t="s">
        <v>188</v>
      </c>
      <c r="B1266" s="126">
        <v>53</v>
      </c>
      <c r="C1266" s="126">
        <v>71</v>
      </c>
      <c r="D1266" s="126" t="str">
        <f t="shared" si="105"/>
        <v>5371</v>
      </c>
      <c r="E1266" s="101">
        <v>293</v>
      </c>
      <c r="F1266" s="101">
        <v>6685.5</v>
      </c>
      <c r="G1266" s="101">
        <v>13167</v>
      </c>
      <c r="H1266" s="101">
        <v>94989.290000000008</v>
      </c>
      <c r="I1266" s="101">
        <v>42934.728500000005</v>
      </c>
      <c r="O1266" s="144">
        <v>0</v>
      </c>
      <c r="P1266" s="144">
        <v>0</v>
      </c>
      <c r="Q1266" s="144">
        <v>0</v>
      </c>
      <c r="R1266" s="144">
        <v>0</v>
      </c>
      <c r="S1266" s="144">
        <v>0</v>
      </c>
      <c r="U1266" s="144">
        <f t="shared" si="111"/>
        <v>0</v>
      </c>
      <c r="V1266" s="144">
        <f t="shared" si="112"/>
        <v>0</v>
      </c>
      <c r="W1266" s="144">
        <f t="shared" si="113"/>
        <v>0</v>
      </c>
      <c r="X1266" s="144">
        <f t="shared" si="109"/>
        <v>0</v>
      </c>
      <c r="Y1266" s="144">
        <f t="shared" si="114"/>
        <v>0</v>
      </c>
    </row>
    <row r="1267" spans="1:25" ht="11.25" hidden="1" customHeight="1" x14ac:dyDescent="0.3">
      <c r="A1267" s="126" t="s">
        <v>188</v>
      </c>
      <c r="B1267" s="126">
        <v>53</v>
      </c>
      <c r="C1267" s="126">
        <v>25</v>
      </c>
      <c r="D1267" s="126" t="str">
        <f t="shared" si="105"/>
        <v>5325</v>
      </c>
      <c r="E1267" s="101">
        <v>564</v>
      </c>
      <c r="F1267" s="101">
        <v>6408</v>
      </c>
      <c r="G1267" s="101">
        <v>46524</v>
      </c>
      <c r="H1267" s="101">
        <v>489108.19</v>
      </c>
      <c r="I1267" s="101">
        <v>205597.739</v>
      </c>
      <c r="O1267" s="144">
        <v>0</v>
      </c>
      <c r="P1267" s="144">
        <v>0</v>
      </c>
      <c r="Q1267" s="144">
        <v>0</v>
      </c>
      <c r="R1267" s="144">
        <v>0</v>
      </c>
      <c r="S1267" s="144">
        <v>0</v>
      </c>
      <c r="T1267" s="169">
        <v>1.02</v>
      </c>
      <c r="U1267" s="144">
        <f t="shared" si="111"/>
        <v>0</v>
      </c>
      <c r="V1267" s="144">
        <f t="shared" si="112"/>
        <v>0</v>
      </c>
      <c r="W1267" s="144">
        <f t="shared" si="113"/>
        <v>0</v>
      </c>
      <c r="X1267" s="144">
        <f t="shared" si="109"/>
        <v>0</v>
      </c>
      <c r="Y1267" s="144">
        <f t="shared" si="114"/>
        <v>0</v>
      </c>
    </row>
    <row r="1268" spans="1:25" ht="11.25" hidden="1" customHeight="1" x14ac:dyDescent="0.3">
      <c r="A1268" s="126" t="s">
        <v>188</v>
      </c>
      <c r="B1268" s="126">
        <v>53</v>
      </c>
      <c r="C1268" s="126">
        <v>27</v>
      </c>
      <c r="D1268" s="126" t="str">
        <f t="shared" si="105"/>
        <v>5327</v>
      </c>
      <c r="E1268" s="101">
        <v>9</v>
      </c>
      <c r="F1268" s="101">
        <v>168</v>
      </c>
      <c r="G1268" s="101">
        <v>1334</v>
      </c>
      <c r="H1268" s="101">
        <v>17578.88</v>
      </c>
      <c r="I1268" s="101">
        <v>6842.027</v>
      </c>
      <c r="O1268" s="144">
        <v>0</v>
      </c>
      <c r="P1268" s="144">
        <v>0</v>
      </c>
      <c r="Q1268" s="144">
        <v>0</v>
      </c>
      <c r="R1268" s="144">
        <v>0</v>
      </c>
      <c r="S1268" s="144">
        <v>0</v>
      </c>
      <c r="T1268" s="169">
        <v>1.02</v>
      </c>
      <c r="U1268" s="144">
        <f t="shared" si="111"/>
        <v>0</v>
      </c>
      <c r="V1268" s="144">
        <f t="shared" si="112"/>
        <v>0</v>
      </c>
      <c r="W1268" s="144">
        <f t="shared" si="113"/>
        <v>0</v>
      </c>
      <c r="X1268" s="144">
        <f t="shared" si="109"/>
        <v>0</v>
      </c>
      <c r="Y1268" s="144">
        <f t="shared" si="114"/>
        <v>0</v>
      </c>
    </row>
    <row r="1269" spans="1:25" ht="11.25" hidden="1" customHeight="1" x14ac:dyDescent="0.3">
      <c r="A1269" s="126" t="s">
        <v>188</v>
      </c>
      <c r="B1269" s="126">
        <v>53</v>
      </c>
      <c r="C1269" s="126">
        <v>37</v>
      </c>
      <c r="D1269" s="126" t="str">
        <f t="shared" si="105"/>
        <v>5337</v>
      </c>
      <c r="E1269" s="101">
        <v>1.75</v>
      </c>
      <c r="F1269" s="101">
        <v>2.5</v>
      </c>
      <c r="G1269" s="101">
        <v>87</v>
      </c>
      <c r="H1269" s="101">
        <v>322.71749999999997</v>
      </c>
      <c r="I1269" s="101">
        <v>38.273249999999997</v>
      </c>
      <c r="O1269" s="144">
        <v>0</v>
      </c>
      <c r="P1269" s="144">
        <v>0</v>
      </c>
      <c r="Q1269" s="144">
        <v>0</v>
      </c>
      <c r="R1269" s="144">
        <v>0</v>
      </c>
      <c r="S1269" s="144">
        <v>0</v>
      </c>
      <c r="T1269" s="169">
        <v>1.02</v>
      </c>
      <c r="U1269" s="144">
        <f t="shared" si="111"/>
        <v>0</v>
      </c>
      <c r="V1269" s="144">
        <f t="shared" si="112"/>
        <v>0</v>
      </c>
      <c r="W1269" s="144">
        <f t="shared" si="113"/>
        <v>0</v>
      </c>
      <c r="X1269" s="144">
        <f t="shared" si="109"/>
        <v>0</v>
      </c>
      <c r="Y1269" s="144">
        <f t="shared" si="114"/>
        <v>0</v>
      </c>
    </row>
    <row r="1270" spans="1:25" ht="11.25" hidden="1" customHeight="1" x14ac:dyDescent="0.3">
      <c r="C1270" s="126"/>
      <c r="D1270" s="126"/>
      <c r="E1270" s="145">
        <f t="shared" ref="E1270:N1270" si="115">SUM(E5:E1269)</f>
        <v>419574.25</v>
      </c>
      <c r="F1270" s="145">
        <f t="shared" si="115"/>
        <v>1886609.75</v>
      </c>
      <c r="G1270" s="145">
        <f t="shared" si="115"/>
        <v>11328496.91</v>
      </c>
      <c r="H1270" s="145">
        <f t="shared" si="115"/>
        <v>165280382.6475001</v>
      </c>
      <c r="I1270" s="145">
        <f t="shared" si="115"/>
        <v>57541401.046500042</v>
      </c>
      <c r="J1270" s="145">
        <f t="shared" si="115"/>
        <v>396064</v>
      </c>
      <c r="K1270" s="145">
        <f t="shared" si="115"/>
        <v>1991503</v>
      </c>
      <c r="L1270" s="145">
        <f t="shared" si="115"/>
        <v>16337204.640000001</v>
      </c>
      <c r="M1270" s="145">
        <f t="shared" si="115"/>
        <v>158457770.60999992</v>
      </c>
      <c r="N1270" s="145">
        <f t="shared" si="115"/>
        <v>76555267.575763002</v>
      </c>
      <c r="O1270" s="145">
        <f>SUM(O5:O1269)</f>
        <v>375333</v>
      </c>
      <c r="P1270" s="145">
        <f t="shared" ref="P1270:S1270" si="116">SUM(P5:P1269)</f>
        <v>1898381</v>
      </c>
      <c r="Q1270" s="145">
        <f>SUM(Q5:Q1269)</f>
        <v>16591574</v>
      </c>
      <c r="R1270" s="145">
        <f t="shared" si="116"/>
        <v>157627089.75000006</v>
      </c>
      <c r="S1270" s="145">
        <f t="shared" si="116"/>
        <v>77262733.112000003</v>
      </c>
      <c r="U1270" s="101">
        <f>SUM(U5:U1269)</f>
        <v>381396.68999999983</v>
      </c>
      <c r="V1270" s="101">
        <f t="shared" ref="V1270:X1270" si="117">SUM(V5:V1269)</f>
        <v>1882284.3600000022</v>
      </c>
      <c r="W1270" s="101">
        <f t="shared" si="117"/>
        <v>15554835.03999998</v>
      </c>
      <c r="X1270" s="101">
        <f t="shared" si="117"/>
        <v>150400639.06030014</v>
      </c>
      <c r="Y1270" s="101">
        <f>SUM(Y5:Y1269)</f>
        <v>70670988.212909907</v>
      </c>
    </row>
    <row r="1271" spans="1:25" x14ac:dyDescent="0.3">
      <c r="C1271" s="126"/>
      <c r="D1271" s="126"/>
      <c r="E1271"/>
      <c r="F1271"/>
      <c r="G1271"/>
      <c r="H1271"/>
      <c r="I1271"/>
      <c r="J1271"/>
      <c r="K1271"/>
      <c r="L1271"/>
      <c r="P1271"/>
    </row>
    <row r="1272" spans="1:25" x14ac:dyDescent="0.3">
      <c r="C1272" s="126"/>
      <c r="D1272" s="126"/>
      <c r="E1272"/>
      <c r="F1272"/>
      <c r="G1272"/>
      <c r="H1272"/>
      <c r="I1272"/>
      <c r="J1272"/>
      <c r="K1272"/>
      <c r="L1272"/>
      <c r="U1272" s="101"/>
      <c r="V1272" s="101"/>
      <c r="W1272" s="101"/>
      <c r="X1272" s="101"/>
      <c r="Y1272" s="101"/>
    </row>
    <row r="1273" spans="1:25" x14ac:dyDescent="0.3">
      <c r="C1273" s="126"/>
      <c r="D1273" s="126"/>
      <c r="E1273"/>
      <c r="F1273"/>
      <c r="G1273"/>
      <c r="H1273"/>
      <c r="I1273"/>
      <c r="J1273"/>
      <c r="T1273" s="101"/>
      <c r="U1273" s="101"/>
      <c r="V1273" s="101"/>
      <c r="W1273" s="101"/>
      <c r="X1273" s="101"/>
      <c r="Y1273" s="101"/>
    </row>
    <row r="1274" spans="1:25" x14ac:dyDescent="0.3">
      <c r="C1274" s="126"/>
      <c r="D1274" s="126"/>
      <c r="E1274"/>
      <c r="F1274"/>
      <c r="G1274"/>
      <c r="H1274"/>
      <c r="I1274"/>
      <c r="J1274"/>
      <c r="L1274"/>
      <c r="U1274" s="101"/>
      <c r="V1274" s="101"/>
      <c r="W1274" s="101"/>
      <c r="X1274" s="101"/>
      <c r="Y1274" s="101"/>
    </row>
    <row r="1275" spans="1:25" x14ac:dyDescent="0.3">
      <c r="C1275" s="126"/>
      <c r="D1275" s="126"/>
      <c r="E1275"/>
      <c r="F1275"/>
      <c r="G1275"/>
      <c r="H1275"/>
      <c r="I1275"/>
      <c r="J1275"/>
      <c r="W1275" s="133"/>
    </row>
    <row r="1276" spans="1:25" x14ac:dyDescent="0.3">
      <c r="C1276" s="126"/>
      <c r="D1276" s="126"/>
      <c r="E1276"/>
      <c r="F1276"/>
      <c r="G1276"/>
      <c r="H1276"/>
      <c r="I1276"/>
      <c r="P1276" s="177"/>
    </row>
    <row r="1277" spans="1:25" x14ac:dyDescent="0.3">
      <c r="C1277" s="126"/>
      <c r="D1277" s="126"/>
      <c r="E1277"/>
      <c r="F1277"/>
      <c r="G1277"/>
      <c r="H1277"/>
      <c r="I1277"/>
    </row>
    <row r="1278" spans="1:25" x14ac:dyDescent="0.3">
      <c r="C1278" s="126"/>
      <c r="D1278" s="126"/>
      <c r="E1278"/>
      <c r="F1278"/>
      <c r="G1278"/>
      <c r="H1278"/>
      <c r="I1278"/>
      <c r="J1278"/>
      <c r="K1278"/>
      <c r="L1278"/>
    </row>
    <row r="1279" spans="1:25" x14ac:dyDescent="0.3">
      <c r="C1279" s="126"/>
      <c r="D1279" s="126"/>
      <c r="E1279"/>
      <c r="F1279"/>
      <c r="G1279"/>
      <c r="H1279"/>
      <c r="I1279"/>
      <c r="J1279"/>
      <c r="K1279"/>
      <c r="L1279"/>
    </row>
    <row r="1280" spans="1:25" x14ac:dyDescent="0.3">
      <c r="C1280" s="126"/>
      <c r="D1280" s="126"/>
      <c r="E1280"/>
      <c r="F1280"/>
      <c r="G1280"/>
      <c r="H1280"/>
      <c r="I1280"/>
      <c r="J1280"/>
      <c r="K1280" s="177"/>
    </row>
    <row r="1281" spans="3:12" x14ac:dyDescent="0.3">
      <c r="C1281" s="126"/>
      <c r="D1281" s="126"/>
      <c r="E1281"/>
      <c r="F1281"/>
      <c r="G1281"/>
      <c r="H1281"/>
      <c r="I1281"/>
      <c r="J1281"/>
      <c r="K1281"/>
      <c r="L1281"/>
    </row>
    <row r="1282" spans="3:12" x14ac:dyDescent="0.3">
      <c r="C1282" s="126"/>
      <c r="D1282" s="126"/>
      <c r="E1282"/>
      <c r="F1282"/>
      <c r="G1282"/>
      <c r="H1282"/>
      <c r="I1282"/>
      <c r="J1282"/>
      <c r="K1282"/>
      <c r="L1282"/>
    </row>
    <row r="1283" spans="3:12" x14ac:dyDescent="0.3">
      <c r="C1283" s="126"/>
      <c r="D1283" s="126"/>
      <c r="E1283"/>
      <c r="F1283"/>
      <c r="G1283"/>
      <c r="H1283"/>
      <c r="I1283"/>
      <c r="J1283"/>
      <c r="K1283"/>
      <c r="L1283"/>
    </row>
    <row r="1284" spans="3:12" x14ac:dyDescent="0.3">
      <c r="C1284" s="126"/>
      <c r="D1284" s="126"/>
      <c r="E1284"/>
      <c r="F1284"/>
      <c r="G1284"/>
      <c r="H1284"/>
      <c r="I1284"/>
      <c r="J1284"/>
      <c r="K1284"/>
      <c r="L1284"/>
    </row>
    <row r="1285" spans="3:12" x14ac:dyDescent="0.3">
      <c r="C1285" s="126"/>
      <c r="D1285" s="126"/>
      <c r="E1285"/>
      <c r="F1285"/>
      <c r="G1285"/>
      <c r="H1285"/>
      <c r="I1285"/>
      <c r="J1285"/>
      <c r="K1285"/>
      <c r="L1285"/>
    </row>
    <row r="1286" spans="3:12" x14ac:dyDescent="0.3">
      <c r="C1286" s="126"/>
      <c r="D1286" s="126"/>
      <c r="E1286"/>
      <c r="F1286"/>
      <c r="G1286"/>
      <c r="H1286"/>
      <c r="I1286"/>
      <c r="J1286"/>
      <c r="K1286"/>
      <c r="L1286"/>
    </row>
    <row r="1287" spans="3:12" x14ac:dyDescent="0.3">
      <c r="C1287" s="126"/>
      <c r="D1287" s="126"/>
      <c r="E1287"/>
      <c r="F1287"/>
      <c r="G1287"/>
      <c r="H1287"/>
      <c r="I1287"/>
      <c r="J1287"/>
      <c r="K1287"/>
      <c r="L1287"/>
    </row>
    <row r="1288" spans="3:12" x14ac:dyDescent="0.3">
      <c r="C1288" s="126"/>
      <c r="D1288" s="126"/>
      <c r="E1288"/>
      <c r="F1288"/>
      <c r="G1288"/>
      <c r="H1288"/>
      <c r="I1288"/>
      <c r="J1288"/>
      <c r="K1288"/>
      <c r="L1288"/>
    </row>
    <row r="1289" spans="3:12" x14ac:dyDescent="0.3">
      <c r="C1289" s="126"/>
      <c r="D1289" s="126"/>
      <c r="E1289"/>
      <c r="F1289"/>
      <c r="G1289"/>
      <c r="H1289"/>
      <c r="I1289"/>
      <c r="J1289"/>
      <c r="K1289"/>
      <c r="L1289"/>
    </row>
    <row r="1290" spans="3:12" x14ac:dyDescent="0.3">
      <c r="C1290" s="126"/>
      <c r="D1290" s="126"/>
      <c r="E1290"/>
      <c r="F1290"/>
      <c r="G1290"/>
      <c r="H1290"/>
      <c r="I1290"/>
      <c r="J1290"/>
      <c r="K1290"/>
      <c r="L1290"/>
    </row>
    <row r="1291" spans="3:12" x14ac:dyDescent="0.3">
      <c r="C1291" s="126"/>
      <c r="D1291" s="126"/>
      <c r="E1291"/>
      <c r="F1291"/>
      <c r="G1291"/>
      <c r="H1291"/>
      <c r="I1291"/>
      <c r="J1291"/>
      <c r="K1291"/>
      <c r="L1291"/>
    </row>
    <row r="1292" spans="3:12" x14ac:dyDescent="0.3">
      <c r="C1292" s="126"/>
      <c r="D1292" s="126"/>
      <c r="E1292"/>
      <c r="F1292"/>
      <c r="G1292"/>
      <c r="H1292"/>
      <c r="I1292"/>
      <c r="J1292"/>
      <c r="K1292"/>
      <c r="L1292"/>
    </row>
    <row r="1293" spans="3:12" x14ac:dyDescent="0.3">
      <c r="C1293" s="126"/>
      <c r="D1293" s="126"/>
      <c r="E1293"/>
      <c r="F1293"/>
      <c r="G1293"/>
      <c r="H1293"/>
      <c r="I1293"/>
      <c r="J1293"/>
      <c r="K1293"/>
      <c r="L1293"/>
    </row>
    <row r="1294" spans="3:12" x14ac:dyDescent="0.3">
      <c r="C1294" s="126"/>
      <c r="D1294" s="126"/>
      <c r="E1294"/>
      <c r="F1294"/>
      <c r="G1294"/>
      <c r="H1294"/>
      <c r="I1294"/>
      <c r="J1294"/>
      <c r="K1294"/>
      <c r="L1294"/>
    </row>
    <row r="1295" spans="3:12" x14ac:dyDescent="0.3">
      <c r="C1295" s="126"/>
      <c r="D1295" s="126"/>
      <c r="E1295"/>
      <c r="F1295"/>
      <c r="G1295"/>
      <c r="H1295"/>
      <c r="I1295"/>
      <c r="J1295"/>
      <c r="K1295"/>
      <c r="L1295"/>
    </row>
    <row r="1296" spans="3:12" x14ac:dyDescent="0.3">
      <c r="C1296" s="126"/>
      <c r="D1296" s="126"/>
      <c r="E1296"/>
      <c r="F1296"/>
      <c r="G1296"/>
      <c r="H1296"/>
      <c r="I1296"/>
      <c r="J1296"/>
      <c r="K1296"/>
      <c r="L1296"/>
    </row>
    <row r="1297" spans="3:12" x14ac:dyDescent="0.3">
      <c r="C1297" s="126"/>
      <c r="D1297" s="126"/>
      <c r="E1297"/>
      <c r="F1297"/>
      <c r="G1297"/>
      <c r="H1297"/>
      <c r="I1297"/>
      <c r="J1297"/>
      <c r="K1297"/>
      <c r="L1297"/>
    </row>
    <row r="1298" spans="3:12" x14ac:dyDescent="0.3">
      <c r="C1298" s="126"/>
      <c r="D1298" s="126"/>
      <c r="E1298"/>
      <c r="F1298"/>
      <c r="G1298"/>
      <c r="H1298"/>
      <c r="I1298"/>
      <c r="J1298"/>
      <c r="K1298"/>
      <c r="L1298"/>
    </row>
    <row r="1299" spans="3:12" x14ac:dyDescent="0.3">
      <c r="C1299" s="126"/>
      <c r="D1299" s="126"/>
      <c r="E1299"/>
      <c r="F1299"/>
      <c r="G1299"/>
      <c r="H1299"/>
      <c r="I1299"/>
      <c r="J1299"/>
      <c r="K1299"/>
      <c r="L1299"/>
    </row>
    <row r="1300" spans="3:12" x14ac:dyDescent="0.3">
      <c r="C1300" s="126"/>
      <c r="D1300" s="126"/>
      <c r="E1300"/>
      <c r="F1300"/>
      <c r="G1300"/>
      <c r="H1300"/>
      <c r="I1300"/>
      <c r="J1300"/>
      <c r="K1300"/>
      <c r="L1300"/>
    </row>
    <row r="1301" spans="3:12" x14ac:dyDescent="0.3">
      <c r="C1301" s="126"/>
      <c r="D1301" s="126"/>
      <c r="E1301"/>
      <c r="F1301"/>
      <c r="G1301"/>
      <c r="H1301"/>
      <c r="I1301"/>
      <c r="J1301"/>
      <c r="K1301"/>
      <c r="L1301"/>
    </row>
    <row r="1302" spans="3:12" x14ac:dyDescent="0.3">
      <c r="C1302" s="126"/>
      <c r="D1302" s="126"/>
      <c r="E1302"/>
      <c r="F1302"/>
      <c r="G1302"/>
      <c r="H1302"/>
      <c r="I1302"/>
      <c r="J1302"/>
      <c r="K1302"/>
      <c r="L1302"/>
    </row>
    <row r="1303" spans="3:12" x14ac:dyDescent="0.3">
      <c r="C1303" s="126"/>
      <c r="D1303" s="126"/>
      <c r="E1303"/>
      <c r="F1303"/>
      <c r="G1303"/>
      <c r="H1303"/>
      <c r="I1303"/>
      <c r="J1303"/>
      <c r="K1303"/>
      <c r="L1303"/>
    </row>
    <row r="1304" spans="3:12" x14ac:dyDescent="0.3">
      <c r="C1304" s="126"/>
      <c r="D1304" s="126"/>
      <c r="E1304"/>
      <c r="F1304"/>
      <c r="G1304"/>
      <c r="H1304"/>
      <c r="I1304"/>
      <c r="J1304"/>
      <c r="K1304"/>
      <c r="L1304"/>
    </row>
    <row r="1305" spans="3:12" x14ac:dyDescent="0.3">
      <c r="C1305" s="126"/>
      <c r="D1305" s="126"/>
      <c r="E1305"/>
      <c r="F1305"/>
      <c r="G1305"/>
      <c r="H1305"/>
      <c r="I1305"/>
      <c r="J1305"/>
      <c r="K1305"/>
      <c r="L1305"/>
    </row>
    <row r="1306" spans="3:12" x14ac:dyDescent="0.3">
      <c r="C1306" s="126"/>
      <c r="D1306" s="126"/>
      <c r="E1306"/>
      <c r="F1306"/>
      <c r="G1306"/>
      <c r="H1306"/>
      <c r="I1306"/>
      <c r="J1306"/>
      <c r="K1306"/>
      <c r="L1306"/>
    </row>
    <row r="1307" spans="3:12" x14ac:dyDescent="0.3">
      <c r="C1307" s="126"/>
      <c r="D1307" s="126"/>
      <c r="E1307"/>
      <c r="F1307"/>
      <c r="G1307"/>
      <c r="H1307"/>
      <c r="I1307"/>
      <c r="J1307"/>
      <c r="K1307"/>
      <c r="L1307"/>
    </row>
    <row r="1308" spans="3:12" x14ac:dyDescent="0.3">
      <c r="C1308" s="126"/>
      <c r="D1308" s="126"/>
      <c r="E1308"/>
      <c r="F1308"/>
      <c r="G1308"/>
      <c r="H1308"/>
      <c r="I1308"/>
      <c r="J1308"/>
      <c r="K1308"/>
      <c r="L1308"/>
    </row>
    <row r="1309" spans="3:12" x14ac:dyDescent="0.3">
      <c r="C1309" s="126"/>
      <c r="D1309" s="126"/>
      <c r="E1309"/>
      <c r="F1309"/>
      <c r="G1309"/>
      <c r="H1309"/>
      <c r="I1309"/>
      <c r="J1309"/>
      <c r="K1309"/>
      <c r="L1309"/>
    </row>
    <row r="1310" spans="3:12" x14ac:dyDescent="0.3">
      <c r="C1310" s="126"/>
      <c r="D1310" s="126"/>
      <c r="E1310"/>
      <c r="F1310"/>
      <c r="G1310"/>
      <c r="H1310"/>
      <c r="I1310"/>
      <c r="J1310"/>
      <c r="K1310"/>
      <c r="L1310"/>
    </row>
    <row r="1311" spans="3:12" x14ac:dyDescent="0.3">
      <c r="C1311" s="126"/>
      <c r="D1311" s="126"/>
      <c r="E1311"/>
      <c r="F1311"/>
      <c r="G1311"/>
      <c r="H1311"/>
      <c r="I1311"/>
      <c r="J1311"/>
      <c r="K1311"/>
      <c r="L1311"/>
    </row>
    <row r="1312" spans="3:12" x14ac:dyDescent="0.3">
      <c r="C1312" s="126"/>
      <c r="D1312" s="126"/>
      <c r="E1312"/>
      <c r="F1312"/>
      <c r="G1312"/>
      <c r="H1312"/>
      <c r="I1312"/>
      <c r="J1312"/>
      <c r="K1312"/>
      <c r="L1312"/>
    </row>
    <row r="1313" spans="3:12" x14ac:dyDescent="0.3">
      <c r="C1313" s="126"/>
      <c r="D1313" s="126"/>
      <c r="E1313"/>
      <c r="F1313"/>
      <c r="G1313"/>
      <c r="H1313"/>
      <c r="I1313"/>
      <c r="J1313"/>
      <c r="K1313"/>
      <c r="L1313"/>
    </row>
    <row r="1314" spans="3:12" x14ac:dyDescent="0.3">
      <c r="C1314" s="126"/>
      <c r="D1314" s="126"/>
      <c r="E1314"/>
      <c r="F1314"/>
      <c r="G1314"/>
      <c r="H1314"/>
      <c r="I1314"/>
      <c r="J1314"/>
      <c r="K1314"/>
      <c r="L1314"/>
    </row>
    <row r="1315" spans="3:12" x14ac:dyDescent="0.3">
      <c r="C1315" s="126"/>
      <c r="D1315" s="126"/>
      <c r="E1315"/>
      <c r="F1315"/>
      <c r="G1315"/>
      <c r="H1315"/>
      <c r="I1315"/>
      <c r="J1315"/>
      <c r="K1315"/>
      <c r="L1315"/>
    </row>
    <row r="1316" spans="3:12" x14ac:dyDescent="0.3">
      <c r="C1316" s="126"/>
      <c r="D1316" s="126"/>
      <c r="E1316"/>
      <c r="F1316"/>
      <c r="G1316"/>
      <c r="H1316"/>
      <c r="I1316"/>
      <c r="J1316"/>
      <c r="K1316"/>
      <c r="L1316"/>
    </row>
    <row r="1317" spans="3:12" x14ac:dyDescent="0.3">
      <c r="C1317" s="126"/>
      <c r="D1317" s="126"/>
      <c r="E1317"/>
      <c r="F1317"/>
      <c r="G1317"/>
      <c r="H1317"/>
      <c r="I1317"/>
      <c r="J1317"/>
      <c r="K1317"/>
      <c r="L1317"/>
    </row>
    <row r="1318" spans="3:12" x14ac:dyDescent="0.3">
      <c r="C1318" s="126"/>
      <c r="D1318" s="126"/>
      <c r="E1318"/>
      <c r="F1318"/>
      <c r="G1318"/>
      <c r="H1318"/>
      <c r="I1318"/>
      <c r="J1318"/>
      <c r="K1318"/>
      <c r="L1318"/>
    </row>
    <row r="1319" spans="3:12" x14ac:dyDescent="0.3">
      <c r="C1319" s="126"/>
      <c r="D1319" s="126"/>
      <c r="E1319"/>
      <c r="F1319"/>
      <c r="G1319"/>
      <c r="H1319"/>
      <c r="I1319"/>
      <c r="J1319"/>
      <c r="K1319"/>
      <c r="L1319"/>
    </row>
    <row r="1320" spans="3:12" x14ac:dyDescent="0.3">
      <c r="C1320" s="126"/>
      <c r="D1320" s="126"/>
      <c r="E1320"/>
      <c r="F1320"/>
      <c r="G1320"/>
      <c r="H1320"/>
      <c r="I1320"/>
      <c r="J1320"/>
      <c r="K1320"/>
      <c r="L1320"/>
    </row>
    <row r="1321" spans="3:12" x14ac:dyDescent="0.3">
      <c r="C1321" s="126"/>
      <c r="D1321" s="126"/>
      <c r="E1321"/>
      <c r="F1321"/>
      <c r="G1321"/>
      <c r="H1321"/>
      <c r="I1321"/>
      <c r="J1321"/>
      <c r="K1321"/>
      <c r="L1321"/>
    </row>
    <row r="1322" spans="3:12" x14ac:dyDescent="0.3">
      <c r="C1322" s="126"/>
      <c r="D1322" s="126"/>
      <c r="E1322"/>
      <c r="F1322"/>
      <c r="G1322"/>
      <c r="H1322"/>
      <c r="I1322"/>
      <c r="J1322"/>
      <c r="K1322"/>
      <c r="L1322"/>
    </row>
    <row r="1323" spans="3:12" x14ac:dyDescent="0.3">
      <c r="C1323" s="126"/>
      <c r="D1323" s="126"/>
      <c r="E1323"/>
      <c r="F1323"/>
      <c r="G1323"/>
      <c r="H1323"/>
      <c r="I1323"/>
      <c r="J1323"/>
      <c r="K1323"/>
      <c r="L1323"/>
    </row>
    <row r="1324" spans="3:12" x14ac:dyDescent="0.3">
      <c r="C1324" s="126"/>
      <c r="D1324" s="126"/>
      <c r="E1324"/>
      <c r="F1324"/>
      <c r="G1324"/>
      <c r="H1324"/>
      <c r="I1324"/>
      <c r="J1324"/>
      <c r="K1324"/>
      <c r="L1324"/>
    </row>
    <row r="1325" spans="3:12" x14ac:dyDescent="0.3">
      <c r="C1325" s="126"/>
      <c r="D1325" s="126"/>
      <c r="E1325"/>
      <c r="F1325"/>
      <c r="G1325"/>
      <c r="H1325"/>
      <c r="I1325"/>
      <c r="J1325"/>
      <c r="K1325"/>
      <c r="L1325"/>
    </row>
    <row r="1326" spans="3:12" x14ac:dyDescent="0.3">
      <c r="C1326" s="126"/>
      <c r="D1326" s="126"/>
      <c r="E1326"/>
      <c r="F1326"/>
      <c r="G1326"/>
      <c r="H1326"/>
      <c r="I1326"/>
      <c r="J1326"/>
      <c r="K1326"/>
      <c r="L1326"/>
    </row>
    <row r="1327" spans="3:12" x14ac:dyDescent="0.3">
      <c r="C1327" s="126"/>
      <c r="D1327" s="126"/>
      <c r="E1327"/>
      <c r="F1327"/>
      <c r="G1327"/>
      <c r="H1327"/>
      <c r="I1327"/>
      <c r="J1327"/>
      <c r="K1327"/>
      <c r="L1327"/>
    </row>
    <row r="1328" spans="3:12" x14ac:dyDescent="0.3">
      <c r="C1328" s="126"/>
      <c r="D1328" s="126"/>
      <c r="E1328"/>
      <c r="F1328"/>
      <c r="G1328"/>
      <c r="H1328"/>
      <c r="I1328"/>
      <c r="J1328"/>
      <c r="K1328"/>
      <c r="L1328"/>
    </row>
    <row r="1329" spans="3:12" x14ac:dyDescent="0.3">
      <c r="C1329" s="126"/>
      <c r="D1329" s="126"/>
      <c r="E1329"/>
      <c r="F1329"/>
      <c r="G1329"/>
      <c r="H1329"/>
      <c r="I1329"/>
      <c r="J1329"/>
      <c r="K1329"/>
      <c r="L1329"/>
    </row>
    <row r="1330" spans="3:12" x14ac:dyDescent="0.3">
      <c r="C1330" s="126"/>
      <c r="D1330" s="126"/>
      <c r="E1330"/>
      <c r="F1330"/>
      <c r="G1330"/>
      <c r="H1330"/>
      <c r="I1330"/>
      <c r="J1330"/>
      <c r="K1330"/>
      <c r="L1330"/>
    </row>
    <row r="1331" spans="3:12" x14ac:dyDescent="0.3">
      <c r="C1331" s="126"/>
      <c r="D1331" s="126"/>
      <c r="E1331"/>
      <c r="F1331"/>
      <c r="G1331"/>
      <c r="H1331"/>
      <c r="I1331"/>
      <c r="J1331"/>
      <c r="K1331"/>
      <c r="L1331"/>
    </row>
    <row r="1332" spans="3:12" x14ac:dyDescent="0.3">
      <c r="C1332" s="126"/>
      <c r="D1332" s="126"/>
      <c r="E1332"/>
      <c r="F1332"/>
      <c r="G1332"/>
      <c r="H1332"/>
      <c r="I1332"/>
      <c r="J1332"/>
      <c r="K1332"/>
      <c r="L1332"/>
    </row>
    <row r="1333" spans="3:12" x14ac:dyDescent="0.3">
      <c r="C1333" s="126"/>
      <c r="D1333" s="126"/>
      <c r="E1333"/>
      <c r="F1333"/>
      <c r="G1333"/>
      <c r="H1333"/>
      <c r="I1333"/>
      <c r="J1333"/>
      <c r="K1333"/>
      <c r="L1333"/>
    </row>
    <row r="1334" spans="3:12" x14ac:dyDescent="0.3">
      <c r="C1334" s="126"/>
      <c r="D1334" s="126"/>
      <c r="E1334"/>
      <c r="F1334"/>
      <c r="G1334"/>
      <c r="H1334"/>
      <c r="I1334"/>
      <c r="J1334"/>
      <c r="K1334"/>
      <c r="L1334"/>
    </row>
    <row r="1335" spans="3:12" x14ac:dyDescent="0.3">
      <c r="C1335" s="126"/>
      <c r="D1335" s="126"/>
      <c r="E1335"/>
      <c r="F1335"/>
      <c r="G1335"/>
      <c r="H1335"/>
      <c r="I1335"/>
      <c r="J1335"/>
      <c r="K1335"/>
      <c r="L1335"/>
    </row>
    <row r="1336" spans="3:12" x14ac:dyDescent="0.3">
      <c r="C1336" s="126"/>
      <c r="D1336" s="126"/>
      <c r="E1336"/>
      <c r="F1336"/>
      <c r="G1336"/>
      <c r="H1336"/>
      <c r="I1336"/>
      <c r="J1336"/>
      <c r="K1336"/>
      <c r="L1336"/>
    </row>
    <row r="1337" spans="3:12" x14ac:dyDescent="0.3">
      <c r="C1337" s="126"/>
      <c r="D1337" s="126"/>
      <c r="E1337"/>
      <c r="F1337"/>
      <c r="G1337"/>
      <c r="H1337"/>
      <c r="I1337"/>
      <c r="J1337"/>
      <c r="K1337"/>
      <c r="L1337"/>
    </row>
    <row r="1338" spans="3:12" x14ac:dyDescent="0.3">
      <c r="C1338" s="126"/>
      <c r="D1338" s="126"/>
      <c r="E1338"/>
      <c r="F1338"/>
      <c r="G1338"/>
      <c r="H1338"/>
      <c r="I1338"/>
      <c r="J1338"/>
      <c r="K1338"/>
      <c r="L1338"/>
    </row>
    <row r="1339" spans="3:12" x14ac:dyDescent="0.3">
      <c r="C1339" s="126"/>
      <c r="D1339" s="126"/>
      <c r="E1339"/>
      <c r="F1339"/>
      <c r="G1339"/>
      <c r="H1339"/>
      <c r="I1339"/>
      <c r="J1339"/>
      <c r="K1339"/>
      <c r="L1339"/>
    </row>
    <row r="1340" spans="3:12" x14ac:dyDescent="0.3">
      <c r="C1340" s="126"/>
      <c r="D1340" s="126"/>
      <c r="E1340"/>
      <c r="F1340"/>
      <c r="G1340"/>
      <c r="H1340"/>
      <c r="I1340"/>
      <c r="J1340"/>
      <c r="K1340"/>
      <c r="L1340"/>
    </row>
    <row r="1341" spans="3:12" x14ac:dyDescent="0.3">
      <c r="C1341" s="126"/>
      <c r="D1341" s="126"/>
      <c r="E1341"/>
      <c r="F1341"/>
      <c r="G1341"/>
      <c r="H1341"/>
      <c r="I1341"/>
      <c r="J1341"/>
      <c r="K1341"/>
      <c r="L1341"/>
    </row>
    <row r="1342" spans="3:12" x14ac:dyDescent="0.3">
      <c r="C1342" s="126"/>
      <c r="D1342" s="126"/>
      <c r="E1342"/>
      <c r="F1342"/>
      <c r="G1342"/>
      <c r="H1342"/>
      <c r="I1342"/>
      <c r="J1342"/>
      <c r="K1342"/>
      <c r="L1342"/>
    </row>
    <row r="1343" spans="3:12" x14ac:dyDescent="0.3">
      <c r="C1343" s="126"/>
      <c r="D1343" s="126"/>
      <c r="E1343"/>
      <c r="F1343"/>
      <c r="G1343"/>
      <c r="H1343"/>
      <c r="I1343"/>
      <c r="J1343"/>
      <c r="K1343"/>
      <c r="L1343"/>
    </row>
    <row r="1344" spans="3:12" x14ac:dyDescent="0.3">
      <c r="C1344" s="126"/>
      <c r="D1344" s="126"/>
      <c r="E1344"/>
      <c r="F1344"/>
      <c r="G1344"/>
      <c r="H1344"/>
      <c r="I1344"/>
      <c r="J1344"/>
      <c r="K1344"/>
      <c r="L1344"/>
    </row>
    <row r="1345" spans="3:12" x14ac:dyDescent="0.3">
      <c r="C1345" s="126"/>
      <c r="D1345" s="126"/>
      <c r="E1345"/>
      <c r="F1345"/>
      <c r="G1345"/>
      <c r="H1345"/>
      <c r="I1345"/>
      <c r="J1345"/>
      <c r="K1345"/>
      <c r="L1345"/>
    </row>
    <row r="1346" spans="3:12" x14ac:dyDescent="0.3">
      <c r="C1346" s="126"/>
      <c r="D1346" s="126"/>
      <c r="E1346"/>
      <c r="F1346"/>
      <c r="G1346"/>
      <c r="H1346"/>
      <c r="I1346"/>
      <c r="J1346"/>
      <c r="K1346"/>
      <c r="L1346"/>
    </row>
    <row r="1347" spans="3:12" x14ac:dyDescent="0.3">
      <c r="C1347" s="126"/>
      <c r="D1347" s="126"/>
      <c r="E1347"/>
      <c r="F1347"/>
      <c r="G1347"/>
      <c r="H1347"/>
      <c r="I1347"/>
      <c r="J1347"/>
      <c r="K1347"/>
      <c r="L1347"/>
    </row>
    <row r="1348" spans="3:12" x14ac:dyDescent="0.3">
      <c r="C1348" s="126"/>
      <c r="D1348" s="126"/>
      <c r="E1348"/>
      <c r="F1348"/>
      <c r="G1348"/>
      <c r="H1348"/>
      <c r="I1348"/>
      <c r="J1348"/>
      <c r="K1348"/>
      <c r="L1348"/>
    </row>
    <row r="1349" spans="3:12" x14ac:dyDescent="0.3">
      <c r="C1349" s="126"/>
      <c r="D1349" s="126"/>
      <c r="E1349"/>
      <c r="F1349"/>
      <c r="G1349"/>
      <c r="H1349"/>
      <c r="I1349"/>
      <c r="J1349"/>
      <c r="K1349"/>
      <c r="L1349"/>
    </row>
    <row r="1350" spans="3:12" x14ac:dyDescent="0.3">
      <c r="C1350" s="126"/>
      <c r="D1350" s="126"/>
      <c r="E1350"/>
      <c r="F1350"/>
      <c r="G1350"/>
      <c r="H1350"/>
      <c r="I1350"/>
      <c r="J1350"/>
      <c r="K1350"/>
      <c r="L1350"/>
    </row>
    <row r="1351" spans="3:12" x14ac:dyDescent="0.3">
      <c r="C1351" s="126"/>
      <c r="D1351" s="126"/>
      <c r="E1351"/>
      <c r="F1351"/>
      <c r="G1351"/>
      <c r="H1351"/>
      <c r="I1351"/>
      <c r="J1351"/>
      <c r="K1351"/>
      <c r="L1351"/>
    </row>
    <row r="1352" spans="3:12" x14ac:dyDescent="0.3">
      <c r="C1352" s="126"/>
      <c r="D1352" s="126"/>
      <c r="E1352"/>
      <c r="F1352"/>
      <c r="G1352"/>
      <c r="H1352"/>
      <c r="I1352"/>
      <c r="J1352"/>
      <c r="K1352"/>
      <c r="L1352"/>
    </row>
    <row r="1353" spans="3:12" x14ac:dyDescent="0.3">
      <c r="C1353" s="126"/>
      <c r="D1353" s="126"/>
      <c r="E1353"/>
      <c r="F1353"/>
      <c r="G1353"/>
      <c r="H1353"/>
      <c r="I1353"/>
      <c r="J1353"/>
      <c r="K1353"/>
      <c r="L1353"/>
    </row>
    <row r="1354" spans="3:12" x14ac:dyDescent="0.3">
      <c r="C1354" s="126"/>
      <c r="D1354" s="126"/>
      <c r="E1354"/>
      <c r="F1354"/>
      <c r="G1354"/>
      <c r="H1354"/>
      <c r="I1354"/>
      <c r="J1354"/>
      <c r="K1354"/>
      <c r="L1354"/>
    </row>
    <row r="1355" spans="3:12" x14ac:dyDescent="0.3">
      <c r="C1355" s="126"/>
      <c r="D1355" s="126"/>
      <c r="E1355"/>
      <c r="F1355"/>
      <c r="G1355"/>
      <c r="H1355"/>
      <c r="I1355"/>
      <c r="J1355"/>
      <c r="K1355"/>
      <c r="L1355"/>
    </row>
    <row r="1356" spans="3:12" x14ac:dyDescent="0.3">
      <c r="C1356" s="126"/>
      <c r="D1356" s="126"/>
      <c r="E1356"/>
      <c r="F1356"/>
      <c r="G1356"/>
      <c r="H1356"/>
      <c r="I1356"/>
      <c r="J1356"/>
      <c r="K1356"/>
      <c r="L1356"/>
    </row>
    <row r="1357" spans="3:12" x14ac:dyDescent="0.3">
      <c r="C1357" s="126"/>
      <c r="D1357" s="126"/>
      <c r="E1357"/>
      <c r="F1357"/>
      <c r="G1357"/>
      <c r="H1357"/>
      <c r="I1357"/>
      <c r="J1357"/>
      <c r="K1357"/>
      <c r="L1357"/>
    </row>
    <row r="1358" spans="3:12" x14ac:dyDescent="0.3">
      <c r="C1358" s="126"/>
      <c r="D1358" s="126"/>
      <c r="E1358"/>
      <c r="F1358"/>
      <c r="G1358"/>
      <c r="H1358"/>
      <c r="I1358"/>
      <c r="J1358"/>
      <c r="K1358"/>
      <c r="L1358"/>
    </row>
    <row r="1359" spans="3:12" x14ac:dyDescent="0.3">
      <c r="C1359" s="126"/>
      <c r="D1359" s="126"/>
      <c r="E1359"/>
      <c r="F1359"/>
      <c r="G1359"/>
      <c r="H1359"/>
      <c r="I1359"/>
      <c r="J1359"/>
      <c r="K1359"/>
      <c r="L1359"/>
    </row>
    <row r="1360" spans="3:12" x14ac:dyDescent="0.3">
      <c r="C1360" s="126"/>
      <c r="D1360" s="126"/>
      <c r="E1360"/>
      <c r="F1360"/>
      <c r="G1360"/>
      <c r="H1360"/>
      <c r="I1360"/>
      <c r="J1360"/>
      <c r="K1360"/>
      <c r="L1360"/>
    </row>
    <row r="1361" spans="3:12" x14ac:dyDescent="0.3">
      <c r="C1361" s="126"/>
      <c r="D1361" s="126"/>
      <c r="E1361"/>
      <c r="F1361"/>
      <c r="G1361"/>
      <c r="H1361"/>
      <c r="I1361"/>
      <c r="J1361"/>
      <c r="K1361"/>
      <c r="L1361"/>
    </row>
    <row r="1362" spans="3:12" x14ac:dyDescent="0.3">
      <c r="C1362" s="126"/>
      <c r="D1362" s="126"/>
      <c r="E1362"/>
      <c r="F1362"/>
      <c r="G1362"/>
      <c r="H1362"/>
      <c r="I1362"/>
      <c r="J1362"/>
      <c r="K1362"/>
      <c r="L1362"/>
    </row>
    <row r="1363" spans="3:12" x14ac:dyDescent="0.3">
      <c r="C1363" s="126"/>
      <c r="D1363" s="126"/>
      <c r="E1363"/>
      <c r="F1363"/>
      <c r="G1363"/>
      <c r="H1363"/>
      <c r="I1363"/>
      <c r="J1363"/>
      <c r="K1363"/>
      <c r="L1363"/>
    </row>
    <row r="1364" spans="3:12" x14ac:dyDescent="0.3">
      <c r="C1364" s="126"/>
      <c r="D1364" s="126"/>
      <c r="E1364"/>
      <c r="F1364"/>
      <c r="G1364"/>
      <c r="H1364"/>
      <c r="I1364"/>
      <c r="J1364"/>
      <c r="K1364"/>
      <c r="L1364"/>
    </row>
    <row r="1365" spans="3:12" x14ac:dyDescent="0.3">
      <c r="C1365" s="126"/>
      <c r="D1365" s="126"/>
      <c r="E1365"/>
      <c r="F1365"/>
      <c r="G1365"/>
      <c r="H1365"/>
      <c r="I1365"/>
      <c r="J1365"/>
      <c r="K1365"/>
      <c r="L1365"/>
    </row>
    <row r="1366" spans="3:12" x14ac:dyDescent="0.3">
      <c r="C1366" s="126"/>
      <c r="D1366" s="126"/>
      <c r="E1366"/>
      <c r="F1366"/>
      <c r="G1366"/>
      <c r="H1366"/>
      <c r="I1366"/>
      <c r="J1366"/>
      <c r="K1366"/>
      <c r="L1366"/>
    </row>
    <row r="1367" spans="3:12" x14ac:dyDescent="0.3">
      <c r="C1367" s="126"/>
      <c r="D1367" s="126"/>
      <c r="E1367"/>
      <c r="F1367"/>
      <c r="G1367"/>
      <c r="H1367"/>
      <c r="I1367"/>
      <c r="J1367"/>
      <c r="K1367"/>
      <c r="L1367"/>
    </row>
    <row r="1368" spans="3:12" x14ac:dyDescent="0.3">
      <c r="C1368" s="126"/>
      <c r="D1368" s="126"/>
      <c r="E1368"/>
      <c r="F1368"/>
      <c r="G1368"/>
      <c r="H1368"/>
      <c r="I1368"/>
      <c r="J1368"/>
      <c r="K1368"/>
      <c r="L1368"/>
    </row>
    <row r="1369" spans="3:12" x14ac:dyDescent="0.3">
      <c r="C1369" s="126"/>
      <c r="D1369" s="126"/>
      <c r="E1369"/>
      <c r="F1369"/>
      <c r="G1369"/>
      <c r="H1369"/>
      <c r="I1369"/>
      <c r="J1369"/>
      <c r="K1369"/>
      <c r="L1369"/>
    </row>
    <row r="1370" spans="3:12" x14ac:dyDescent="0.3">
      <c r="C1370" s="126"/>
      <c r="D1370" s="126"/>
      <c r="E1370"/>
      <c r="F1370"/>
      <c r="G1370"/>
      <c r="H1370"/>
      <c r="I1370"/>
      <c r="J1370"/>
      <c r="K1370"/>
      <c r="L1370"/>
    </row>
    <row r="1371" spans="3:12" x14ac:dyDescent="0.3">
      <c r="C1371" s="126"/>
      <c r="D1371" s="126"/>
      <c r="E1371"/>
      <c r="F1371"/>
      <c r="G1371"/>
      <c r="H1371"/>
      <c r="I1371"/>
      <c r="J1371"/>
      <c r="K1371"/>
      <c r="L1371"/>
    </row>
    <row r="1372" spans="3:12" x14ac:dyDescent="0.3">
      <c r="C1372" s="126"/>
      <c r="D1372" s="126"/>
      <c r="E1372"/>
      <c r="F1372"/>
      <c r="G1372"/>
      <c r="H1372"/>
      <c r="I1372"/>
      <c r="J1372"/>
      <c r="K1372"/>
      <c r="L1372"/>
    </row>
    <row r="1373" spans="3:12" x14ac:dyDescent="0.3">
      <c r="C1373" s="126"/>
      <c r="D1373" s="126"/>
      <c r="E1373"/>
      <c r="F1373"/>
      <c r="G1373"/>
      <c r="H1373"/>
      <c r="I1373"/>
      <c r="J1373"/>
      <c r="K1373"/>
      <c r="L1373"/>
    </row>
    <row r="1374" spans="3:12" x14ac:dyDescent="0.3">
      <c r="C1374" s="126"/>
      <c r="D1374" s="126"/>
      <c r="E1374"/>
      <c r="F1374"/>
      <c r="G1374"/>
      <c r="H1374"/>
      <c r="I1374"/>
      <c r="J1374"/>
      <c r="K1374"/>
      <c r="L1374"/>
    </row>
    <row r="1375" spans="3:12" x14ac:dyDescent="0.3">
      <c r="C1375" s="126"/>
      <c r="D1375" s="126"/>
      <c r="E1375"/>
      <c r="F1375"/>
      <c r="G1375"/>
      <c r="H1375"/>
      <c r="I1375"/>
      <c r="J1375"/>
      <c r="K1375"/>
      <c r="L1375"/>
    </row>
    <row r="1376" spans="3:12" x14ac:dyDescent="0.3">
      <c r="C1376" s="126"/>
      <c r="D1376" s="126"/>
      <c r="E1376"/>
      <c r="F1376"/>
      <c r="G1376"/>
      <c r="H1376"/>
      <c r="I1376"/>
      <c r="J1376"/>
      <c r="K1376"/>
      <c r="L1376"/>
    </row>
    <row r="1377" spans="3:12" x14ac:dyDescent="0.3">
      <c r="C1377" s="126"/>
      <c r="D1377" s="126"/>
      <c r="E1377"/>
      <c r="F1377"/>
      <c r="G1377"/>
      <c r="H1377"/>
      <c r="I1377"/>
      <c r="J1377"/>
      <c r="K1377"/>
      <c r="L1377"/>
    </row>
    <row r="1378" spans="3:12" x14ac:dyDescent="0.3">
      <c r="C1378" s="126"/>
      <c r="D1378" s="126"/>
      <c r="E1378"/>
      <c r="F1378"/>
      <c r="G1378"/>
      <c r="H1378"/>
      <c r="I1378"/>
      <c r="J1378"/>
      <c r="K1378"/>
      <c r="L1378"/>
    </row>
    <row r="1379" spans="3:12" x14ac:dyDescent="0.3">
      <c r="C1379" s="126"/>
      <c r="D1379" s="126"/>
      <c r="E1379"/>
      <c r="F1379"/>
      <c r="G1379"/>
      <c r="H1379"/>
      <c r="I1379"/>
      <c r="J1379"/>
      <c r="K1379"/>
      <c r="L1379"/>
    </row>
    <row r="1380" spans="3:12" x14ac:dyDescent="0.3">
      <c r="C1380" s="126"/>
      <c r="D1380" s="126"/>
      <c r="E1380"/>
      <c r="F1380"/>
      <c r="G1380"/>
      <c r="H1380"/>
      <c r="I1380"/>
      <c r="J1380"/>
      <c r="K1380"/>
      <c r="L1380"/>
    </row>
    <row r="1381" spans="3:12" x14ac:dyDescent="0.3">
      <c r="C1381" s="126"/>
      <c r="D1381" s="126"/>
      <c r="E1381"/>
      <c r="F1381"/>
      <c r="G1381"/>
      <c r="H1381"/>
      <c r="I1381"/>
      <c r="J1381"/>
      <c r="K1381"/>
      <c r="L1381"/>
    </row>
    <row r="1382" spans="3:12" x14ac:dyDescent="0.3">
      <c r="C1382" s="126"/>
      <c r="D1382" s="126"/>
      <c r="E1382"/>
      <c r="F1382"/>
      <c r="G1382"/>
      <c r="H1382"/>
      <c r="I1382"/>
      <c r="J1382"/>
      <c r="K1382"/>
      <c r="L1382"/>
    </row>
    <row r="1383" spans="3:12" x14ac:dyDescent="0.3">
      <c r="C1383" s="126"/>
      <c r="D1383" s="126"/>
      <c r="E1383"/>
      <c r="F1383"/>
      <c r="G1383"/>
      <c r="H1383"/>
      <c r="I1383"/>
      <c r="J1383"/>
      <c r="K1383"/>
      <c r="L1383"/>
    </row>
    <row r="1384" spans="3:12" x14ac:dyDescent="0.3">
      <c r="C1384" s="126"/>
      <c r="D1384" s="126"/>
      <c r="E1384"/>
      <c r="F1384"/>
      <c r="G1384"/>
      <c r="H1384"/>
      <c r="I1384"/>
      <c r="J1384"/>
      <c r="K1384"/>
      <c r="L1384"/>
    </row>
    <row r="1385" spans="3:12" x14ac:dyDescent="0.3">
      <c r="C1385" s="126"/>
      <c r="D1385" s="126"/>
      <c r="E1385"/>
      <c r="F1385"/>
      <c r="G1385"/>
      <c r="H1385"/>
      <c r="I1385"/>
      <c r="J1385"/>
      <c r="K1385"/>
      <c r="L1385"/>
    </row>
    <row r="1386" spans="3:12" x14ac:dyDescent="0.3">
      <c r="C1386" s="126"/>
      <c r="D1386" s="126"/>
      <c r="E1386"/>
      <c r="F1386"/>
      <c r="G1386"/>
      <c r="H1386"/>
      <c r="I1386"/>
      <c r="J1386"/>
      <c r="K1386"/>
      <c r="L1386"/>
    </row>
    <row r="1387" spans="3:12" x14ac:dyDescent="0.3">
      <c r="C1387" s="126"/>
      <c r="D1387" s="126"/>
      <c r="E1387"/>
      <c r="F1387"/>
      <c r="G1387"/>
      <c r="H1387"/>
      <c r="I1387"/>
      <c r="J1387"/>
      <c r="K1387"/>
      <c r="L1387"/>
    </row>
    <row r="1388" spans="3:12" x14ac:dyDescent="0.3">
      <c r="C1388" s="126"/>
      <c r="D1388" s="126"/>
      <c r="E1388"/>
      <c r="F1388"/>
      <c r="G1388"/>
      <c r="H1388"/>
      <c r="I1388"/>
      <c r="J1388"/>
      <c r="K1388"/>
      <c r="L1388"/>
    </row>
    <row r="1389" spans="3:12" x14ac:dyDescent="0.3">
      <c r="C1389" s="126"/>
      <c r="D1389" s="126"/>
      <c r="E1389"/>
      <c r="F1389"/>
      <c r="G1389"/>
      <c r="H1389"/>
      <c r="I1389"/>
      <c r="J1389"/>
      <c r="K1389"/>
      <c r="L1389"/>
    </row>
    <row r="1390" spans="3:12" x14ac:dyDescent="0.3">
      <c r="C1390" s="126"/>
      <c r="D1390" s="126"/>
      <c r="E1390"/>
      <c r="F1390"/>
      <c r="G1390"/>
      <c r="H1390"/>
      <c r="I1390"/>
      <c r="J1390"/>
      <c r="K1390"/>
      <c r="L1390"/>
    </row>
    <row r="1391" spans="3:12" x14ac:dyDescent="0.3">
      <c r="C1391" s="126"/>
      <c r="D1391" s="126"/>
      <c r="E1391"/>
      <c r="F1391"/>
      <c r="G1391"/>
      <c r="H1391"/>
      <c r="I1391"/>
      <c r="J1391"/>
      <c r="K1391"/>
      <c r="L1391"/>
    </row>
    <row r="1392" spans="3:12" x14ac:dyDescent="0.3">
      <c r="C1392" s="126"/>
      <c r="D1392" s="126"/>
      <c r="E1392"/>
      <c r="F1392"/>
      <c r="G1392"/>
      <c r="H1392"/>
      <c r="I1392"/>
      <c r="J1392"/>
      <c r="K1392"/>
      <c r="L1392"/>
    </row>
    <row r="1393" spans="3:12" x14ac:dyDescent="0.3">
      <c r="C1393" s="126"/>
      <c r="D1393" s="126"/>
      <c r="E1393"/>
      <c r="F1393"/>
      <c r="G1393"/>
      <c r="H1393"/>
      <c r="I1393"/>
      <c r="J1393"/>
      <c r="K1393"/>
      <c r="L1393"/>
    </row>
    <row r="1394" spans="3:12" x14ac:dyDescent="0.3">
      <c r="C1394" s="126"/>
      <c r="D1394" s="126"/>
      <c r="E1394"/>
      <c r="F1394"/>
      <c r="G1394"/>
      <c r="H1394"/>
      <c r="I1394"/>
      <c r="J1394"/>
      <c r="K1394"/>
      <c r="L1394"/>
    </row>
    <row r="1395" spans="3:12" x14ac:dyDescent="0.3">
      <c r="C1395" s="126"/>
      <c r="D1395" s="126"/>
      <c r="E1395"/>
      <c r="F1395"/>
      <c r="G1395"/>
      <c r="H1395"/>
      <c r="I1395"/>
      <c r="J1395"/>
      <c r="K1395"/>
      <c r="L1395"/>
    </row>
    <row r="1396" spans="3:12" x14ac:dyDescent="0.3">
      <c r="C1396" s="126"/>
      <c r="D1396" s="126"/>
      <c r="E1396"/>
      <c r="F1396"/>
      <c r="G1396"/>
      <c r="H1396"/>
      <c r="I1396"/>
      <c r="J1396"/>
      <c r="K1396"/>
      <c r="L1396"/>
    </row>
    <row r="1397" spans="3:12" x14ac:dyDescent="0.3">
      <c r="C1397" s="126"/>
      <c r="D1397" s="126"/>
      <c r="E1397"/>
      <c r="F1397"/>
      <c r="G1397"/>
      <c r="H1397"/>
      <c r="I1397"/>
      <c r="J1397"/>
      <c r="K1397"/>
      <c r="L1397"/>
    </row>
    <row r="1398" spans="3:12" x14ac:dyDescent="0.3">
      <c r="C1398" s="126"/>
      <c r="D1398" s="126"/>
      <c r="E1398"/>
      <c r="F1398"/>
      <c r="G1398"/>
      <c r="H1398"/>
      <c r="I1398"/>
      <c r="J1398"/>
      <c r="K1398"/>
      <c r="L1398"/>
    </row>
    <row r="1399" spans="3:12" x14ac:dyDescent="0.3">
      <c r="C1399" s="126"/>
      <c r="D1399" s="126"/>
      <c r="E1399"/>
      <c r="F1399"/>
      <c r="G1399"/>
      <c r="H1399"/>
      <c r="I1399"/>
      <c r="J1399"/>
      <c r="K1399"/>
      <c r="L1399"/>
    </row>
    <row r="1400" spans="3:12" x14ac:dyDescent="0.3">
      <c r="C1400" s="126"/>
      <c r="D1400" s="126"/>
      <c r="E1400"/>
      <c r="F1400"/>
      <c r="G1400"/>
      <c r="H1400"/>
      <c r="I1400"/>
      <c r="J1400"/>
      <c r="K1400"/>
      <c r="L1400"/>
    </row>
    <row r="1401" spans="3:12" x14ac:dyDescent="0.3">
      <c r="C1401" s="126"/>
      <c r="D1401" s="126"/>
      <c r="E1401"/>
      <c r="F1401"/>
      <c r="G1401"/>
      <c r="H1401"/>
      <c r="I1401"/>
      <c r="J1401"/>
      <c r="K1401"/>
      <c r="L1401"/>
    </row>
    <row r="1402" spans="3:12" x14ac:dyDescent="0.3">
      <c r="C1402" s="126"/>
      <c r="D1402" s="126"/>
      <c r="E1402"/>
      <c r="F1402"/>
      <c r="G1402"/>
      <c r="H1402"/>
      <c r="I1402"/>
      <c r="J1402"/>
      <c r="K1402"/>
      <c r="L1402"/>
    </row>
    <row r="1403" spans="3:12" x14ac:dyDescent="0.3">
      <c r="C1403" s="126"/>
      <c r="D1403" s="126"/>
      <c r="E1403"/>
      <c r="F1403"/>
      <c r="G1403"/>
      <c r="H1403"/>
      <c r="I1403"/>
      <c r="J1403"/>
      <c r="K1403"/>
      <c r="L1403"/>
    </row>
    <row r="1404" spans="3:12" x14ac:dyDescent="0.3">
      <c r="C1404" s="126"/>
      <c r="D1404" s="126"/>
      <c r="E1404"/>
      <c r="F1404"/>
      <c r="G1404"/>
      <c r="H1404"/>
      <c r="I1404"/>
      <c r="J1404"/>
      <c r="K1404"/>
      <c r="L1404"/>
    </row>
    <row r="1405" spans="3:12" x14ac:dyDescent="0.3">
      <c r="C1405" s="126"/>
      <c r="D1405" s="126"/>
      <c r="E1405"/>
      <c r="F1405"/>
      <c r="G1405"/>
      <c r="H1405"/>
      <c r="I1405"/>
      <c r="J1405"/>
      <c r="K1405"/>
      <c r="L1405"/>
    </row>
    <row r="1406" spans="3:12" x14ac:dyDescent="0.3">
      <c r="C1406" s="126"/>
      <c r="D1406" s="126"/>
      <c r="E1406"/>
      <c r="F1406"/>
      <c r="G1406"/>
      <c r="H1406"/>
      <c r="I1406"/>
      <c r="J1406"/>
      <c r="K1406"/>
      <c r="L1406"/>
    </row>
    <row r="1407" spans="3:12" x14ac:dyDescent="0.3">
      <c r="C1407" s="126"/>
      <c r="D1407" s="126"/>
      <c r="E1407"/>
      <c r="F1407"/>
      <c r="G1407"/>
      <c r="H1407"/>
      <c r="I1407"/>
      <c r="J1407"/>
      <c r="K1407"/>
      <c r="L1407"/>
    </row>
    <row r="1408" spans="3:12" x14ac:dyDescent="0.3">
      <c r="C1408" s="126"/>
      <c r="D1408" s="126"/>
      <c r="E1408"/>
      <c r="F1408"/>
      <c r="G1408"/>
      <c r="H1408"/>
      <c r="I1408"/>
      <c r="J1408"/>
      <c r="K1408"/>
      <c r="L1408"/>
    </row>
    <row r="1409" spans="3:12" x14ac:dyDescent="0.3">
      <c r="C1409" s="126"/>
      <c r="D1409" s="126"/>
      <c r="E1409"/>
      <c r="F1409"/>
      <c r="G1409"/>
      <c r="H1409"/>
      <c r="I1409"/>
      <c r="J1409"/>
      <c r="K1409"/>
      <c r="L1409"/>
    </row>
    <row r="1410" spans="3:12" x14ac:dyDescent="0.3">
      <c r="C1410" s="126"/>
      <c r="D1410" s="126"/>
      <c r="E1410"/>
      <c r="F1410"/>
      <c r="G1410"/>
      <c r="H1410"/>
      <c r="I1410"/>
      <c r="J1410"/>
      <c r="K1410"/>
      <c r="L1410"/>
    </row>
    <row r="1411" spans="3:12" x14ac:dyDescent="0.3">
      <c r="C1411" s="126"/>
      <c r="D1411" s="126"/>
      <c r="E1411"/>
      <c r="F1411"/>
      <c r="G1411"/>
      <c r="H1411"/>
      <c r="I1411"/>
      <c r="J1411"/>
      <c r="K1411"/>
      <c r="L1411"/>
    </row>
    <row r="1412" spans="3:12" x14ac:dyDescent="0.3">
      <c r="C1412" s="126"/>
      <c r="D1412" s="126"/>
      <c r="E1412"/>
      <c r="F1412"/>
      <c r="G1412"/>
      <c r="H1412"/>
      <c r="I1412"/>
      <c r="J1412"/>
      <c r="K1412"/>
      <c r="L1412"/>
    </row>
    <row r="1413" spans="3:12" x14ac:dyDescent="0.3">
      <c r="C1413" s="126"/>
      <c r="D1413" s="126"/>
      <c r="E1413"/>
      <c r="F1413"/>
      <c r="G1413"/>
      <c r="H1413"/>
      <c r="I1413"/>
      <c r="J1413"/>
      <c r="K1413"/>
      <c r="L1413"/>
    </row>
    <row r="1414" spans="3:12" x14ac:dyDescent="0.3">
      <c r="C1414" s="126"/>
      <c r="D1414" s="126"/>
      <c r="E1414"/>
      <c r="F1414"/>
      <c r="G1414"/>
      <c r="H1414"/>
      <c r="I1414"/>
      <c r="J1414"/>
      <c r="K1414"/>
      <c r="L1414"/>
    </row>
    <row r="1415" spans="3:12" x14ac:dyDescent="0.3">
      <c r="C1415" s="126"/>
      <c r="D1415" s="126"/>
      <c r="E1415"/>
      <c r="F1415"/>
      <c r="G1415"/>
      <c r="H1415"/>
      <c r="I1415"/>
      <c r="J1415"/>
      <c r="K1415"/>
      <c r="L1415"/>
    </row>
    <row r="1416" spans="3:12" x14ac:dyDescent="0.3">
      <c r="C1416" s="126"/>
      <c r="D1416" s="126"/>
      <c r="E1416"/>
      <c r="F1416"/>
      <c r="G1416"/>
      <c r="H1416"/>
      <c r="I1416"/>
      <c r="J1416"/>
      <c r="K1416"/>
      <c r="L1416"/>
    </row>
    <row r="1417" spans="3:12" x14ac:dyDescent="0.3">
      <c r="C1417" s="126"/>
      <c r="D1417" s="126"/>
      <c r="E1417"/>
      <c r="F1417"/>
      <c r="G1417"/>
      <c r="H1417"/>
      <c r="I1417"/>
      <c r="J1417"/>
      <c r="K1417"/>
      <c r="L1417"/>
    </row>
    <row r="1418" spans="3:12" x14ac:dyDescent="0.3">
      <c r="C1418" s="126"/>
      <c r="D1418" s="126"/>
      <c r="E1418"/>
      <c r="F1418"/>
      <c r="G1418"/>
      <c r="H1418"/>
      <c r="I1418"/>
      <c r="J1418"/>
      <c r="K1418"/>
      <c r="L1418"/>
    </row>
    <row r="1419" spans="3:12" x14ac:dyDescent="0.3">
      <c r="C1419" s="126"/>
      <c r="D1419" s="126"/>
      <c r="E1419"/>
      <c r="F1419"/>
      <c r="G1419"/>
      <c r="H1419"/>
      <c r="I1419"/>
      <c r="J1419"/>
      <c r="K1419"/>
      <c r="L1419"/>
    </row>
    <row r="1420" spans="3:12" x14ac:dyDescent="0.3">
      <c r="C1420" s="126"/>
      <c r="D1420" s="126"/>
      <c r="E1420"/>
      <c r="F1420"/>
      <c r="G1420"/>
      <c r="H1420"/>
      <c r="I1420"/>
      <c r="J1420"/>
      <c r="K1420"/>
      <c r="L1420"/>
    </row>
    <row r="1421" spans="3:12" x14ac:dyDescent="0.3">
      <c r="C1421" s="126"/>
      <c r="D1421" s="126"/>
      <c r="E1421"/>
      <c r="F1421"/>
      <c r="G1421"/>
      <c r="H1421"/>
      <c r="I1421"/>
      <c r="J1421"/>
      <c r="K1421"/>
      <c r="L1421"/>
    </row>
    <row r="1422" spans="3:12" x14ac:dyDescent="0.3">
      <c r="C1422" s="126"/>
      <c r="D1422" s="126"/>
      <c r="E1422"/>
      <c r="F1422"/>
      <c r="G1422"/>
      <c r="H1422"/>
      <c r="I1422"/>
      <c r="J1422"/>
      <c r="K1422"/>
      <c r="L1422"/>
    </row>
    <row r="1423" spans="3:12" x14ac:dyDescent="0.3">
      <c r="C1423" s="126"/>
      <c r="D1423" s="126"/>
      <c r="E1423"/>
      <c r="F1423"/>
      <c r="G1423"/>
      <c r="H1423"/>
      <c r="I1423"/>
      <c r="J1423"/>
      <c r="K1423"/>
      <c r="L1423"/>
    </row>
    <row r="1424" spans="3:12" x14ac:dyDescent="0.3">
      <c r="C1424" s="126"/>
      <c r="D1424" s="126"/>
      <c r="E1424"/>
      <c r="F1424"/>
      <c r="G1424"/>
      <c r="H1424"/>
      <c r="I1424"/>
      <c r="J1424"/>
      <c r="K1424"/>
      <c r="L1424"/>
    </row>
    <row r="1425" spans="3:12" x14ac:dyDescent="0.3">
      <c r="C1425" s="126"/>
      <c r="D1425" s="126"/>
      <c r="E1425"/>
      <c r="F1425"/>
      <c r="G1425"/>
      <c r="H1425"/>
      <c r="I1425"/>
      <c r="J1425"/>
      <c r="K1425"/>
      <c r="L1425"/>
    </row>
    <row r="1426" spans="3:12" x14ac:dyDescent="0.3">
      <c r="C1426" s="126"/>
      <c r="D1426" s="126"/>
      <c r="E1426"/>
      <c r="F1426"/>
      <c r="G1426"/>
      <c r="H1426"/>
      <c r="I1426"/>
      <c r="J1426"/>
      <c r="K1426"/>
      <c r="L1426"/>
    </row>
    <row r="1427" spans="3:12" x14ac:dyDescent="0.3">
      <c r="C1427" s="126"/>
      <c r="D1427" s="126"/>
      <c r="E1427"/>
      <c r="F1427"/>
      <c r="G1427"/>
      <c r="H1427"/>
      <c r="I1427"/>
      <c r="J1427"/>
      <c r="K1427"/>
      <c r="L1427"/>
    </row>
    <row r="1428" spans="3:12" x14ac:dyDescent="0.3">
      <c r="C1428" s="126"/>
      <c r="D1428" s="126"/>
      <c r="E1428"/>
      <c r="F1428"/>
      <c r="G1428"/>
      <c r="H1428"/>
      <c r="I1428"/>
      <c r="J1428"/>
      <c r="K1428"/>
      <c r="L1428"/>
    </row>
    <row r="1429" spans="3:12" x14ac:dyDescent="0.3">
      <c r="C1429" s="126"/>
      <c r="D1429" s="126"/>
      <c r="E1429"/>
      <c r="F1429"/>
      <c r="G1429"/>
      <c r="H1429"/>
      <c r="I1429"/>
      <c r="J1429"/>
      <c r="K1429"/>
      <c r="L1429"/>
    </row>
    <row r="1430" spans="3:12" x14ac:dyDescent="0.3">
      <c r="C1430" s="126"/>
      <c r="D1430" s="126"/>
      <c r="E1430"/>
      <c r="F1430"/>
      <c r="G1430"/>
      <c r="H1430"/>
      <c r="I1430"/>
      <c r="J1430"/>
      <c r="K1430"/>
      <c r="L1430"/>
    </row>
    <row r="1431" spans="3:12" x14ac:dyDescent="0.3">
      <c r="C1431" s="126"/>
      <c r="D1431" s="126"/>
      <c r="E1431"/>
      <c r="F1431"/>
      <c r="G1431"/>
      <c r="H1431"/>
      <c r="I1431"/>
      <c r="J1431"/>
      <c r="K1431"/>
      <c r="L1431"/>
    </row>
    <row r="1432" spans="3:12" x14ac:dyDescent="0.3">
      <c r="C1432" s="126"/>
      <c r="D1432" s="126"/>
      <c r="E1432"/>
      <c r="F1432"/>
      <c r="G1432"/>
      <c r="H1432"/>
      <c r="I1432"/>
      <c r="J1432"/>
      <c r="K1432"/>
      <c r="L1432"/>
    </row>
    <row r="1433" spans="3:12" x14ac:dyDescent="0.3">
      <c r="C1433" s="126"/>
      <c r="D1433" s="126"/>
      <c r="E1433"/>
      <c r="F1433"/>
      <c r="G1433"/>
      <c r="H1433"/>
      <c r="I1433"/>
      <c r="J1433"/>
      <c r="K1433"/>
      <c r="L1433"/>
    </row>
    <row r="1434" spans="3:12" x14ac:dyDescent="0.3">
      <c r="C1434" s="126"/>
      <c r="D1434" s="126"/>
      <c r="E1434"/>
      <c r="F1434"/>
      <c r="G1434"/>
      <c r="H1434"/>
      <c r="I1434"/>
      <c r="J1434"/>
      <c r="K1434"/>
      <c r="L1434"/>
    </row>
    <row r="1435" spans="3:12" x14ac:dyDescent="0.3">
      <c r="C1435" s="126"/>
      <c r="D1435" s="126"/>
      <c r="E1435"/>
      <c r="F1435"/>
      <c r="G1435"/>
      <c r="H1435"/>
      <c r="I1435"/>
      <c r="J1435"/>
      <c r="K1435"/>
      <c r="L1435"/>
    </row>
    <row r="1436" spans="3:12" x14ac:dyDescent="0.3">
      <c r="C1436" s="126"/>
      <c r="D1436" s="126"/>
      <c r="E1436"/>
      <c r="F1436"/>
      <c r="G1436"/>
      <c r="H1436"/>
      <c r="I1436"/>
      <c r="J1436"/>
      <c r="K1436"/>
      <c r="L1436"/>
    </row>
    <row r="1437" spans="3:12" x14ac:dyDescent="0.3">
      <c r="C1437" s="126"/>
      <c r="D1437" s="126"/>
      <c r="E1437"/>
      <c r="F1437"/>
      <c r="G1437"/>
      <c r="H1437"/>
      <c r="I1437"/>
      <c r="J1437"/>
      <c r="K1437"/>
      <c r="L1437"/>
    </row>
    <row r="1438" spans="3:12" x14ac:dyDescent="0.3">
      <c r="C1438" s="126"/>
      <c r="D1438" s="126"/>
      <c r="E1438"/>
      <c r="F1438"/>
      <c r="G1438"/>
      <c r="H1438"/>
      <c r="I1438"/>
      <c r="J1438"/>
      <c r="K1438"/>
      <c r="L1438"/>
    </row>
    <row r="1439" spans="3:12" x14ac:dyDescent="0.3">
      <c r="C1439" s="126"/>
      <c r="D1439" s="126"/>
      <c r="E1439"/>
      <c r="F1439"/>
      <c r="G1439"/>
      <c r="H1439"/>
      <c r="I1439"/>
      <c r="J1439"/>
      <c r="K1439"/>
      <c r="L1439"/>
    </row>
    <row r="1440" spans="3:12" x14ac:dyDescent="0.3">
      <c r="C1440" s="126"/>
      <c r="D1440" s="126"/>
      <c r="E1440"/>
      <c r="F1440"/>
      <c r="G1440"/>
      <c r="H1440"/>
      <c r="I1440"/>
      <c r="J1440"/>
      <c r="K1440"/>
      <c r="L1440"/>
    </row>
    <row r="1441" spans="3:12" x14ac:dyDescent="0.3">
      <c r="C1441" s="126"/>
      <c r="D1441" s="126"/>
      <c r="E1441"/>
      <c r="F1441"/>
      <c r="G1441"/>
      <c r="H1441"/>
      <c r="I1441"/>
      <c r="J1441"/>
      <c r="K1441"/>
      <c r="L1441"/>
    </row>
    <row r="1442" spans="3:12" x14ac:dyDescent="0.3">
      <c r="C1442" s="126"/>
      <c r="D1442" s="126"/>
      <c r="E1442"/>
      <c r="F1442"/>
      <c r="G1442"/>
      <c r="H1442"/>
      <c r="I1442"/>
      <c r="J1442"/>
      <c r="K1442"/>
      <c r="L1442"/>
    </row>
    <row r="1443" spans="3:12" x14ac:dyDescent="0.3">
      <c r="C1443" s="126"/>
      <c r="D1443" s="126"/>
      <c r="E1443"/>
      <c r="F1443"/>
      <c r="G1443"/>
      <c r="H1443"/>
      <c r="I1443"/>
      <c r="J1443"/>
      <c r="K1443"/>
      <c r="L1443"/>
    </row>
    <row r="1444" spans="3:12" x14ac:dyDescent="0.3">
      <c r="C1444" s="126"/>
      <c r="D1444" s="126"/>
      <c r="E1444"/>
      <c r="F1444"/>
      <c r="G1444"/>
      <c r="H1444"/>
      <c r="I1444"/>
      <c r="J1444"/>
      <c r="K1444"/>
      <c r="L1444"/>
    </row>
    <row r="1445" spans="3:12" x14ac:dyDescent="0.3">
      <c r="C1445" s="126"/>
      <c r="D1445" s="126"/>
      <c r="E1445"/>
      <c r="F1445"/>
      <c r="G1445"/>
      <c r="H1445"/>
      <c r="I1445"/>
      <c r="J1445"/>
      <c r="K1445"/>
      <c r="L1445"/>
    </row>
    <row r="1446" spans="3:12" x14ac:dyDescent="0.3">
      <c r="C1446" s="126"/>
      <c r="D1446" s="126"/>
      <c r="E1446"/>
      <c r="F1446"/>
      <c r="G1446"/>
      <c r="H1446"/>
      <c r="I1446"/>
      <c r="J1446"/>
      <c r="K1446"/>
      <c r="L1446"/>
    </row>
    <row r="1447" spans="3:12" x14ac:dyDescent="0.3">
      <c r="C1447" s="126"/>
      <c r="D1447" s="126"/>
      <c r="E1447"/>
      <c r="F1447"/>
      <c r="G1447"/>
      <c r="H1447"/>
      <c r="I1447"/>
      <c r="J1447"/>
      <c r="K1447"/>
      <c r="L1447"/>
    </row>
    <row r="1448" spans="3:12" x14ac:dyDescent="0.3">
      <c r="C1448" s="126"/>
      <c r="D1448" s="126"/>
      <c r="E1448"/>
      <c r="F1448"/>
      <c r="G1448"/>
      <c r="H1448"/>
      <c r="I1448"/>
      <c r="J1448"/>
      <c r="K1448"/>
      <c r="L1448"/>
    </row>
    <row r="1449" spans="3:12" x14ac:dyDescent="0.3">
      <c r="C1449" s="126"/>
      <c r="D1449" s="126"/>
      <c r="E1449"/>
      <c r="F1449"/>
      <c r="G1449"/>
      <c r="H1449"/>
      <c r="I1449"/>
      <c r="J1449"/>
      <c r="K1449"/>
      <c r="L1449"/>
    </row>
    <row r="1450" spans="3:12" x14ac:dyDescent="0.3">
      <c r="C1450" s="126"/>
      <c r="D1450" s="126"/>
      <c r="E1450"/>
      <c r="F1450"/>
      <c r="G1450"/>
      <c r="H1450"/>
      <c r="I1450"/>
      <c r="J1450"/>
      <c r="K1450"/>
      <c r="L1450"/>
    </row>
    <row r="1451" spans="3:12" x14ac:dyDescent="0.3">
      <c r="C1451" s="126"/>
      <c r="D1451" s="126"/>
      <c r="E1451"/>
      <c r="F1451"/>
      <c r="G1451"/>
      <c r="H1451"/>
      <c r="I1451"/>
      <c r="J1451"/>
      <c r="K1451"/>
      <c r="L1451"/>
    </row>
    <row r="1452" spans="3:12" x14ac:dyDescent="0.3">
      <c r="C1452" s="126"/>
      <c r="D1452" s="126"/>
      <c r="E1452"/>
      <c r="F1452"/>
      <c r="G1452"/>
      <c r="H1452"/>
      <c r="I1452"/>
      <c r="J1452"/>
      <c r="K1452"/>
      <c r="L1452"/>
    </row>
    <row r="1453" spans="3:12" x14ac:dyDescent="0.3">
      <c r="C1453" s="126"/>
      <c r="D1453" s="126"/>
      <c r="E1453"/>
      <c r="F1453"/>
      <c r="G1453"/>
      <c r="H1453"/>
      <c r="I1453"/>
      <c r="J1453"/>
      <c r="K1453"/>
      <c r="L1453"/>
    </row>
    <row r="1454" spans="3:12" x14ac:dyDescent="0.3">
      <c r="C1454" s="126"/>
      <c r="D1454" s="126"/>
      <c r="E1454"/>
      <c r="F1454"/>
      <c r="G1454"/>
      <c r="H1454"/>
      <c r="I1454"/>
      <c r="J1454"/>
      <c r="K1454"/>
      <c r="L1454"/>
    </row>
    <row r="1455" spans="3:12" x14ac:dyDescent="0.3">
      <c r="C1455" s="126"/>
      <c r="D1455" s="126"/>
      <c r="E1455"/>
      <c r="F1455"/>
      <c r="G1455"/>
      <c r="H1455"/>
      <c r="I1455"/>
      <c r="J1455"/>
      <c r="K1455"/>
      <c r="L1455"/>
    </row>
    <row r="1456" spans="3:12" x14ac:dyDescent="0.3">
      <c r="C1456" s="126"/>
      <c r="D1456" s="126"/>
      <c r="E1456"/>
      <c r="F1456"/>
      <c r="G1456"/>
      <c r="H1456"/>
      <c r="I1456"/>
      <c r="J1456"/>
      <c r="K1456"/>
      <c r="L1456"/>
    </row>
    <row r="1457" spans="3:12" x14ac:dyDescent="0.3">
      <c r="C1457" s="126"/>
      <c r="D1457" s="126"/>
      <c r="E1457"/>
      <c r="F1457"/>
      <c r="G1457"/>
      <c r="H1457"/>
      <c r="I1457"/>
      <c r="J1457"/>
      <c r="K1457"/>
      <c r="L1457"/>
    </row>
    <row r="1458" spans="3:12" x14ac:dyDescent="0.3">
      <c r="C1458" s="126"/>
      <c r="D1458" s="126"/>
      <c r="E1458"/>
      <c r="F1458"/>
      <c r="G1458"/>
      <c r="H1458"/>
      <c r="I1458"/>
      <c r="J1458"/>
      <c r="K1458"/>
      <c r="L1458"/>
    </row>
    <row r="1459" spans="3:12" x14ac:dyDescent="0.3">
      <c r="C1459" s="126"/>
      <c r="D1459" s="126"/>
      <c r="E1459"/>
      <c r="F1459"/>
      <c r="G1459"/>
      <c r="H1459"/>
      <c r="I1459"/>
      <c r="J1459"/>
      <c r="K1459"/>
      <c r="L1459"/>
    </row>
    <row r="1460" spans="3:12" x14ac:dyDescent="0.3">
      <c r="C1460" s="126"/>
      <c r="D1460" s="126"/>
      <c r="E1460"/>
      <c r="F1460"/>
      <c r="G1460"/>
      <c r="H1460"/>
      <c r="I1460"/>
      <c r="J1460"/>
      <c r="K1460"/>
      <c r="L1460"/>
    </row>
    <row r="1461" spans="3:12" x14ac:dyDescent="0.3">
      <c r="C1461" s="126"/>
      <c r="D1461" s="126"/>
      <c r="E1461"/>
      <c r="F1461"/>
      <c r="G1461"/>
      <c r="H1461"/>
      <c r="I1461"/>
      <c r="J1461"/>
      <c r="K1461"/>
      <c r="L1461"/>
    </row>
    <row r="1462" spans="3:12" x14ac:dyDescent="0.3">
      <c r="C1462" s="126"/>
      <c r="D1462" s="126"/>
      <c r="E1462"/>
      <c r="F1462"/>
      <c r="G1462"/>
      <c r="H1462"/>
      <c r="I1462"/>
      <c r="J1462"/>
      <c r="K1462"/>
      <c r="L1462"/>
    </row>
    <row r="1463" spans="3:12" x14ac:dyDescent="0.3">
      <c r="C1463" s="126"/>
      <c r="D1463" s="126"/>
      <c r="E1463"/>
      <c r="F1463"/>
      <c r="G1463"/>
      <c r="H1463"/>
      <c r="I1463"/>
      <c r="J1463"/>
      <c r="K1463"/>
      <c r="L1463"/>
    </row>
    <row r="1464" spans="3:12" x14ac:dyDescent="0.3">
      <c r="C1464" s="126"/>
      <c r="D1464" s="126"/>
      <c r="E1464"/>
      <c r="F1464"/>
      <c r="G1464"/>
      <c r="H1464"/>
      <c r="I1464"/>
      <c r="J1464"/>
      <c r="K1464"/>
      <c r="L1464"/>
    </row>
    <row r="1465" spans="3:12" x14ac:dyDescent="0.3">
      <c r="C1465" s="126"/>
      <c r="D1465" s="126"/>
      <c r="E1465"/>
      <c r="F1465"/>
      <c r="G1465"/>
      <c r="H1465"/>
      <c r="I1465"/>
      <c r="J1465"/>
      <c r="K1465"/>
      <c r="L1465"/>
    </row>
    <row r="1466" spans="3:12" x14ac:dyDescent="0.3">
      <c r="C1466" s="126"/>
      <c r="D1466" s="126"/>
      <c r="E1466"/>
      <c r="F1466"/>
      <c r="G1466"/>
      <c r="H1466"/>
      <c r="I1466"/>
      <c r="J1466"/>
      <c r="K1466"/>
      <c r="L1466"/>
    </row>
    <row r="1467" spans="3:12" x14ac:dyDescent="0.3">
      <c r="C1467" s="126"/>
      <c r="D1467" s="126"/>
      <c r="E1467"/>
      <c r="F1467"/>
      <c r="G1467"/>
      <c r="H1467"/>
      <c r="I1467"/>
      <c r="J1467"/>
      <c r="K1467"/>
      <c r="L1467"/>
    </row>
    <row r="1468" spans="3:12" x14ac:dyDescent="0.3">
      <c r="C1468" s="126"/>
      <c r="D1468" s="126"/>
      <c r="E1468"/>
      <c r="F1468"/>
      <c r="G1468"/>
      <c r="H1468"/>
      <c r="I1468"/>
      <c r="J1468"/>
      <c r="K1468"/>
      <c r="L1468"/>
    </row>
    <row r="1469" spans="3:12" x14ac:dyDescent="0.3">
      <c r="C1469" s="126"/>
      <c r="D1469" s="126"/>
      <c r="E1469"/>
      <c r="F1469"/>
      <c r="G1469"/>
      <c r="H1469"/>
      <c r="I1469"/>
      <c r="J1469"/>
      <c r="K1469"/>
      <c r="L1469"/>
    </row>
    <row r="1470" spans="3:12" x14ac:dyDescent="0.3">
      <c r="C1470" s="126"/>
      <c r="D1470" s="126"/>
      <c r="E1470"/>
      <c r="F1470"/>
      <c r="G1470"/>
      <c r="H1470"/>
      <c r="I1470"/>
      <c r="J1470"/>
      <c r="K1470"/>
      <c r="L1470"/>
    </row>
    <row r="1471" spans="3:12" x14ac:dyDescent="0.3">
      <c r="C1471" s="126"/>
      <c r="D1471" s="126"/>
      <c r="E1471"/>
      <c r="F1471"/>
      <c r="G1471"/>
      <c r="H1471"/>
      <c r="I1471"/>
      <c r="J1471"/>
      <c r="K1471"/>
      <c r="L1471"/>
    </row>
    <row r="1472" spans="3:12" x14ac:dyDescent="0.3">
      <c r="C1472" s="126"/>
      <c r="D1472" s="126"/>
      <c r="E1472"/>
      <c r="F1472"/>
      <c r="G1472"/>
      <c r="H1472"/>
      <c r="I1472"/>
      <c r="J1472"/>
      <c r="K1472"/>
      <c r="L1472"/>
    </row>
    <row r="1473" spans="3:12" x14ac:dyDescent="0.3">
      <c r="C1473" s="126"/>
      <c r="D1473" s="126"/>
      <c r="E1473"/>
      <c r="F1473"/>
      <c r="G1473"/>
      <c r="H1473"/>
      <c r="I1473"/>
      <c r="J1473"/>
      <c r="K1473"/>
      <c r="L1473"/>
    </row>
    <row r="1474" spans="3:12" x14ac:dyDescent="0.3">
      <c r="C1474" s="126"/>
      <c r="D1474" s="126"/>
      <c r="E1474"/>
      <c r="F1474"/>
      <c r="G1474"/>
      <c r="H1474"/>
      <c r="I1474"/>
      <c r="J1474"/>
      <c r="K1474"/>
      <c r="L1474"/>
    </row>
    <row r="1475" spans="3:12" x14ac:dyDescent="0.3">
      <c r="C1475" s="126"/>
      <c r="D1475" s="126"/>
      <c r="E1475"/>
      <c r="F1475"/>
      <c r="G1475"/>
      <c r="H1475"/>
      <c r="I1475"/>
      <c r="J1475"/>
      <c r="K1475"/>
      <c r="L1475"/>
    </row>
    <row r="1476" spans="3:12" x14ac:dyDescent="0.3">
      <c r="C1476" s="126"/>
      <c r="D1476" s="126"/>
      <c r="E1476"/>
      <c r="F1476"/>
      <c r="G1476"/>
      <c r="H1476"/>
      <c r="I1476"/>
      <c r="J1476"/>
      <c r="K1476"/>
      <c r="L1476"/>
    </row>
    <row r="1477" spans="3:12" x14ac:dyDescent="0.3">
      <c r="C1477" s="126"/>
      <c r="D1477" s="126"/>
      <c r="E1477"/>
      <c r="F1477"/>
      <c r="G1477"/>
      <c r="H1477"/>
      <c r="I1477"/>
      <c r="J1477"/>
      <c r="K1477"/>
      <c r="L1477"/>
    </row>
    <row r="1478" spans="3:12" x14ac:dyDescent="0.3">
      <c r="C1478" s="126"/>
      <c r="D1478" s="126"/>
      <c r="E1478"/>
      <c r="F1478"/>
      <c r="G1478"/>
      <c r="H1478"/>
      <c r="I1478"/>
      <c r="J1478"/>
      <c r="K1478"/>
      <c r="L1478"/>
    </row>
    <row r="1479" spans="3:12" x14ac:dyDescent="0.3">
      <c r="C1479" s="126"/>
      <c r="D1479" s="126"/>
      <c r="E1479"/>
      <c r="F1479"/>
      <c r="G1479"/>
      <c r="H1479"/>
      <c r="I1479"/>
      <c r="J1479"/>
      <c r="K1479"/>
      <c r="L1479"/>
    </row>
    <row r="1480" spans="3:12" x14ac:dyDescent="0.3">
      <c r="C1480" s="126"/>
      <c r="D1480" s="126"/>
      <c r="E1480"/>
      <c r="F1480"/>
      <c r="G1480"/>
      <c r="H1480"/>
      <c r="I1480"/>
      <c r="J1480"/>
      <c r="K1480"/>
      <c r="L1480"/>
    </row>
    <row r="1481" spans="3:12" x14ac:dyDescent="0.3">
      <c r="C1481" s="126"/>
      <c r="D1481" s="126"/>
      <c r="E1481"/>
      <c r="F1481"/>
      <c r="G1481"/>
      <c r="H1481"/>
      <c r="I1481"/>
      <c r="J1481"/>
      <c r="K1481"/>
      <c r="L1481"/>
    </row>
    <row r="1482" spans="3:12" x14ac:dyDescent="0.3">
      <c r="C1482" s="126"/>
      <c r="D1482" s="126"/>
      <c r="E1482"/>
      <c r="F1482"/>
      <c r="G1482"/>
      <c r="H1482"/>
      <c r="I1482"/>
      <c r="J1482"/>
      <c r="K1482"/>
      <c r="L1482"/>
    </row>
    <row r="1483" spans="3:12" x14ac:dyDescent="0.3">
      <c r="C1483" s="126"/>
      <c r="D1483" s="126"/>
      <c r="E1483"/>
      <c r="F1483"/>
      <c r="G1483"/>
      <c r="H1483"/>
      <c r="I1483"/>
      <c r="J1483"/>
      <c r="K1483"/>
      <c r="L1483"/>
    </row>
    <row r="1484" spans="3:12" x14ac:dyDescent="0.3">
      <c r="C1484" s="126"/>
      <c r="D1484" s="126"/>
      <c r="E1484"/>
      <c r="F1484"/>
      <c r="G1484"/>
      <c r="H1484"/>
      <c r="I1484"/>
      <c r="J1484"/>
      <c r="K1484"/>
      <c r="L1484"/>
    </row>
    <row r="1485" spans="3:12" x14ac:dyDescent="0.3">
      <c r="C1485" s="126"/>
      <c r="D1485" s="126"/>
      <c r="E1485"/>
      <c r="F1485"/>
      <c r="G1485"/>
      <c r="H1485"/>
      <c r="I1485"/>
      <c r="J1485"/>
      <c r="K1485"/>
      <c r="L1485"/>
    </row>
    <row r="1486" spans="3:12" x14ac:dyDescent="0.3">
      <c r="C1486" s="126"/>
      <c r="D1486" s="126"/>
      <c r="E1486"/>
      <c r="F1486"/>
      <c r="G1486"/>
      <c r="H1486"/>
      <c r="I1486"/>
      <c r="J1486"/>
      <c r="K1486"/>
      <c r="L1486"/>
    </row>
    <row r="1487" spans="3:12" x14ac:dyDescent="0.3">
      <c r="C1487" s="126"/>
      <c r="D1487" s="126"/>
      <c r="E1487"/>
      <c r="F1487"/>
      <c r="G1487"/>
      <c r="H1487"/>
      <c r="I1487"/>
      <c r="J1487"/>
      <c r="K1487"/>
      <c r="L1487"/>
    </row>
    <row r="1488" spans="3:12" x14ac:dyDescent="0.3">
      <c r="C1488" s="126"/>
      <c r="D1488" s="126"/>
      <c r="E1488"/>
      <c r="F1488"/>
      <c r="G1488"/>
      <c r="H1488"/>
      <c r="I1488"/>
      <c r="J1488"/>
      <c r="K1488"/>
      <c r="L1488"/>
    </row>
    <row r="1489" spans="3:12" x14ac:dyDescent="0.3">
      <c r="C1489" s="126"/>
      <c r="D1489" s="126"/>
      <c r="E1489"/>
      <c r="F1489"/>
      <c r="G1489"/>
      <c r="H1489"/>
      <c r="I1489"/>
      <c r="J1489"/>
      <c r="K1489"/>
      <c r="L1489"/>
    </row>
    <row r="1490" spans="3:12" x14ac:dyDescent="0.3">
      <c r="C1490" s="126"/>
      <c r="D1490" s="126"/>
      <c r="E1490"/>
      <c r="F1490"/>
      <c r="G1490"/>
      <c r="H1490"/>
      <c r="I1490"/>
      <c r="J1490"/>
      <c r="K1490"/>
      <c r="L1490"/>
    </row>
    <row r="1491" spans="3:12" x14ac:dyDescent="0.3">
      <c r="C1491" s="126"/>
      <c r="D1491" s="126"/>
      <c r="E1491"/>
      <c r="F1491"/>
      <c r="G1491"/>
      <c r="H1491"/>
      <c r="I1491"/>
      <c r="J1491"/>
      <c r="K1491"/>
      <c r="L1491"/>
    </row>
    <row r="1492" spans="3:12" x14ac:dyDescent="0.3">
      <c r="C1492" s="126"/>
      <c r="D1492" s="126"/>
      <c r="E1492"/>
      <c r="F1492"/>
      <c r="G1492"/>
      <c r="H1492"/>
      <c r="I1492"/>
      <c r="J1492"/>
      <c r="K1492"/>
      <c r="L1492"/>
    </row>
    <row r="1493" spans="3:12" x14ac:dyDescent="0.3">
      <c r="C1493" s="126"/>
      <c r="D1493" s="126"/>
      <c r="E1493"/>
      <c r="F1493"/>
      <c r="G1493"/>
      <c r="H1493"/>
      <c r="I1493"/>
      <c r="J1493"/>
      <c r="K1493"/>
      <c r="L1493"/>
    </row>
    <row r="1494" spans="3:12" x14ac:dyDescent="0.3">
      <c r="C1494" s="126"/>
      <c r="D1494" s="126"/>
      <c r="E1494"/>
      <c r="F1494"/>
      <c r="G1494"/>
      <c r="H1494"/>
      <c r="I1494"/>
      <c r="J1494"/>
      <c r="K1494"/>
      <c r="L1494"/>
    </row>
    <row r="1495" spans="3:12" x14ac:dyDescent="0.3">
      <c r="C1495" s="126"/>
      <c r="D1495" s="126"/>
      <c r="E1495"/>
      <c r="F1495"/>
      <c r="G1495"/>
      <c r="H1495"/>
      <c r="I1495"/>
      <c r="J1495"/>
      <c r="K1495"/>
      <c r="L1495"/>
    </row>
    <row r="1496" spans="3:12" x14ac:dyDescent="0.3">
      <c r="C1496" s="126"/>
      <c r="D1496" s="126"/>
      <c r="E1496"/>
      <c r="F1496"/>
      <c r="G1496"/>
      <c r="H1496"/>
      <c r="I1496"/>
      <c r="J1496"/>
      <c r="K1496"/>
      <c r="L1496"/>
    </row>
    <row r="1497" spans="3:12" x14ac:dyDescent="0.3">
      <c r="C1497" s="126"/>
      <c r="D1497" s="126"/>
      <c r="E1497"/>
      <c r="F1497"/>
      <c r="G1497"/>
      <c r="H1497"/>
      <c r="I1497"/>
      <c r="J1497"/>
      <c r="K1497"/>
      <c r="L1497"/>
    </row>
    <row r="1498" spans="3:12" x14ac:dyDescent="0.3">
      <c r="C1498" s="126"/>
      <c r="D1498" s="126"/>
      <c r="E1498"/>
      <c r="F1498"/>
      <c r="G1498"/>
      <c r="H1498"/>
      <c r="I1498"/>
      <c r="J1498"/>
      <c r="K1498"/>
      <c r="L1498"/>
    </row>
    <row r="1499" spans="3:12" x14ac:dyDescent="0.3">
      <c r="C1499" s="126"/>
      <c r="D1499" s="126"/>
      <c r="E1499"/>
      <c r="F1499"/>
      <c r="G1499"/>
      <c r="H1499"/>
      <c r="I1499"/>
      <c r="J1499"/>
      <c r="K1499"/>
      <c r="L1499"/>
    </row>
    <row r="1500" spans="3:12" x14ac:dyDescent="0.3">
      <c r="C1500" s="126"/>
      <c r="D1500" s="126"/>
      <c r="E1500"/>
      <c r="F1500"/>
      <c r="G1500"/>
      <c r="H1500"/>
      <c r="I1500"/>
      <c r="J1500"/>
      <c r="K1500"/>
      <c r="L1500"/>
    </row>
    <row r="1501" spans="3:12" x14ac:dyDescent="0.3">
      <c r="C1501" s="126"/>
      <c r="D1501" s="126"/>
      <c r="E1501"/>
      <c r="F1501"/>
      <c r="G1501"/>
      <c r="H1501"/>
      <c r="I1501"/>
      <c r="J1501"/>
      <c r="K1501"/>
      <c r="L1501"/>
    </row>
    <row r="1502" spans="3:12" x14ac:dyDescent="0.3">
      <c r="C1502" s="126"/>
      <c r="D1502" s="126"/>
      <c r="E1502"/>
      <c r="F1502"/>
      <c r="G1502"/>
      <c r="H1502"/>
      <c r="I1502"/>
      <c r="J1502"/>
      <c r="K1502"/>
      <c r="L1502"/>
    </row>
    <row r="1503" spans="3:12" x14ac:dyDescent="0.3">
      <c r="C1503" s="126"/>
      <c r="D1503" s="126"/>
      <c r="E1503"/>
      <c r="F1503"/>
      <c r="G1503"/>
      <c r="H1503"/>
      <c r="I1503"/>
      <c r="J1503"/>
      <c r="K1503"/>
      <c r="L1503"/>
    </row>
    <row r="1504" spans="3:12" x14ac:dyDescent="0.3">
      <c r="C1504" s="126"/>
      <c r="D1504" s="126"/>
      <c r="E1504"/>
      <c r="F1504"/>
      <c r="G1504"/>
      <c r="H1504"/>
      <c r="I1504"/>
      <c r="J1504"/>
      <c r="K1504"/>
      <c r="L1504"/>
    </row>
    <row r="1505" spans="3:12" x14ac:dyDescent="0.3">
      <c r="C1505" s="126"/>
      <c r="D1505" s="126"/>
      <c r="E1505"/>
      <c r="F1505"/>
      <c r="G1505"/>
      <c r="H1505"/>
      <c r="I1505"/>
      <c r="J1505"/>
      <c r="K1505"/>
      <c r="L1505"/>
    </row>
    <row r="1506" spans="3:12" x14ac:dyDescent="0.3">
      <c r="C1506" s="126"/>
      <c r="D1506" s="126"/>
      <c r="E1506"/>
      <c r="F1506"/>
      <c r="G1506"/>
      <c r="H1506"/>
      <c r="I1506"/>
      <c r="J1506"/>
      <c r="K1506"/>
      <c r="L1506"/>
    </row>
    <row r="1507" spans="3:12" x14ac:dyDescent="0.3">
      <c r="C1507" s="126"/>
      <c r="D1507" s="126"/>
      <c r="E1507"/>
      <c r="F1507"/>
      <c r="G1507"/>
      <c r="H1507"/>
      <c r="I1507"/>
      <c r="J1507"/>
      <c r="K1507"/>
      <c r="L1507"/>
    </row>
    <row r="1508" spans="3:12" x14ac:dyDescent="0.3">
      <c r="C1508" s="126"/>
      <c r="D1508" s="126"/>
      <c r="E1508"/>
      <c r="F1508"/>
      <c r="G1508"/>
      <c r="H1508"/>
      <c r="I1508"/>
      <c r="J1508"/>
      <c r="K1508"/>
      <c r="L1508"/>
    </row>
    <row r="1509" spans="3:12" x14ac:dyDescent="0.3">
      <c r="C1509" s="126"/>
      <c r="D1509" s="126"/>
      <c r="E1509"/>
      <c r="F1509"/>
      <c r="G1509"/>
      <c r="H1509"/>
      <c r="I1509"/>
      <c r="J1509"/>
      <c r="K1509"/>
      <c r="L1509"/>
    </row>
    <row r="1510" spans="3:12" x14ac:dyDescent="0.3">
      <c r="C1510" s="126"/>
      <c r="D1510" s="126"/>
      <c r="E1510"/>
      <c r="F1510"/>
      <c r="G1510"/>
      <c r="H1510"/>
      <c r="I1510"/>
      <c r="J1510"/>
      <c r="K1510"/>
      <c r="L1510"/>
    </row>
    <row r="1511" spans="3:12" x14ac:dyDescent="0.3">
      <c r="C1511" s="126"/>
      <c r="D1511" s="126"/>
      <c r="E1511"/>
      <c r="F1511"/>
      <c r="G1511"/>
      <c r="H1511"/>
      <c r="I1511"/>
      <c r="J1511"/>
      <c r="K1511"/>
      <c r="L1511"/>
    </row>
    <row r="1512" spans="3:12" x14ac:dyDescent="0.3">
      <c r="C1512" s="126"/>
      <c r="D1512" s="126"/>
      <c r="E1512"/>
      <c r="F1512"/>
      <c r="G1512"/>
      <c r="H1512"/>
      <c r="I1512"/>
      <c r="J1512"/>
      <c r="K1512"/>
      <c r="L1512"/>
    </row>
    <row r="1513" spans="3:12" x14ac:dyDescent="0.3">
      <c r="C1513" s="126"/>
      <c r="D1513" s="126"/>
      <c r="E1513"/>
      <c r="F1513"/>
      <c r="G1513"/>
      <c r="H1513"/>
      <c r="I1513"/>
      <c r="J1513"/>
      <c r="K1513"/>
      <c r="L1513"/>
    </row>
    <row r="1514" spans="3:12" x14ac:dyDescent="0.3">
      <c r="C1514" s="126"/>
      <c r="D1514" s="126"/>
      <c r="E1514"/>
      <c r="F1514"/>
      <c r="G1514"/>
      <c r="H1514"/>
      <c r="I1514"/>
      <c r="J1514"/>
      <c r="K1514"/>
      <c r="L1514"/>
    </row>
    <row r="1515" spans="3:12" x14ac:dyDescent="0.3">
      <c r="C1515" s="126"/>
      <c r="D1515" s="126"/>
      <c r="E1515"/>
      <c r="F1515"/>
      <c r="G1515"/>
      <c r="H1515"/>
      <c r="I1515"/>
      <c r="J1515"/>
      <c r="K1515"/>
      <c r="L1515"/>
    </row>
    <row r="1516" spans="3:12" x14ac:dyDescent="0.3">
      <c r="C1516" s="126"/>
      <c r="D1516" s="126"/>
      <c r="E1516"/>
      <c r="F1516"/>
      <c r="G1516"/>
      <c r="H1516"/>
      <c r="I1516"/>
      <c r="J1516"/>
      <c r="K1516"/>
      <c r="L1516"/>
    </row>
    <row r="1517" spans="3:12" x14ac:dyDescent="0.3">
      <c r="C1517" s="126"/>
      <c r="D1517" s="126"/>
      <c r="E1517"/>
      <c r="F1517"/>
      <c r="G1517"/>
      <c r="H1517"/>
      <c r="I1517"/>
      <c r="J1517"/>
      <c r="K1517"/>
      <c r="L1517"/>
    </row>
    <row r="1518" spans="3:12" x14ac:dyDescent="0.3">
      <c r="C1518" s="126"/>
      <c r="D1518" s="126"/>
      <c r="E1518"/>
      <c r="F1518"/>
      <c r="G1518"/>
      <c r="H1518"/>
      <c r="I1518"/>
      <c r="J1518"/>
      <c r="K1518"/>
      <c r="L1518"/>
    </row>
    <row r="1519" spans="3:12" x14ac:dyDescent="0.3">
      <c r="C1519" s="126"/>
      <c r="D1519" s="126"/>
      <c r="E1519"/>
      <c r="F1519"/>
      <c r="G1519"/>
      <c r="H1519"/>
      <c r="I1519"/>
      <c r="J1519"/>
      <c r="K1519"/>
      <c r="L1519"/>
    </row>
    <row r="1520" spans="3:12" x14ac:dyDescent="0.3">
      <c r="C1520" s="126"/>
      <c r="D1520" s="126"/>
      <c r="E1520"/>
      <c r="F1520"/>
      <c r="G1520"/>
      <c r="H1520"/>
      <c r="I1520"/>
      <c r="J1520"/>
      <c r="K1520"/>
      <c r="L1520"/>
    </row>
    <row r="1521" spans="3:12" x14ac:dyDescent="0.3">
      <c r="C1521" s="126"/>
      <c r="D1521" s="126"/>
      <c r="E1521"/>
      <c r="F1521"/>
      <c r="G1521"/>
      <c r="H1521"/>
      <c r="I1521"/>
      <c r="J1521"/>
      <c r="K1521"/>
      <c r="L1521"/>
    </row>
    <row r="1522" spans="3:12" x14ac:dyDescent="0.3">
      <c r="C1522" s="126"/>
      <c r="D1522" s="126"/>
      <c r="E1522"/>
      <c r="F1522"/>
      <c r="G1522"/>
      <c r="H1522"/>
      <c r="I1522"/>
      <c r="J1522"/>
      <c r="K1522"/>
      <c r="L1522"/>
    </row>
    <row r="1523" spans="3:12" x14ac:dyDescent="0.3">
      <c r="C1523" s="126"/>
      <c r="D1523" s="126"/>
      <c r="E1523"/>
      <c r="F1523"/>
      <c r="G1523"/>
      <c r="H1523"/>
      <c r="I1523"/>
      <c r="J1523"/>
      <c r="K1523"/>
      <c r="L1523"/>
    </row>
    <row r="1524" spans="3:12" x14ac:dyDescent="0.3">
      <c r="C1524" s="126"/>
      <c r="D1524" s="126"/>
      <c r="E1524"/>
      <c r="F1524"/>
      <c r="G1524"/>
      <c r="H1524"/>
      <c r="I1524"/>
      <c r="J1524"/>
      <c r="K1524"/>
      <c r="L1524"/>
    </row>
    <row r="1525" spans="3:12" x14ac:dyDescent="0.3">
      <c r="C1525" s="126"/>
      <c r="D1525" s="126"/>
      <c r="E1525"/>
      <c r="F1525"/>
      <c r="G1525"/>
      <c r="H1525"/>
      <c r="I1525"/>
      <c r="J1525"/>
      <c r="K1525"/>
      <c r="L1525"/>
    </row>
    <row r="1526" spans="3:12" x14ac:dyDescent="0.3">
      <c r="C1526" s="126"/>
      <c r="D1526" s="126"/>
      <c r="E1526"/>
      <c r="F1526"/>
      <c r="G1526"/>
      <c r="H1526"/>
      <c r="I1526"/>
      <c r="J1526"/>
      <c r="K1526"/>
      <c r="L1526"/>
    </row>
    <row r="1527" spans="3:12" x14ac:dyDescent="0.3">
      <c r="C1527" s="126"/>
      <c r="D1527" s="126"/>
      <c r="E1527"/>
      <c r="F1527"/>
      <c r="G1527"/>
      <c r="H1527"/>
      <c r="I1527"/>
      <c r="J1527"/>
      <c r="K1527"/>
      <c r="L1527"/>
    </row>
    <row r="1528" spans="3:12" x14ac:dyDescent="0.3">
      <c r="C1528" s="126"/>
      <c r="D1528" s="126"/>
      <c r="E1528"/>
      <c r="F1528"/>
      <c r="G1528"/>
      <c r="H1528"/>
      <c r="I1528"/>
      <c r="J1528"/>
      <c r="K1528"/>
      <c r="L1528"/>
    </row>
    <row r="1529" spans="3:12" x14ac:dyDescent="0.3">
      <c r="C1529" s="126"/>
      <c r="D1529" s="126"/>
      <c r="E1529"/>
      <c r="F1529"/>
      <c r="G1529"/>
      <c r="H1529"/>
      <c r="I1529"/>
      <c r="J1529"/>
      <c r="K1529"/>
      <c r="L1529"/>
    </row>
    <row r="1530" spans="3:12" x14ac:dyDescent="0.3">
      <c r="C1530" s="126"/>
      <c r="D1530" s="126"/>
      <c r="E1530"/>
      <c r="F1530"/>
      <c r="G1530"/>
      <c r="H1530"/>
      <c r="I1530"/>
      <c r="J1530"/>
      <c r="K1530"/>
      <c r="L1530"/>
    </row>
    <row r="1531" spans="3:12" x14ac:dyDescent="0.3">
      <c r="C1531" s="126"/>
      <c r="D1531" s="126"/>
      <c r="E1531"/>
      <c r="F1531"/>
      <c r="G1531"/>
      <c r="H1531"/>
      <c r="I1531"/>
      <c r="J1531"/>
      <c r="K1531"/>
      <c r="L1531"/>
    </row>
    <row r="1532" spans="3:12" x14ac:dyDescent="0.3">
      <c r="C1532" s="126"/>
      <c r="D1532" s="126"/>
      <c r="E1532"/>
      <c r="F1532"/>
      <c r="G1532"/>
      <c r="H1532"/>
      <c r="I1532"/>
      <c r="J1532"/>
      <c r="K1532"/>
      <c r="L1532"/>
    </row>
    <row r="1533" spans="3:12" x14ac:dyDescent="0.3">
      <c r="C1533" s="126"/>
      <c r="D1533" s="126"/>
      <c r="E1533"/>
      <c r="F1533"/>
      <c r="G1533"/>
      <c r="H1533"/>
      <c r="I1533"/>
      <c r="J1533"/>
      <c r="K1533"/>
      <c r="L1533"/>
    </row>
    <row r="1534" spans="3:12" x14ac:dyDescent="0.3">
      <c r="C1534" s="126"/>
      <c r="D1534" s="126"/>
      <c r="E1534"/>
      <c r="F1534"/>
      <c r="G1534"/>
      <c r="H1534"/>
      <c r="I1534"/>
      <c r="J1534"/>
      <c r="K1534"/>
      <c r="L1534"/>
    </row>
    <row r="1535" spans="3:12" x14ac:dyDescent="0.3">
      <c r="C1535" s="126"/>
      <c r="D1535" s="126"/>
      <c r="E1535"/>
      <c r="F1535"/>
      <c r="G1535"/>
      <c r="H1535"/>
      <c r="I1535"/>
      <c r="J1535"/>
      <c r="K1535"/>
      <c r="L1535"/>
    </row>
    <row r="1536" spans="3:12" x14ac:dyDescent="0.3">
      <c r="C1536" s="126"/>
      <c r="D1536" s="126"/>
      <c r="E1536"/>
      <c r="F1536"/>
      <c r="G1536"/>
      <c r="H1536"/>
      <c r="I1536"/>
      <c r="J1536"/>
      <c r="K1536"/>
      <c r="L1536"/>
    </row>
    <row r="1537" spans="3:12" x14ac:dyDescent="0.3">
      <c r="C1537" s="126"/>
      <c r="D1537" s="126"/>
      <c r="E1537"/>
      <c r="F1537"/>
      <c r="G1537"/>
      <c r="H1537"/>
      <c r="I1537"/>
      <c r="J1537"/>
      <c r="K1537"/>
      <c r="L1537"/>
    </row>
    <row r="1538" spans="3:12" x14ac:dyDescent="0.3">
      <c r="C1538" s="126"/>
      <c r="D1538" s="126"/>
      <c r="E1538"/>
      <c r="F1538"/>
      <c r="G1538"/>
      <c r="H1538"/>
      <c r="I1538"/>
      <c r="J1538"/>
      <c r="K1538"/>
      <c r="L1538"/>
    </row>
    <row r="1539" spans="3:12" x14ac:dyDescent="0.3">
      <c r="C1539" s="126"/>
      <c r="D1539" s="126"/>
      <c r="E1539"/>
      <c r="F1539"/>
      <c r="G1539"/>
      <c r="H1539"/>
      <c r="I1539"/>
      <c r="J1539"/>
      <c r="K1539"/>
      <c r="L1539"/>
    </row>
    <row r="1540" spans="3:12" x14ac:dyDescent="0.3">
      <c r="C1540" s="126"/>
      <c r="D1540" s="126"/>
      <c r="E1540"/>
      <c r="F1540"/>
      <c r="G1540"/>
      <c r="H1540"/>
      <c r="I1540"/>
      <c r="J1540"/>
      <c r="K1540"/>
      <c r="L1540"/>
    </row>
    <row r="1541" spans="3:12" x14ac:dyDescent="0.3">
      <c r="C1541" s="126"/>
      <c r="D1541" s="126"/>
      <c r="E1541"/>
      <c r="F1541"/>
      <c r="G1541"/>
      <c r="H1541"/>
      <c r="I1541"/>
      <c r="J1541"/>
      <c r="K1541"/>
      <c r="L1541"/>
    </row>
    <row r="1542" spans="3:12" x14ac:dyDescent="0.3">
      <c r="C1542" s="126"/>
      <c r="D1542" s="126"/>
      <c r="E1542"/>
      <c r="F1542"/>
      <c r="G1542"/>
      <c r="H1542"/>
      <c r="I1542"/>
      <c r="J1542"/>
      <c r="K1542"/>
      <c r="L1542"/>
    </row>
    <row r="1543" spans="3:12" x14ac:dyDescent="0.3">
      <c r="C1543" s="126"/>
      <c r="D1543" s="126"/>
      <c r="E1543"/>
      <c r="F1543"/>
      <c r="G1543"/>
      <c r="H1543"/>
      <c r="I1543"/>
      <c r="J1543"/>
      <c r="K1543"/>
      <c r="L1543"/>
    </row>
    <row r="1544" spans="3:12" x14ac:dyDescent="0.3">
      <c r="C1544" s="126"/>
      <c r="D1544" s="126"/>
      <c r="E1544"/>
      <c r="F1544"/>
      <c r="G1544"/>
      <c r="H1544"/>
      <c r="I1544"/>
      <c r="J1544"/>
      <c r="K1544"/>
      <c r="L1544"/>
    </row>
    <row r="1545" spans="3:12" x14ac:dyDescent="0.3">
      <c r="C1545" s="126"/>
      <c r="D1545" s="126"/>
      <c r="E1545"/>
      <c r="F1545"/>
      <c r="G1545"/>
      <c r="H1545"/>
      <c r="I1545"/>
      <c r="J1545"/>
      <c r="K1545"/>
      <c r="L1545"/>
    </row>
    <row r="1546" spans="3:12" x14ac:dyDescent="0.3">
      <c r="C1546" s="126"/>
      <c r="D1546" s="126"/>
      <c r="E1546"/>
      <c r="F1546"/>
      <c r="G1546"/>
      <c r="H1546"/>
      <c r="I1546"/>
      <c r="J1546"/>
      <c r="K1546"/>
      <c r="L1546"/>
    </row>
    <row r="1547" spans="3:12" x14ac:dyDescent="0.3">
      <c r="C1547" s="126"/>
      <c r="D1547" s="126"/>
      <c r="E1547"/>
      <c r="F1547"/>
      <c r="G1547"/>
      <c r="H1547"/>
      <c r="I1547"/>
      <c r="J1547"/>
      <c r="K1547"/>
      <c r="L1547"/>
    </row>
    <row r="1548" spans="3:12" x14ac:dyDescent="0.3">
      <c r="C1548" s="126"/>
      <c r="D1548" s="126"/>
      <c r="E1548"/>
      <c r="F1548"/>
      <c r="G1548"/>
      <c r="H1548"/>
      <c r="I1548"/>
      <c r="J1548"/>
      <c r="K1548"/>
      <c r="L1548"/>
    </row>
    <row r="1549" spans="3:12" x14ac:dyDescent="0.3">
      <c r="C1549" s="126"/>
      <c r="D1549" s="126"/>
      <c r="E1549"/>
      <c r="F1549"/>
      <c r="G1549"/>
      <c r="H1549"/>
      <c r="I1549"/>
      <c r="J1549"/>
      <c r="K1549"/>
      <c r="L1549"/>
    </row>
    <row r="1550" spans="3:12" x14ac:dyDescent="0.3">
      <c r="C1550" s="126"/>
      <c r="D1550" s="126"/>
      <c r="E1550"/>
      <c r="F1550"/>
      <c r="G1550"/>
      <c r="H1550"/>
      <c r="I1550"/>
      <c r="J1550"/>
      <c r="K1550"/>
      <c r="L1550"/>
    </row>
    <row r="1551" spans="3:12" x14ac:dyDescent="0.3">
      <c r="C1551" s="126"/>
      <c r="D1551" s="126"/>
      <c r="E1551"/>
      <c r="F1551"/>
      <c r="G1551"/>
      <c r="H1551"/>
      <c r="I1551"/>
      <c r="J1551"/>
      <c r="K1551"/>
      <c r="L1551"/>
    </row>
    <row r="1552" spans="3:12" x14ac:dyDescent="0.3">
      <c r="C1552" s="126"/>
      <c r="D1552" s="126"/>
      <c r="E1552"/>
      <c r="F1552"/>
      <c r="G1552"/>
      <c r="H1552"/>
      <c r="I1552"/>
      <c r="J1552"/>
      <c r="K1552"/>
      <c r="L1552"/>
    </row>
    <row r="1553" spans="3:12" x14ac:dyDescent="0.3">
      <c r="C1553" s="126"/>
      <c r="D1553" s="126"/>
      <c r="E1553"/>
      <c r="F1553"/>
      <c r="G1553"/>
      <c r="H1553"/>
      <c r="I1553"/>
      <c r="J1553"/>
      <c r="K1553"/>
      <c r="L1553"/>
    </row>
    <row r="1554" spans="3:12" x14ac:dyDescent="0.3">
      <c r="C1554" s="126"/>
      <c r="D1554" s="126"/>
      <c r="E1554"/>
      <c r="F1554"/>
      <c r="G1554"/>
      <c r="H1554"/>
      <c r="I1554"/>
      <c r="J1554"/>
      <c r="K1554"/>
      <c r="L1554"/>
    </row>
    <row r="1555" spans="3:12" x14ac:dyDescent="0.3">
      <c r="C1555" s="126"/>
      <c r="D1555" s="126"/>
      <c r="E1555"/>
      <c r="F1555"/>
      <c r="G1555"/>
      <c r="H1555"/>
      <c r="I1555"/>
      <c r="J1555"/>
      <c r="K1555"/>
      <c r="L1555"/>
    </row>
    <row r="1556" spans="3:12" x14ac:dyDescent="0.3">
      <c r="C1556" s="126"/>
      <c r="D1556" s="126"/>
      <c r="E1556"/>
      <c r="F1556"/>
      <c r="G1556"/>
      <c r="H1556"/>
      <c r="I1556"/>
      <c r="J1556"/>
      <c r="K1556"/>
      <c r="L1556"/>
    </row>
    <row r="1557" spans="3:12" x14ac:dyDescent="0.3">
      <c r="C1557" s="126"/>
      <c r="D1557" s="126"/>
      <c r="E1557"/>
      <c r="F1557"/>
      <c r="G1557"/>
      <c r="H1557"/>
      <c r="I1557"/>
      <c r="J1557"/>
      <c r="K1557"/>
      <c r="L1557"/>
    </row>
    <row r="1558" spans="3:12" x14ac:dyDescent="0.3">
      <c r="C1558" s="126"/>
      <c r="D1558" s="126"/>
      <c r="E1558"/>
      <c r="F1558"/>
      <c r="G1558"/>
      <c r="H1558"/>
      <c r="I1558"/>
      <c r="J1558"/>
      <c r="K1558"/>
      <c r="L1558"/>
    </row>
    <row r="1559" spans="3:12" x14ac:dyDescent="0.3">
      <c r="C1559" s="126"/>
      <c r="D1559" s="126"/>
      <c r="E1559"/>
      <c r="F1559"/>
      <c r="G1559"/>
      <c r="H1559"/>
      <c r="I1559"/>
      <c r="J1559"/>
      <c r="K1559"/>
      <c r="L1559"/>
    </row>
    <row r="1560" spans="3:12" x14ac:dyDescent="0.3">
      <c r="C1560" s="126"/>
      <c r="D1560" s="126"/>
      <c r="E1560"/>
      <c r="F1560"/>
      <c r="G1560"/>
      <c r="H1560"/>
      <c r="I1560"/>
      <c r="J1560"/>
      <c r="K1560"/>
      <c r="L1560"/>
    </row>
    <row r="1561" spans="3:12" x14ac:dyDescent="0.3">
      <c r="C1561" s="126"/>
      <c r="D1561" s="126"/>
      <c r="E1561"/>
      <c r="F1561"/>
      <c r="G1561"/>
      <c r="H1561"/>
      <c r="I1561"/>
      <c r="J1561"/>
      <c r="K1561"/>
      <c r="L1561"/>
    </row>
    <row r="1562" spans="3:12" x14ac:dyDescent="0.3">
      <c r="C1562" s="126"/>
      <c r="D1562" s="126"/>
      <c r="E1562"/>
      <c r="F1562"/>
      <c r="G1562"/>
      <c r="H1562"/>
      <c r="I1562"/>
      <c r="J1562"/>
      <c r="K1562"/>
      <c r="L1562"/>
    </row>
    <row r="1563" spans="3:12" x14ac:dyDescent="0.3">
      <c r="C1563" s="126"/>
      <c r="D1563" s="126"/>
      <c r="E1563"/>
      <c r="F1563"/>
      <c r="G1563"/>
      <c r="H1563"/>
      <c r="I1563"/>
      <c r="J1563"/>
      <c r="K1563"/>
      <c r="L1563"/>
    </row>
    <row r="1564" spans="3:12" x14ac:dyDescent="0.3">
      <c r="C1564" s="126"/>
      <c r="D1564" s="126"/>
      <c r="E1564"/>
      <c r="F1564"/>
      <c r="G1564"/>
      <c r="H1564"/>
      <c r="I1564"/>
      <c r="J1564"/>
      <c r="K1564"/>
      <c r="L1564"/>
    </row>
    <row r="1565" spans="3:12" x14ac:dyDescent="0.3">
      <c r="C1565" s="126"/>
      <c r="D1565" s="126"/>
      <c r="E1565"/>
      <c r="F1565"/>
      <c r="G1565"/>
      <c r="H1565"/>
      <c r="I1565"/>
      <c r="J1565"/>
      <c r="K1565"/>
      <c r="L1565"/>
    </row>
    <row r="1566" spans="3:12" x14ac:dyDescent="0.3">
      <c r="C1566" s="126"/>
      <c r="D1566" s="126"/>
      <c r="E1566"/>
      <c r="F1566"/>
      <c r="G1566"/>
      <c r="H1566"/>
      <c r="I1566"/>
      <c r="J1566"/>
      <c r="K1566"/>
      <c r="L1566"/>
    </row>
    <row r="1567" spans="3:12" x14ac:dyDescent="0.3">
      <c r="C1567" s="126"/>
      <c r="D1567" s="126"/>
      <c r="E1567"/>
      <c r="F1567"/>
      <c r="G1567"/>
      <c r="H1567"/>
      <c r="I1567"/>
      <c r="J1567"/>
      <c r="K1567"/>
      <c r="L1567"/>
    </row>
    <row r="1568" spans="3:12" x14ac:dyDescent="0.3">
      <c r="C1568" s="126"/>
      <c r="D1568" s="126"/>
      <c r="E1568"/>
      <c r="F1568"/>
      <c r="G1568"/>
      <c r="H1568"/>
      <c r="I1568"/>
      <c r="J1568"/>
      <c r="K1568"/>
      <c r="L1568"/>
    </row>
    <row r="1569" spans="3:12" x14ac:dyDescent="0.3">
      <c r="C1569" s="126"/>
      <c r="D1569" s="126"/>
      <c r="E1569"/>
      <c r="F1569"/>
      <c r="G1569"/>
      <c r="H1569"/>
      <c r="I1569"/>
      <c r="J1569"/>
      <c r="K1569"/>
      <c r="L1569"/>
    </row>
    <row r="1570" spans="3:12" x14ac:dyDescent="0.3">
      <c r="C1570" s="126"/>
      <c r="D1570" s="126"/>
      <c r="E1570"/>
      <c r="F1570"/>
      <c r="G1570"/>
      <c r="H1570"/>
      <c r="I1570"/>
      <c r="J1570"/>
      <c r="K1570"/>
      <c r="L1570"/>
    </row>
    <row r="1571" spans="3:12" x14ac:dyDescent="0.3">
      <c r="C1571" s="126"/>
      <c r="D1571" s="126"/>
      <c r="E1571"/>
      <c r="F1571"/>
      <c r="G1571"/>
      <c r="H1571"/>
      <c r="I1571"/>
      <c r="J1571"/>
      <c r="K1571"/>
      <c r="L1571"/>
    </row>
    <row r="1572" spans="3:12" x14ac:dyDescent="0.3">
      <c r="C1572" s="126"/>
      <c r="D1572" s="126"/>
      <c r="E1572"/>
      <c r="F1572"/>
      <c r="G1572"/>
      <c r="H1572"/>
      <c r="I1572"/>
      <c r="J1572"/>
      <c r="K1572"/>
      <c r="L1572"/>
    </row>
    <row r="1573" spans="3:12" x14ac:dyDescent="0.3">
      <c r="C1573" s="126"/>
      <c r="D1573" s="126"/>
      <c r="E1573"/>
      <c r="F1573"/>
      <c r="G1573"/>
      <c r="H1573"/>
      <c r="I1573"/>
      <c r="J1573"/>
      <c r="K1573"/>
      <c r="L1573"/>
    </row>
    <row r="1574" spans="3:12" x14ac:dyDescent="0.3">
      <c r="C1574" s="126"/>
      <c r="D1574" s="126"/>
      <c r="E1574"/>
      <c r="F1574"/>
      <c r="G1574"/>
      <c r="H1574"/>
      <c r="I1574"/>
      <c r="J1574"/>
      <c r="K1574"/>
      <c r="L1574"/>
    </row>
    <row r="1575" spans="3:12" x14ac:dyDescent="0.3">
      <c r="C1575" s="126"/>
      <c r="D1575" s="126"/>
      <c r="E1575"/>
      <c r="F1575"/>
      <c r="G1575"/>
      <c r="H1575"/>
      <c r="I1575"/>
      <c r="J1575"/>
      <c r="K1575"/>
      <c r="L1575"/>
    </row>
    <row r="1576" spans="3:12" x14ac:dyDescent="0.3">
      <c r="C1576" s="126"/>
      <c r="D1576" s="126"/>
      <c r="E1576"/>
      <c r="F1576"/>
      <c r="G1576"/>
      <c r="H1576"/>
      <c r="I1576"/>
      <c r="J1576"/>
      <c r="K1576"/>
      <c r="L1576"/>
    </row>
    <row r="1577" spans="3:12" x14ac:dyDescent="0.3">
      <c r="C1577" s="126"/>
      <c r="D1577" s="126"/>
      <c r="E1577"/>
      <c r="F1577"/>
      <c r="G1577"/>
      <c r="H1577"/>
      <c r="I1577"/>
      <c r="J1577"/>
      <c r="K1577"/>
      <c r="L1577"/>
    </row>
    <row r="1578" spans="3:12" x14ac:dyDescent="0.3">
      <c r="C1578" s="126"/>
      <c r="D1578" s="126"/>
      <c r="E1578"/>
      <c r="F1578"/>
      <c r="G1578"/>
      <c r="H1578"/>
      <c r="I1578"/>
      <c r="J1578"/>
      <c r="K1578"/>
      <c r="L1578"/>
    </row>
    <row r="1579" spans="3:12" x14ac:dyDescent="0.3">
      <c r="C1579" s="126"/>
      <c r="D1579" s="126"/>
      <c r="E1579"/>
      <c r="F1579"/>
      <c r="G1579"/>
      <c r="H1579"/>
      <c r="I1579"/>
      <c r="J1579"/>
      <c r="K1579"/>
      <c r="L1579"/>
    </row>
    <row r="1580" spans="3:12" x14ac:dyDescent="0.3">
      <c r="C1580" s="126"/>
      <c r="D1580" s="126"/>
      <c r="E1580"/>
      <c r="F1580"/>
      <c r="G1580"/>
      <c r="H1580"/>
      <c r="I1580"/>
      <c r="J1580"/>
      <c r="K1580"/>
      <c r="L1580"/>
    </row>
    <row r="1581" spans="3:12" x14ac:dyDescent="0.3">
      <c r="C1581" s="126"/>
      <c r="D1581" s="126"/>
      <c r="E1581"/>
      <c r="F1581"/>
      <c r="G1581"/>
      <c r="H1581"/>
      <c r="I1581"/>
      <c r="J1581"/>
      <c r="K1581"/>
      <c r="L1581"/>
    </row>
    <row r="1582" spans="3:12" x14ac:dyDescent="0.3">
      <c r="C1582" s="126"/>
      <c r="D1582" s="126"/>
      <c r="E1582"/>
      <c r="F1582"/>
      <c r="G1582"/>
      <c r="H1582"/>
      <c r="I1582"/>
      <c r="J1582"/>
      <c r="K1582"/>
      <c r="L1582"/>
    </row>
    <row r="1583" spans="3:12" x14ac:dyDescent="0.3">
      <c r="C1583" s="126"/>
      <c r="D1583" s="126"/>
      <c r="E1583"/>
      <c r="F1583"/>
      <c r="G1583"/>
      <c r="H1583"/>
      <c r="I1583"/>
      <c r="J1583"/>
      <c r="K1583"/>
      <c r="L1583"/>
    </row>
    <row r="1584" spans="3:12" x14ac:dyDescent="0.3">
      <c r="C1584" s="126"/>
      <c r="D1584" s="126"/>
      <c r="E1584"/>
      <c r="F1584"/>
      <c r="G1584"/>
      <c r="H1584"/>
      <c r="I1584"/>
      <c r="J1584"/>
      <c r="K1584"/>
      <c r="L1584"/>
    </row>
    <row r="1585" spans="3:12" x14ac:dyDescent="0.3">
      <c r="C1585" s="126"/>
      <c r="D1585" s="126"/>
      <c r="E1585"/>
      <c r="F1585"/>
      <c r="G1585"/>
      <c r="H1585"/>
      <c r="I1585"/>
      <c r="J1585"/>
      <c r="K1585"/>
      <c r="L1585"/>
    </row>
    <row r="1586" spans="3:12" x14ac:dyDescent="0.3">
      <c r="C1586" s="126"/>
      <c r="D1586" s="126"/>
      <c r="E1586"/>
      <c r="F1586"/>
      <c r="G1586"/>
      <c r="H1586"/>
      <c r="I1586"/>
      <c r="J1586"/>
      <c r="K1586"/>
      <c r="L1586"/>
    </row>
    <row r="1587" spans="3:12" x14ac:dyDescent="0.3">
      <c r="C1587" s="126"/>
      <c r="D1587" s="126"/>
      <c r="E1587"/>
      <c r="F1587"/>
      <c r="G1587"/>
      <c r="H1587"/>
      <c r="I1587"/>
      <c r="J1587"/>
      <c r="K1587"/>
      <c r="L1587"/>
    </row>
    <row r="1588" spans="3:12" x14ac:dyDescent="0.3">
      <c r="C1588" s="126"/>
      <c r="D1588" s="126"/>
      <c r="E1588"/>
      <c r="F1588"/>
      <c r="G1588"/>
      <c r="H1588"/>
      <c r="I1588"/>
      <c r="J1588"/>
      <c r="K1588"/>
      <c r="L1588"/>
    </row>
    <row r="1589" spans="3:12" x14ac:dyDescent="0.3">
      <c r="C1589" s="126"/>
      <c r="D1589" s="126"/>
      <c r="E1589"/>
      <c r="F1589"/>
      <c r="G1589"/>
      <c r="H1589"/>
      <c r="I1589"/>
      <c r="J1589"/>
      <c r="K1589"/>
      <c r="L1589"/>
    </row>
    <row r="1590" spans="3:12" x14ac:dyDescent="0.3">
      <c r="C1590" s="126"/>
      <c r="D1590" s="126"/>
      <c r="E1590"/>
      <c r="F1590"/>
      <c r="G1590"/>
      <c r="H1590"/>
      <c r="I1590"/>
      <c r="J1590"/>
      <c r="K1590"/>
      <c r="L1590"/>
    </row>
    <row r="1591" spans="3:12" x14ac:dyDescent="0.3">
      <c r="C1591" s="126"/>
      <c r="D1591" s="126"/>
      <c r="E1591"/>
      <c r="F1591"/>
      <c r="G1591"/>
      <c r="H1591"/>
      <c r="I1591"/>
      <c r="J1591"/>
      <c r="K1591"/>
      <c r="L1591"/>
    </row>
    <row r="1592" spans="3:12" x14ac:dyDescent="0.3">
      <c r="C1592" s="126"/>
      <c r="D1592" s="126"/>
      <c r="E1592"/>
      <c r="F1592"/>
      <c r="G1592"/>
      <c r="H1592"/>
      <c r="I1592"/>
      <c r="J1592"/>
      <c r="K1592"/>
      <c r="L1592"/>
    </row>
    <row r="1593" spans="3:12" x14ac:dyDescent="0.3">
      <c r="C1593" s="126"/>
      <c r="D1593" s="126"/>
      <c r="E1593"/>
      <c r="F1593"/>
      <c r="G1593"/>
      <c r="H1593"/>
      <c r="I1593"/>
      <c r="J1593"/>
      <c r="K1593"/>
      <c r="L1593"/>
    </row>
    <row r="1594" spans="3:12" x14ac:dyDescent="0.3">
      <c r="C1594" s="126"/>
      <c r="D1594" s="126"/>
      <c r="E1594"/>
      <c r="F1594"/>
      <c r="G1594"/>
      <c r="H1594"/>
      <c r="I1594"/>
      <c r="J1594"/>
      <c r="K1594"/>
      <c r="L1594"/>
    </row>
    <row r="1595" spans="3:12" x14ac:dyDescent="0.3">
      <c r="C1595" s="126"/>
      <c r="D1595" s="126"/>
      <c r="E1595"/>
      <c r="F1595"/>
      <c r="G1595"/>
      <c r="H1595"/>
      <c r="I1595"/>
      <c r="J1595"/>
      <c r="K1595"/>
      <c r="L1595"/>
    </row>
    <row r="1596" spans="3:12" x14ac:dyDescent="0.3">
      <c r="C1596" s="126"/>
      <c r="D1596" s="126"/>
      <c r="E1596"/>
      <c r="F1596"/>
      <c r="G1596"/>
      <c r="H1596"/>
      <c r="I1596"/>
      <c r="J1596"/>
      <c r="K1596"/>
      <c r="L1596"/>
    </row>
    <row r="1597" spans="3:12" x14ac:dyDescent="0.3">
      <c r="C1597" s="126"/>
      <c r="D1597" s="126"/>
      <c r="E1597"/>
      <c r="F1597"/>
      <c r="G1597"/>
      <c r="H1597"/>
      <c r="I1597"/>
      <c r="J1597"/>
      <c r="K1597"/>
      <c r="L1597"/>
    </row>
    <row r="1598" spans="3:12" x14ac:dyDescent="0.3">
      <c r="C1598" s="126"/>
      <c r="D1598" s="126"/>
      <c r="E1598"/>
      <c r="F1598"/>
      <c r="G1598"/>
      <c r="H1598"/>
      <c r="I1598"/>
      <c r="J1598"/>
      <c r="K1598"/>
      <c r="L1598"/>
    </row>
    <row r="1599" spans="3:12" x14ac:dyDescent="0.3">
      <c r="C1599" s="126"/>
      <c r="D1599" s="126"/>
      <c r="E1599"/>
      <c r="F1599"/>
      <c r="G1599"/>
      <c r="H1599"/>
      <c r="I1599"/>
      <c r="J1599"/>
      <c r="K1599"/>
      <c r="L1599"/>
    </row>
    <row r="1600" spans="3:12" x14ac:dyDescent="0.3">
      <c r="C1600" s="126"/>
      <c r="D1600" s="126"/>
      <c r="E1600"/>
      <c r="F1600"/>
      <c r="G1600"/>
      <c r="H1600"/>
      <c r="I1600"/>
      <c r="J1600"/>
      <c r="K1600"/>
      <c r="L1600"/>
    </row>
    <row r="1601" spans="3:12" x14ac:dyDescent="0.3">
      <c r="C1601" s="126"/>
      <c r="D1601" s="126"/>
      <c r="E1601"/>
      <c r="F1601"/>
      <c r="G1601"/>
      <c r="H1601"/>
      <c r="I1601"/>
      <c r="J1601"/>
      <c r="K1601"/>
      <c r="L1601"/>
    </row>
    <row r="1602" spans="3:12" x14ac:dyDescent="0.3">
      <c r="C1602" s="126"/>
      <c r="D1602" s="126"/>
      <c r="E1602"/>
      <c r="F1602"/>
      <c r="G1602"/>
      <c r="H1602"/>
      <c r="I1602"/>
      <c r="J1602"/>
      <c r="K1602"/>
      <c r="L1602"/>
    </row>
    <row r="1603" spans="3:12" x14ac:dyDescent="0.3">
      <c r="C1603" s="126"/>
      <c r="D1603" s="126"/>
      <c r="E1603"/>
      <c r="F1603"/>
      <c r="G1603"/>
      <c r="H1603"/>
      <c r="I1603"/>
      <c r="J1603"/>
      <c r="K1603"/>
      <c r="L1603"/>
    </row>
    <row r="1604" spans="3:12" x14ac:dyDescent="0.3">
      <c r="C1604" s="126"/>
      <c r="D1604" s="126"/>
      <c r="E1604"/>
      <c r="F1604"/>
      <c r="G1604"/>
      <c r="H1604"/>
      <c r="I1604"/>
      <c r="J1604"/>
      <c r="K1604"/>
      <c r="L1604"/>
    </row>
    <row r="1605" spans="3:12" x14ac:dyDescent="0.3">
      <c r="C1605" s="126"/>
      <c r="D1605" s="126"/>
      <c r="E1605"/>
      <c r="F1605"/>
      <c r="G1605"/>
      <c r="H1605"/>
      <c r="I1605"/>
      <c r="J1605"/>
      <c r="K1605"/>
      <c r="L1605"/>
    </row>
    <row r="1606" spans="3:12" x14ac:dyDescent="0.3">
      <c r="C1606" s="126"/>
      <c r="D1606" s="126"/>
      <c r="E1606"/>
      <c r="F1606"/>
      <c r="G1606"/>
      <c r="H1606"/>
      <c r="I1606"/>
      <c r="J1606"/>
      <c r="K1606"/>
      <c r="L1606"/>
    </row>
    <row r="1607" spans="3:12" x14ac:dyDescent="0.3">
      <c r="C1607" s="126"/>
      <c r="D1607" s="126"/>
      <c r="E1607"/>
      <c r="F1607"/>
      <c r="G1607"/>
      <c r="H1607"/>
      <c r="I1607"/>
      <c r="J1607"/>
      <c r="K1607"/>
      <c r="L1607"/>
    </row>
    <row r="1608" spans="3:12" x14ac:dyDescent="0.3">
      <c r="C1608" s="126"/>
      <c r="D1608" s="126"/>
      <c r="E1608"/>
      <c r="F1608"/>
      <c r="G1608"/>
      <c r="H1608"/>
      <c r="I1608"/>
      <c r="J1608"/>
      <c r="K1608"/>
      <c r="L1608"/>
    </row>
    <row r="1609" spans="3:12" x14ac:dyDescent="0.3">
      <c r="C1609" s="126"/>
      <c r="D1609" s="126"/>
      <c r="E1609"/>
      <c r="F1609"/>
      <c r="G1609"/>
      <c r="H1609"/>
      <c r="I1609"/>
      <c r="J1609"/>
      <c r="K1609"/>
      <c r="L1609"/>
    </row>
    <row r="1610" spans="3:12" x14ac:dyDescent="0.3">
      <c r="C1610" s="126"/>
      <c r="D1610" s="126"/>
      <c r="E1610"/>
      <c r="F1610"/>
      <c r="G1610"/>
      <c r="H1610"/>
      <c r="I1610"/>
      <c r="J1610"/>
      <c r="K1610"/>
      <c r="L1610"/>
    </row>
    <row r="1611" spans="3:12" x14ac:dyDescent="0.3">
      <c r="C1611" s="126"/>
      <c r="D1611" s="126"/>
      <c r="E1611"/>
      <c r="F1611"/>
      <c r="G1611"/>
      <c r="H1611"/>
      <c r="I1611"/>
      <c r="J1611"/>
      <c r="K1611"/>
      <c r="L1611"/>
    </row>
    <row r="1612" spans="3:12" x14ac:dyDescent="0.3">
      <c r="C1612" s="126"/>
      <c r="D1612" s="126"/>
      <c r="E1612"/>
      <c r="F1612"/>
      <c r="G1612"/>
      <c r="H1612"/>
      <c r="I1612"/>
      <c r="J1612"/>
      <c r="K1612"/>
      <c r="L1612"/>
    </row>
    <row r="1613" spans="3:12" x14ac:dyDescent="0.3">
      <c r="C1613" s="126"/>
      <c r="D1613" s="126"/>
      <c r="E1613"/>
      <c r="F1613"/>
      <c r="G1613"/>
      <c r="H1613"/>
      <c r="I1613"/>
      <c r="J1613"/>
      <c r="K1613"/>
      <c r="L1613"/>
    </row>
    <row r="1614" spans="3:12" x14ac:dyDescent="0.3">
      <c r="C1614" s="126"/>
      <c r="D1614" s="126"/>
      <c r="E1614"/>
      <c r="F1614"/>
      <c r="G1614"/>
      <c r="H1614"/>
      <c r="I1614"/>
      <c r="J1614"/>
      <c r="K1614"/>
      <c r="L1614"/>
    </row>
    <row r="1615" spans="3:12" x14ac:dyDescent="0.3">
      <c r="C1615" s="126"/>
      <c r="D1615" s="126"/>
      <c r="E1615"/>
      <c r="F1615"/>
      <c r="G1615"/>
      <c r="H1615"/>
      <c r="I1615"/>
      <c r="J1615"/>
      <c r="K1615"/>
      <c r="L1615"/>
    </row>
    <row r="1616" spans="3:12" x14ac:dyDescent="0.3">
      <c r="C1616" s="126"/>
      <c r="D1616" s="126"/>
      <c r="E1616"/>
      <c r="F1616"/>
      <c r="G1616"/>
      <c r="H1616"/>
      <c r="I1616"/>
      <c r="J1616"/>
      <c r="K1616"/>
      <c r="L1616"/>
    </row>
    <row r="1617" spans="3:12" x14ac:dyDescent="0.3">
      <c r="C1617" s="126"/>
      <c r="D1617" s="126"/>
      <c r="E1617"/>
      <c r="F1617"/>
      <c r="G1617"/>
      <c r="H1617"/>
      <c r="I1617"/>
      <c r="J1617"/>
      <c r="K1617"/>
      <c r="L1617"/>
    </row>
    <row r="1618" spans="3:12" x14ac:dyDescent="0.3">
      <c r="C1618" s="126"/>
      <c r="D1618" s="126"/>
      <c r="E1618"/>
      <c r="F1618"/>
      <c r="G1618"/>
      <c r="H1618"/>
      <c r="I1618"/>
      <c r="J1618"/>
      <c r="K1618"/>
      <c r="L1618"/>
    </row>
    <row r="1619" spans="3:12" x14ac:dyDescent="0.3">
      <c r="C1619" s="126"/>
      <c r="D1619" s="126"/>
      <c r="E1619"/>
      <c r="F1619"/>
      <c r="G1619"/>
      <c r="H1619"/>
      <c r="I1619"/>
      <c r="J1619"/>
      <c r="K1619"/>
      <c r="L1619"/>
    </row>
    <row r="1620" spans="3:12" x14ac:dyDescent="0.3">
      <c r="C1620" s="126"/>
      <c r="D1620" s="126"/>
      <c r="E1620"/>
      <c r="F1620"/>
      <c r="G1620"/>
      <c r="H1620"/>
      <c r="I1620"/>
      <c r="J1620"/>
      <c r="K1620"/>
      <c r="L1620"/>
    </row>
    <row r="1621" spans="3:12" x14ac:dyDescent="0.3">
      <c r="C1621" s="126"/>
      <c r="D1621" s="126"/>
      <c r="E1621"/>
      <c r="F1621"/>
      <c r="G1621"/>
      <c r="H1621"/>
      <c r="I1621"/>
      <c r="J1621"/>
      <c r="K1621"/>
      <c r="L1621"/>
    </row>
    <row r="1622" spans="3:12" x14ac:dyDescent="0.3">
      <c r="C1622" s="126"/>
      <c r="D1622" s="126"/>
      <c r="E1622"/>
      <c r="F1622"/>
      <c r="G1622"/>
      <c r="H1622"/>
      <c r="I1622"/>
      <c r="J1622"/>
      <c r="K1622"/>
      <c r="L1622"/>
    </row>
    <row r="1623" spans="3:12" x14ac:dyDescent="0.3">
      <c r="C1623" s="126"/>
      <c r="D1623" s="126"/>
      <c r="E1623"/>
      <c r="F1623"/>
      <c r="G1623"/>
      <c r="H1623"/>
      <c r="I1623"/>
      <c r="J1623"/>
      <c r="K1623"/>
      <c r="L1623"/>
    </row>
    <row r="1624" spans="3:12" x14ac:dyDescent="0.3">
      <c r="C1624" s="126"/>
      <c r="D1624" s="126"/>
      <c r="E1624"/>
      <c r="F1624"/>
      <c r="G1624"/>
      <c r="H1624"/>
      <c r="I1624"/>
      <c r="J1624"/>
      <c r="K1624"/>
      <c r="L1624"/>
    </row>
    <row r="1625" spans="3:12" x14ac:dyDescent="0.3">
      <c r="C1625" s="126"/>
      <c r="D1625" s="126"/>
      <c r="E1625"/>
      <c r="F1625"/>
      <c r="G1625"/>
      <c r="H1625"/>
      <c r="I1625"/>
      <c r="J1625"/>
      <c r="K1625"/>
      <c r="L1625"/>
    </row>
    <row r="1626" spans="3:12" x14ac:dyDescent="0.3">
      <c r="C1626" s="126"/>
      <c r="D1626" s="126"/>
      <c r="E1626"/>
      <c r="F1626"/>
      <c r="G1626"/>
      <c r="H1626"/>
      <c r="I1626"/>
      <c r="J1626"/>
      <c r="K1626"/>
      <c r="L1626"/>
    </row>
    <row r="1627" spans="3:12" x14ac:dyDescent="0.3">
      <c r="C1627" s="126"/>
      <c r="D1627" s="126"/>
      <c r="E1627"/>
      <c r="F1627"/>
      <c r="G1627"/>
      <c r="H1627"/>
      <c r="I1627"/>
      <c r="J1627"/>
      <c r="K1627"/>
      <c r="L1627"/>
    </row>
    <row r="1628" spans="3:12" x14ac:dyDescent="0.3">
      <c r="C1628" s="126"/>
      <c r="D1628" s="126"/>
      <c r="E1628"/>
      <c r="F1628"/>
      <c r="G1628"/>
      <c r="H1628"/>
      <c r="I1628"/>
      <c r="J1628"/>
      <c r="K1628"/>
      <c r="L1628"/>
    </row>
    <row r="1629" spans="3:12" x14ac:dyDescent="0.3">
      <c r="C1629" s="126"/>
      <c r="D1629" s="126"/>
      <c r="E1629"/>
      <c r="F1629"/>
      <c r="G1629"/>
      <c r="H1629"/>
      <c r="I1629"/>
      <c r="J1629"/>
      <c r="K1629"/>
      <c r="L1629"/>
    </row>
    <row r="1630" spans="3:12" x14ac:dyDescent="0.3">
      <c r="C1630" s="126"/>
      <c r="D1630" s="126"/>
      <c r="E1630"/>
      <c r="F1630"/>
      <c r="G1630"/>
      <c r="H1630"/>
      <c r="I1630"/>
      <c r="J1630"/>
      <c r="K1630"/>
      <c r="L1630"/>
    </row>
    <row r="1631" spans="3:12" x14ac:dyDescent="0.3">
      <c r="C1631" s="126"/>
      <c r="D1631" s="126"/>
      <c r="E1631"/>
      <c r="F1631"/>
      <c r="G1631"/>
      <c r="H1631"/>
      <c r="I1631"/>
      <c r="J1631"/>
      <c r="K1631"/>
      <c r="L1631"/>
    </row>
    <row r="1632" spans="3:12" x14ac:dyDescent="0.3">
      <c r="C1632" s="126"/>
      <c r="D1632" s="126"/>
      <c r="E1632"/>
      <c r="F1632"/>
      <c r="G1632"/>
      <c r="H1632"/>
      <c r="I1632"/>
      <c r="J1632"/>
      <c r="K1632"/>
      <c r="L1632"/>
    </row>
    <row r="1633" spans="3:12" x14ac:dyDescent="0.3">
      <c r="C1633" s="126"/>
      <c r="D1633" s="126"/>
      <c r="E1633"/>
      <c r="F1633"/>
      <c r="G1633"/>
      <c r="H1633"/>
      <c r="I1633"/>
      <c r="J1633"/>
      <c r="K1633"/>
      <c r="L1633"/>
    </row>
    <row r="1634" spans="3:12" x14ac:dyDescent="0.3">
      <c r="C1634" s="126"/>
      <c r="D1634" s="126"/>
      <c r="E1634"/>
      <c r="F1634"/>
      <c r="G1634"/>
      <c r="H1634"/>
      <c r="I1634"/>
      <c r="J1634"/>
      <c r="K1634"/>
      <c r="L1634"/>
    </row>
    <row r="1635" spans="3:12" x14ac:dyDescent="0.3">
      <c r="C1635" s="126"/>
      <c r="D1635" s="126"/>
      <c r="E1635"/>
      <c r="F1635"/>
      <c r="G1635"/>
      <c r="H1635"/>
      <c r="I1635"/>
      <c r="J1635"/>
      <c r="K1635"/>
      <c r="L1635"/>
    </row>
    <row r="1636" spans="3:12" x14ac:dyDescent="0.3">
      <c r="C1636" s="126"/>
      <c r="D1636" s="126"/>
      <c r="E1636"/>
      <c r="F1636"/>
      <c r="G1636"/>
      <c r="H1636"/>
      <c r="I1636"/>
      <c r="J1636"/>
      <c r="K1636"/>
      <c r="L1636"/>
    </row>
    <row r="1637" spans="3:12" x14ac:dyDescent="0.3">
      <c r="C1637" s="126"/>
      <c r="D1637" s="126"/>
      <c r="E1637"/>
      <c r="F1637"/>
      <c r="G1637"/>
      <c r="H1637"/>
      <c r="I1637"/>
      <c r="J1637"/>
      <c r="K1637"/>
      <c r="L1637"/>
    </row>
    <row r="1638" spans="3:12" x14ac:dyDescent="0.3">
      <c r="C1638" s="126"/>
      <c r="D1638" s="126"/>
      <c r="E1638"/>
      <c r="F1638"/>
      <c r="G1638"/>
      <c r="H1638"/>
      <c r="I1638"/>
      <c r="J1638"/>
      <c r="K1638"/>
      <c r="L1638"/>
    </row>
    <row r="1639" spans="3:12" x14ac:dyDescent="0.3">
      <c r="C1639" s="126"/>
      <c r="D1639" s="126"/>
      <c r="E1639"/>
      <c r="F1639"/>
      <c r="G1639"/>
      <c r="H1639"/>
      <c r="I1639"/>
      <c r="J1639"/>
      <c r="K1639"/>
      <c r="L1639"/>
    </row>
    <row r="1640" spans="3:12" x14ac:dyDescent="0.3">
      <c r="C1640" s="126"/>
      <c r="D1640" s="126"/>
      <c r="E1640"/>
      <c r="F1640"/>
      <c r="G1640"/>
      <c r="H1640"/>
      <c r="I1640"/>
      <c r="J1640"/>
      <c r="K1640"/>
      <c r="L1640"/>
    </row>
    <row r="1641" spans="3:12" x14ac:dyDescent="0.3">
      <c r="C1641" s="126"/>
      <c r="D1641" s="126"/>
      <c r="E1641"/>
      <c r="F1641"/>
      <c r="G1641"/>
      <c r="H1641"/>
      <c r="I1641"/>
      <c r="J1641"/>
      <c r="K1641"/>
      <c r="L1641"/>
    </row>
    <row r="1642" spans="3:12" x14ac:dyDescent="0.3">
      <c r="C1642" s="126"/>
      <c r="D1642" s="126"/>
      <c r="E1642"/>
      <c r="F1642"/>
      <c r="G1642"/>
      <c r="H1642"/>
      <c r="I1642"/>
      <c r="J1642"/>
      <c r="K1642"/>
      <c r="L1642"/>
    </row>
    <row r="1643" spans="3:12" x14ac:dyDescent="0.3">
      <c r="C1643" s="126"/>
      <c r="D1643" s="126"/>
      <c r="E1643"/>
      <c r="F1643"/>
      <c r="G1643"/>
      <c r="H1643"/>
      <c r="I1643"/>
      <c r="J1643"/>
      <c r="K1643"/>
      <c r="L1643"/>
    </row>
    <row r="1644" spans="3:12" x14ac:dyDescent="0.3">
      <c r="C1644" s="126"/>
      <c r="D1644" s="126"/>
      <c r="E1644"/>
      <c r="F1644"/>
      <c r="G1644"/>
      <c r="H1644"/>
      <c r="I1644"/>
      <c r="J1644"/>
      <c r="K1644"/>
      <c r="L1644"/>
    </row>
    <row r="1645" spans="3:12" x14ac:dyDescent="0.3">
      <c r="C1645" s="126"/>
      <c r="D1645" s="126"/>
      <c r="E1645"/>
      <c r="F1645"/>
      <c r="G1645"/>
      <c r="H1645"/>
      <c r="I1645"/>
      <c r="J1645"/>
      <c r="K1645"/>
      <c r="L1645"/>
    </row>
    <row r="1646" spans="3:12" x14ac:dyDescent="0.3">
      <c r="C1646" s="126"/>
      <c r="D1646" s="126"/>
      <c r="E1646"/>
      <c r="F1646"/>
      <c r="G1646"/>
      <c r="H1646"/>
      <c r="I1646"/>
      <c r="J1646"/>
      <c r="K1646"/>
      <c r="L1646"/>
    </row>
    <row r="1647" spans="3:12" x14ac:dyDescent="0.3">
      <c r="C1647" s="126"/>
      <c r="D1647" s="126"/>
      <c r="E1647"/>
      <c r="F1647"/>
      <c r="G1647"/>
      <c r="H1647"/>
      <c r="I1647"/>
      <c r="J1647"/>
      <c r="K1647"/>
      <c r="L1647"/>
    </row>
    <row r="1648" spans="3:12" x14ac:dyDescent="0.3">
      <c r="C1648" s="126"/>
      <c r="D1648" s="126"/>
      <c r="E1648"/>
      <c r="F1648"/>
      <c r="G1648"/>
      <c r="H1648"/>
      <c r="I1648"/>
      <c r="J1648"/>
      <c r="K1648"/>
      <c r="L1648"/>
    </row>
    <row r="1649" spans="3:12" x14ac:dyDescent="0.3">
      <c r="C1649" s="126"/>
      <c r="D1649" s="126"/>
      <c r="E1649"/>
      <c r="F1649"/>
      <c r="G1649"/>
      <c r="H1649"/>
      <c r="I1649"/>
      <c r="J1649"/>
      <c r="K1649"/>
      <c r="L1649"/>
    </row>
    <row r="1650" spans="3:12" x14ac:dyDescent="0.3">
      <c r="C1650" s="126"/>
      <c r="D1650" s="126"/>
      <c r="E1650"/>
      <c r="F1650"/>
      <c r="G1650"/>
      <c r="H1650"/>
      <c r="I1650"/>
      <c r="J1650"/>
      <c r="K1650"/>
      <c r="L1650"/>
    </row>
    <row r="1651" spans="3:12" x14ac:dyDescent="0.3">
      <c r="C1651" s="126"/>
      <c r="D1651" s="126"/>
      <c r="E1651"/>
      <c r="F1651"/>
      <c r="G1651"/>
      <c r="H1651"/>
      <c r="I1651"/>
      <c r="J1651"/>
      <c r="K1651"/>
      <c r="L1651"/>
    </row>
    <row r="1652" spans="3:12" x14ac:dyDescent="0.3">
      <c r="C1652" s="126"/>
      <c r="D1652" s="126"/>
      <c r="E1652"/>
      <c r="F1652"/>
      <c r="G1652"/>
      <c r="H1652"/>
      <c r="I1652"/>
      <c r="J1652"/>
      <c r="K1652"/>
      <c r="L1652"/>
    </row>
    <row r="1653" spans="3:12" x14ac:dyDescent="0.3">
      <c r="C1653" s="126"/>
      <c r="D1653" s="126"/>
      <c r="E1653"/>
      <c r="F1653"/>
      <c r="G1653"/>
      <c r="H1653"/>
      <c r="I1653"/>
      <c r="J1653"/>
      <c r="K1653"/>
      <c r="L1653"/>
    </row>
    <row r="1654" spans="3:12" x14ac:dyDescent="0.3">
      <c r="C1654" s="126"/>
      <c r="D1654" s="126"/>
      <c r="E1654"/>
      <c r="F1654"/>
      <c r="G1654"/>
      <c r="H1654"/>
      <c r="I1654"/>
      <c r="J1654"/>
      <c r="K1654"/>
      <c r="L1654"/>
    </row>
    <row r="1655" spans="3:12" x14ac:dyDescent="0.3">
      <c r="C1655" s="126"/>
      <c r="D1655" s="126"/>
      <c r="E1655"/>
      <c r="F1655"/>
      <c r="G1655"/>
      <c r="H1655"/>
      <c r="I1655"/>
      <c r="J1655"/>
      <c r="K1655"/>
      <c r="L1655"/>
    </row>
    <row r="1656" spans="3:12" x14ac:dyDescent="0.3">
      <c r="C1656" s="126"/>
      <c r="D1656" s="126"/>
      <c r="E1656"/>
      <c r="F1656"/>
      <c r="G1656"/>
      <c r="H1656"/>
      <c r="I1656"/>
      <c r="J1656"/>
      <c r="K1656"/>
      <c r="L1656"/>
    </row>
    <row r="1657" spans="3:12" x14ac:dyDescent="0.3">
      <c r="C1657" s="126"/>
      <c r="D1657" s="126"/>
      <c r="E1657"/>
      <c r="F1657"/>
      <c r="G1657"/>
      <c r="H1657"/>
      <c r="I1657"/>
      <c r="J1657"/>
      <c r="K1657"/>
      <c r="L1657"/>
    </row>
    <row r="1658" spans="3:12" x14ac:dyDescent="0.3">
      <c r="C1658" s="126"/>
      <c r="D1658" s="126"/>
      <c r="E1658"/>
      <c r="F1658"/>
      <c r="G1658"/>
      <c r="H1658"/>
      <c r="I1658"/>
      <c r="J1658"/>
      <c r="K1658"/>
      <c r="L1658"/>
    </row>
    <row r="1659" spans="3:12" x14ac:dyDescent="0.3">
      <c r="C1659" s="126"/>
      <c r="D1659" s="126"/>
      <c r="E1659"/>
      <c r="F1659"/>
      <c r="G1659"/>
      <c r="H1659"/>
      <c r="I1659"/>
      <c r="J1659"/>
      <c r="K1659"/>
      <c r="L1659"/>
    </row>
    <row r="1660" spans="3:12" x14ac:dyDescent="0.3">
      <c r="C1660" s="126"/>
      <c r="D1660" s="126"/>
      <c r="E1660"/>
      <c r="F1660"/>
      <c r="G1660"/>
      <c r="H1660"/>
      <c r="I1660"/>
      <c r="J1660"/>
      <c r="K1660"/>
      <c r="L1660"/>
    </row>
    <row r="1661" spans="3:12" x14ac:dyDescent="0.3">
      <c r="C1661" s="126"/>
      <c r="D1661" s="126"/>
      <c r="E1661"/>
      <c r="F1661"/>
      <c r="G1661"/>
      <c r="H1661"/>
      <c r="I1661"/>
      <c r="J1661"/>
      <c r="K1661"/>
      <c r="L1661"/>
    </row>
    <row r="1662" spans="3:12" x14ac:dyDescent="0.3">
      <c r="C1662" s="126"/>
      <c r="D1662" s="126"/>
      <c r="E1662"/>
      <c r="F1662"/>
      <c r="G1662"/>
      <c r="H1662"/>
      <c r="I1662"/>
      <c r="J1662"/>
      <c r="K1662"/>
      <c r="L1662"/>
    </row>
    <row r="1663" spans="3:12" x14ac:dyDescent="0.3">
      <c r="C1663" s="126"/>
      <c r="D1663" s="126"/>
      <c r="E1663"/>
      <c r="F1663"/>
      <c r="G1663"/>
      <c r="H1663"/>
      <c r="I1663"/>
      <c r="J1663"/>
      <c r="K1663"/>
      <c r="L1663"/>
    </row>
    <row r="1664" spans="3:12" x14ac:dyDescent="0.3">
      <c r="C1664" s="126"/>
      <c r="D1664" s="126"/>
      <c r="E1664"/>
      <c r="F1664"/>
      <c r="G1664"/>
      <c r="H1664"/>
      <c r="I1664"/>
      <c r="J1664"/>
      <c r="K1664"/>
      <c r="L1664"/>
    </row>
    <row r="1665" spans="3:12" x14ac:dyDescent="0.3">
      <c r="C1665" s="126"/>
      <c r="D1665" s="126"/>
      <c r="E1665"/>
      <c r="F1665"/>
      <c r="G1665"/>
      <c r="H1665"/>
      <c r="I1665"/>
      <c r="J1665"/>
      <c r="K1665"/>
      <c r="L1665"/>
    </row>
    <row r="1666" spans="3:12" x14ac:dyDescent="0.3">
      <c r="C1666" s="126"/>
      <c r="D1666" s="126"/>
      <c r="E1666"/>
      <c r="F1666"/>
      <c r="G1666"/>
      <c r="H1666"/>
      <c r="I1666"/>
      <c r="J1666"/>
      <c r="K1666"/>
      <c r="L1666"/>
    </row>
    <row r="1667" spans="3:12" x14ac:dyDescent="0.3">
      <c r="C1667" s="126"/>
      <c r="D1667" s="126"/>
      <c r="E1667"/>
      <c r="F1667"/>
      <c r="G1667"/>
      <c r="H1667"/>
      <c r="I1667"/>
      <c r="J1667"/>
      <c r="K1667"/>
      <c r="L1667"/>
    </row>
    <row r="1668" spans="3:12" x14ac:dyDescent="0.3">
      <c r="C1668" s="126"/>
      <c r="D1668" s="126"/>
      <c r="E1668"/>
      <c r="F1668"/>
      <c r="G1668"/>
      <c r="H1668"/>
      <c r="I1668"/>
      <c r="J1668"/>
      <c r="K1668"/>
      <c r="L1668"/>
    </row>
    <row r="1669" spans="3:12" x14ac:dyDescent="0.3">
      <c r="C1669" s="126"/>
      <c r="D1669" s="126"/>
      <c r="E1669"/>
      <c r="F1669"/>
      <c r="G1669"/>
      <c r="H1669"/>
      <c r="I1669"/>
      <c r="J1669"/>
      <c r="K1669"/>
      <c r="L1669"/>
    </row>
    <row r="1670" spans="3:12" x14ac:dyDescent="0.3">
      <c r="C1670" s="126"/>
      <c r="D1670" s="126"/>
      <c r="E1670"/>
      <c r="F1670"/>
      <c r="G1670"/>
      <c r="H1670"/>
      <c r="I1670"/>
      <c r="J1670"/>
      <c r="K1670"/>
      <c r="L1670"/>
    </row>
    <row r="1671" spans="3:12" x14ac:dyDescent="0.3">
      <c r="C1671" s="126"/>
      <c r="D1671" s="126"/>
      <c r="E1671"/>
      <c r="F1671"/>
      <c r="G1671"/>
      <c r="H1671"/>
      <c r="I1671"/>
      <c r="J1671"/>
      <c r="K1671"/>
      <c r="L1671"/>
    </row>
    <row r="1672" spans="3:12" x14ac:dyDescent="0.3">
      <c r="C1672" s="126"/>
      <c r="D1672" s="126"/>
      <c r="E1672"/>
      <c r="F1672"/>
      <c r="G1672"/>
      <c r="H1672"/>
      <c r="I1672"/>
      <c r="J1672"/>
      <c r="K1672"/>
      <c r="L1672"/>
    </row>
    <row r="1673" spans="3:12" x14ac:dyDescent="0.3">
      <c r="C1673" s="126"/>
      <c r="D1673" s="126"/>
      <c r="E1673"/>
      <c r="F1673"/>
      <c r="G1673"/>
      <c r="H1673"/>
      <c r="I1673"/>
      <c r="J1673"/>
      <c r="K1673"/>
      <c r="L1673"/>
    </row>
    <row r="1674" spans="3:12" x14ac:dyDescent="0.3">
      <c r="C1674" s="126"/>
      <c r="D1674" s="126"/>
      <c r="E1674"/>
      <c r="F1674"/>
      <c r="G1674"/>
      <c r="H1674"/>
      <c r="I1674"/>
      <c r="J1674"/>
      <c r="K1674"/>
      <c r="L1674"/>
    </row>
    <row r="1675" spans="3:12" x14ac:dyDescent="0.3">
      <c r="C1675" s="126"/>
      <c r="D1675" s="126"/>
      <c r="E1675"/>
      <c r="F1675"/>
      <c r="G1675"/>
      <c r="H1675"/>
      <c r="I1675"/>
      <c r="J1675"/>
      <c r="K1675"/>
      <c r="L1675"/>
    </row>
    <row r="1676" spans="3:12" x14ac:dyDescent="0.3">
      <c r="C1676" s="126"/>
      <c r="D1676" s="126"/>
      <c r="E1676"/>
      <c r="F1676"/>
      <c r="G1676"/>
      <c r="H1676"/>
      <c r="I1676"/>
      <c r="J1676"/>
      <c r="K1676"/>
      <c r="L1676"/>
    </row>
    <row r="1677" spans="3:12" x14ac:dyDescent="0.3">
      <c r="C1677" s="126"/>
      <c r="D1677" s="126"/>
      <c r="E1677"/>
      <c r="F1677"/>
      <c r="G1677"/>
      <c r="H1677"/>
      <c r="I1677"/>
      <c r="J1677"/>
      <c r="K1677"/>
      <c r="L1677"/>
    </row>
    <row r="1678" spans="3:12" x14ac:dyDescent="0.3">
      <c r="C1678" s="126"/>
      <c r="D1678" s="126"/>
      <c r="E1678"/>
      <c r="F1678"/>
      <c r="G1678"/>
      <c r="H1678"/>
      <c r="I1678"/>
      <c r="J1678"/>
      <c r="K1678"/>
      <c r="L1678"/>
    </row>
    <row r="1679" spans="3:12" x14ac:dyDescent="0.3">
      <c r="C1679" s="126"/>
      <c r="D1679" s="126"/>
      <c r="E1679"/>
      <c r="F1679"/>
      <c r="G1679"/>
      <c r="H1679"/>
      <c r="I1679"/>
      <c r="J1679"/>
      <c r="K1679"/>
      <c r="L1679"/>
    </row>
    <row r="1680" spans="3:12" x14ac:dyDescent="0.3">
      <c r="C1680" s="126"/>
      <c r="D1680" s="126"/>
      <c r="E1680"/>
      <c r="F1680"/>
      <c r="G1680"/>
      <c r="H1680"/>
      <c r="I1680"/>
      <c r="J1680"/>
      <c r="K1680"/>
      <c r="L1680"/>
    </row>
    <row r="1681" spans="3:12" x14ac:dyDescent="0.3">
      <c r="C1681" s="126"/>
      <c r="D1681" s="126"/>
      <c r="E1681"/>
      <c r="F1681"/>
      <c r="G1681"/>
      <c r="H1681"/>
      <c r="I1681"/>
      <c r="J1681"/>
      <c r="K1681"/>
      <c r="L1681"/>
    </row>
    <row r="1682" spans="3:12" x14ac:dyDescent="0.3">
      <c r="C1682" s="126"/>
      <c r="D1682" s="126"/>
      <c r="E1682"/>
      <c r="F1682"/>
      <c r="G1682"/>
      <c r="H1682"/>
      <c r="I1682"/>
      <c r="J1682"/>
      <c r="K1682"/>
      <c r="L1682"/>
    </row>
    <row r="1683" spans="3:12" x14ac:dyDescent="0.3">
      <c r="C1683" s="126"/>
      <c r="D1683" s="126"/>
      <c r="E1683"/>
      <c r="F1683"/>
      <c r="G1683"/>
      <c r="H1683"/>
      <c r="I1683"/>
      <c r="J1683"/>
      <c r="K1683"/>
      <c r="L1683"/>
    </row>
    <row r="1684" spans="3:12" x14ac:dyDescent="0.3">
      <c r="C1684" s="126"/>
      <c r="D1684" s="126"/>
      <c r="E1684"/>
      <c r="F1684"/>
      <c r="G1684"/>
      <c r="H1684"/>
      <c r="I1684"/>
      <c r="J1684"/>
      <c r="K1684"/>
      <c r="L1684"/>
    </row>
    <row r="1685" spans="3:12" x14ac:dyDescent="0.3">
      <c r="C1685" s="126"/>
      <c r="D1685" s="126"/>
      <c r="E1685"/>
      <c r="F1685"/>
      <c r="G1685"/>
      <c r="H1685"/>
      <c r="I1685"/>
      <c r="J1685"/>
      <c r="K1685"/>
      <c r="L1685"/>
    </row>
    <row r="1686" spans="3:12" x14ac:dyDescent="0.3">
      <c r="C1686" s="126"/>
      <c r="D1686" s="126"/>
      <c r="E1686"/>
      <c r="F1686"/>
      <c r="G1686"/>
      <c r="H1686"/>
      <c r="I1686"/>
      <c r="J1686"/>
      <c r="K1686"/>
      <c r="L1686"/>
    </row>
    <row r="1687" spans="3:12" x14ac:dyDescent="0.3">
      <c r="C1687" s="126"/>
      <c r="D1687" s="126"/>
      <c r="E1687"/>
      <c r="F1687"/>
      <c r="G1687"/>
      <c r="H1687"/>
      <c r="I1687"/>
      <c r="J1687"/>
      <c r="K1687"/>
      <c r="L1687"/>
    </row>
    <row r="1688" spans="3:12" x14ac:dyDescent="0.3">
      <c r="C1688" s="126"/>
      <c r="D1688" s="126"/>
      <c r="E1688"/>
      <c r="F1688"/>
      <c r="G1688"/>
      <c r="H1688"/>
      <c r="I1688"/>
      <c r="J1688"/>
      <c r="K1688"/>
      <c r="L1688"/>
    </row>
    <row r="1689" spans="3:12" x14ac:dyDescent="0.3">
      <c r="C1689" s="126"/>
      <c r="D1689" s="126"/>
      <c r="E1689"/>
      <c r="F1689"/>
      <c r="G1689"/>
      <c r="H1689"/>
      <c r="I1689"/>
      <c r="J1689"/>
      <c r="K1689"/>
      <c r="L1689"/>
    </row>
    <row r="1690" spans="3:12" x14ac:dyDescent="0.3">
      <c r="C1690" s="126"/>
      <c r="D1690" s="126"/>
      <c r="E1690"/>
      <c r="F1690"/>
      <c r="G1690"/>
      <c r="H1690"/>
      <c r="I1690"/>
      <c r="J1690"/>
      <c r="K1690"/>
      <c r="L1690"/>
    </row>
    <row r="1691" spans="3:12" x14ac:dyDescent="0.3">
      <c r="C1691" s="126"/>
      <c r="D1691" s="126"/>
      <c r="E1691"/>
      <c r="F1691"/>
      <c r="G1691"/>
      <c r="H1691"/>
      <c r="I1691"/>
      <c r="J1691"/>
      <c r="K1691"/>
      <c r="L1691"/>
    </row>
    <row r="1692" spans="3:12" x14ac:dyDescent="0.3">
      <c r="C1692" s="126"/>
      <c r="D1692" s="126"/>
      <c r="E1692"/>
      <c r="F1692"/>
      <c r="G1692"/>
      <c r="H1692"/>
      <c r="I1692"/>
      <c r="J1692"/>
      <c r="K1692"/>
      <c r="L1692"/>
    </row>
    <row r="1693" spans="3:12" x14ac:dyDescent="0.3">
      <c r="C1693" s="126"/>
      <c r="D1693" s="126"/>
      <c r="E1693"/>
      <c r="F1693"/>
      <c r="G1693"/>
      <c r="H1693"/>
      <c r="I1693"/>
      <c r="J1693"/>
      <c r="K1693"/>
      <c r="L1693"/>
    </row>
    <row r="1694" spans="3:12" x14ac:dyDescent="0.3">
      <c r="C1694" s="126"/>
      <c r="D1694" s="126"/>
      <c r="E1694"/>
      <c r="F1694"/>
      <c r="G1694"/>
      <c r="H1694"/>
      <c r="I1694"/>
      <c r="J1694"/>
      <c r="K1694"/>
      <c r="L1694"/>
    </row>
    <row r="1695" spans="3:12" x14ac:dyDescent="0.3">
      <c r="C1695" s="126"/>
      <c r="D1695" s="126"/>
      <c r="E1695"/>
      <c r="F1695"/>
      <c r="G1695"/>
      <c r="H1695"/>
      <c r="I1695"/>
      <c r="J1695"/>
      <c r="K1695"/>
      <c r="L1695"/>
    </row>
    <row r="1696" spans="3:12" x14ac:dyDescent="0.3">
      <c r="C1696" s="126"/>
      <c r="D1696" s="126"/>
      <c r="E1696"/>
      <c r="F1696"/>
      <c r="G1696"/>
      <c r="H1696"/>
      <c r="I1696"/>
      <c r="J1696"/>
      <c r="K1696"/>
      <c r="L1696"/>
    </row>
    <row r="1697" spans="3:12" x14ac:dyDescent="0.3">
      <c r="C1697" s="126"/>
      <c r="D1697" s="126"/>
      <c r="E1697"/>
      <c r="F1697"/>
      <c r="G1697"/>
      <c r="H1697"/>
      <c r="I1697"/>
      <c r="J1697"/>
      <c r="K1697"/>
      <c r="L1697"/>
    </row>
    <row r="1698" spans="3:12" x14ac:dyDescent="0.3">
      <c r="C1698" s="126"/>
      <c r="D1698" s="126"/>
      <c r="E1698"/>
      <c r="F1698"/>
      <c r="G1698"/>
      <c r="H1698"/>
      <c r="I1698"/>
      <c r="J1698"/>
      <c r="K1698"/>
      <c r="L1698"/>
    </row>
    <row r="1699" spans="3:12" x14ac:dyDescent="0.3">
      <c r="C1699" s="126"/>
      <c r="D1699" s="126"/>
      <c r="E1699"/>
      <c r="F1699"/>
      <c r="G1699"/>
      <c r="H1699"/>
      <c r="I1699"/>
      <c r="J1699"/>
      <c r="K1699"/>
      <c r="L1699"/>
    </row>
    <row r="1700" spans="3:12" x14ac:dyDescent="0.3">
      <c r="C1700" s="126"/>
      <c r="D1700" s="126"/>
      <c r="E1700"/>
      <c r="F1700"/>
      <c r="G1700"/>
      <c r="H1700"/>
      <c r="I1700"/>
      <c r="J1700"/>
      <c r="K1700"/>
      <c r="L1700"/>
    </row>
    <row r="1701" spans="3:12" x14ac:dyDescent="0.3">
      <c r="C1701" s="126"/>
      <c r="D1701" s="126"/>
      <c r="E1701"/>
      <c r="F1701"/>
      <c r="G1701"/>
      <c r="H1701"/>
      <c r="I1701"/>
      <c r="J1701"/>
      <c r="K1701"/>
      <c r="L1701"/>
    </row>
    <row r="1702" spans="3:12" x14ac:dyDescent="0.3">
      <c r="C1702" s="126"/>
      <c r="D1702" s="126"/>
      <c r="E1702"/>
      <c r="F1702"/>
      <c r="G1702"/>
      <c r="H1702"/>
      <c r="I1702"/>
      <c r="J1702"/>
      <c r="K1702"/>
      <c r="L1702"/>
    </row>
    <row r="1703" spans="3:12" x14ac:dyDescent="0.3">
      <c r="C1703" s="126"/>
      <c r="D1703" s="126"/>
      <c r="E1703"/>
      <c r="F1703"/>
      <c r="G1703"/>
      <c r="H1703"/>
      <c r="I1703"/>
      <c r="J1703"/>
      <c r="K1703"/>
      <c r="L1703"/>
    </row>
    <row r="1704" spans="3:12" x14ac:dyDescent="0.3">
      <c r="C1704" s="126"/>
      <c r="D1704" s="126"/>
      <c r="E1704"/>
      <c r="F1704"/>
      <c r="G1704"/>
      <c r="H1704"/>
      <c r="I1704"/>
      <c r="J1704"/>
      <c r="K1704"/>
      <c r="L1704"/>
    </row>
    <row r="1705" spans="3:12" x14ac:dyDescent="0.3">
      <c r="C1705" s="126"/>
      <c r="D1705" s="126"/>
      <c r="E1705"/>
      <c r="F1705"/>
      <c r="G1705"/>
      <c r="H1705"/>
      <c r="I1705"/>
      <c r="J1705"/>
      <c r="K1705"/>
      <c r="L1705"/>
    </row>
    <row r="1706" spans="3:12" x14ac:dyDescent="0.3">
      <c r="C1706" s="126"/>
      <c r="D1706" s="126"/>
      <c r="E1706"/>
      <c r="F1706"/>
      <c r="G1706"/>
      <c r="H1706"/>
      <c r="I1706"/>
      <c r="J1706"/>
      <c r="K1706"/>
      <c r="L1706"/>
    </row>
    <row r="1707" spans="3:12" x14ac:dyDescent="0.3">
      <c r="C1707" s="126"/>
      <c r="D1707" s="126"/>
      <c r="E1707"/>
      <c r="F1707"/>
      <c r="G1707"/>
      <c r="H1707"/>
      <c r="I1707"/>
      <c r="J1707"/>
      <c r="K1707"/>
      <c r="L1707"/>
    </row>
    <row r="1708" spans="3:12" x14ac:dyDescent="0.3">
      <c r="C1708" s="126"/>
      <c r="D1708" s="126"/>
      <c r="E1708"/>
      <c r="F1708"/>
      <c r="G1708"/>
      <c r="H1708"/>
      <c r="I1708"/>
      <c r="J1708"/>
      <c r="K1708"/>
      <c r="L1708"/>
    </row>
    <row r="1709" spans="3:12" x14ac:dyDescent="0.3">
      <c r="C1709" s="126"/>
      <c r="D1709" s="126"/>
      <c r="E1709"/>
      <c r="F1709"/>
      <c r="G1709"/>
      <c r="H1709"/>
      <c r="I1709"/>
      <c r="J1709"/>
      <c r="K1709"/>
      <c r="L1709"/>
    </row>
    <row r="1710" spans="3:12" x14ac:dyDescent="0.3">
      <c r="C1710" s="126"/>
      <c r="D1710" s="126"/>
      <c r="E1710"/>
      <c r="F1710"/>
      <c r="G1710"/>
      <c r="H1710"/>
      <c r="I1710"/>
      <c r="J1710"/>
      <c r="K1710"/>
      <c r="L1710"/>
    </row>
    <row r="1711" spans="3:12" x14ac:dyDescent="0.3">
      <c r="C1711" s="126"/>
      <c r="D1711" s="126"/>
      <c r="E1711"/>
      <c r="F1711"/>
      <c r="G1711"/>
      <c r="H1711"/>
      <c r="I1711"/>
      <c r="J1711"/>
      <c r="K1711"/>
      <c r="L1711"/>
    </row>
    <row r="1712" spans="3:12" x14ac:dyDescent="0.3">
      <c r="C1712" s="126"/>
      <c r="D1712" s="126"/>
      <c r="E1712"/>
      <c r="F1712"/>
      <c r="G1712"/>
      <c r="H1712"/>
      <c r="I1712"/>
      <c r="J1712"/>
      <c r="K1712"/>
      <c r="L1712"/>
    </row>
    <row r="1713" spans="3:12" x14ac:dyDescent="0.3">
      <c r="C1713" s="126"/>
      <c r="D1713" s="126"/>
      <c r="E1713"/>
      <c r="F1713"/>
      <c r="G1713"/>
      <c r="H1713"/>
      <c r="I1713"/>
      <c r="J1713"/>
      <c r="K1713"/>
      <c r="L1713"/>
    </row>
    <row r="1714" spans="3:12" x14ac:dyDescent="0.3">
      <c r="C1714" s="126"/>
      <c r="D1714" s="126"/>
      <c r="E1714"/>
      <c r="F1714"/>
      <c r="G1714"/>
      <c r="H1714"/>
      <c r="I1714"/>
      <c r="J1714"/>
      <c r="K1714"/>
      <c r="L1714"/>
    </row>
    <row r="1715" spans="3:12" x14ac:dyDescent="0.3">
      <c r="C1715" s="126"/>
      <c r="D1715" s="126"/>
      <c r="E1715"/>
      <c r="F1715"/>
      <c r="G1715"/>
      <c r="H1715"/>
      <c r="I1715"/>
      <c r="J1715"/>
      <c r="K1715"/>
      <c r="L1715"/>
    </row>
    <row r="1716" spans="3:12" x14ac:dyDescent="0.3">
      <c r="C1716" s="126"/>
      <c r="D1716" s="126"/>
      <c r="E1716"/>
      <c r="F1716"/>
      <c r="G1716"/>
      <c r="H1716"/>
      <c r="I1716"/>
      <c r="J1716"/>
      <c r="K1716"/>
      <c r="L1716"/>
    </row>
    <row r="1717" spans="3:12" x14ac:dyDescent="0.3">
      <c r="C1717" s="126"/>
      <c r="D1717" s="126"/>
      <c r="E1717"/>
      <c r="F1717"/>
      <c r="G1717"/>
      <c r="H1717"/>
      <c r="I1717"/>
      <c r="J1717"/>
      <c r="K1717"/>
      <c r="L1717"/>
    </row>
    <row r="1718" spans="3:12" x14ac:dyDescent="0.3">
      <c r="C1718" s="126"/>
      <c r="D1718" s="126"/>
      <c r="E1718"/>
      <c r="F1718"/>
      <c r="G1718"/>
      <c r="H1718"/>
      <c r="I1718"/>
      <c r="J1718"/>
      <c r="K1718"/>
      <c r="L1718"/>
    </row>
    <row r="1719" spans="3:12" x14ac:dyDescent="0.3">
      <c r="C1719" s="126"/>
      <c r="D1719" s="126"/>
      <c r="E1719"/>
      <c r="F1719"/>
      <c r="G1719"/>
      <c r="H1719"/>
      <c r="I1719"/>
      <c r="J1719"/>
      <c r="K1719"/>
      <c r="L1719"/>
    </row>
    <row r="1720" spans="3:12" x14ac:dyDescent="0.3">
      <c r="C1720" s="126"/>
      <c r="D1720" s="126"/>
      <c r="E1720"/>
      <c r="F1720"/>
      <c r="G1720"/>
      <c r="H1720"/>
      <c r="I1720"/>
      <c r="J1720"/>
      <c r="K1720"/>
      <c r="L1720"/>
    </row>
    <row r="1721" spans="3:12" x14ac:dyDescent="0.3">
      <c r="C1721" s="126"/>
      <c r="D1721" s="126"/>
      <c r="E1721"/>
      <c r="F1721"/>
      <c r="G1721"/>
      <c r="H1721"/>
      <c r="I1721"/>
      <c r="J1721"/>
      <c r="K1721"/>
      <c r="L1721"/>
    </row>
    <row r="1722" spans="3:12" x14ac:dyDescent="0.3">
      <c r="C1722" s="126"/>
      <c r="D1722" s="126"/>
      <c r="E1722"/>
      <c r="F1722"/>
      <c r="G1722"/>
      <c r="H1722"/>
      <c r="I1722"/>
      <c r="J1722"/>
      <c r="K1722"/>
      <c r="L1722"/>
    </row>
    <row r="1723" spans="3:12" x14ac:dyDescent="0.3">
      <c r="C1723" s="126"/>
      <c r="D1723" s="126"/>
      <c r="E1723"/>
      <c r="F1723"/>
      <c r="G1723"/>
      <c r="H1723"/>
      <c r="I1723"/>
      <c r="J1723"/>
      <c r="K1723"/>
      <c r="L1723"/>
    </row>
    <row r="1724" spans="3:12" x14ac:dyDescent="0.3">
      <c r="C1724" s="126"/>
      <c r="D1724" s="126"/>
      <c r="E1724"/>
      <c r="F1724"/>
      <c r="G1724"/>
      <c r="H1724"/>
      <c r="I1724"/>
      <c r="J1724"/>
      <c r="K1724"/>
      <c r="L1724"/>
    </row>
    <row r="1725" spans="3:12" x14ac:dyDescent="0.3">
      <c r="C1725" s="126"/>
      <c r="D1725" s="126"/>
      <c r="E1725"/>
      <c r="F1725"/>
      <c r="G1725"/>
      <c r="H1725"/>
      <c r="I1725"/>
      <c r="J1725"/>
      <c r="K1725"/>
      <c r="L1725"/>
    </row>
    <row r="1726" spans="3:12" x14ac:dyDescent="0.3">
      <c r="C1726" s="126"/>
      <c r="D1726" s="126"/>
      <c r="E1726"/>
      <c r="F1726"/>
      <c r="G1726"/>
      <c r="H1726"/>
      <c r="I1726"/>
      <c r="J1726"/>
      <c r="K1726"/>
      <c r="L1726"/>
    </row>
    <row r="1727" spans="3:12" x14ac:dyDescent="0.3">
      <c r="C1727" s="126"/>
      <c r="D1727" s="126"/>
      <c r="E1727"/>
      <c r="F1727"/>
      <c r="G1727"/>
      <c r="H1727"/>
      <c r="I1727"/>
      <c r="J1727"/>
      <c r="K1727"/>
      <c r="L1727"/>
    </row>
    <row r="1728" spans="3:12" x14ac:dyDescent="0.3">
      <c r="C1728" s="126"/>
      <c r="D1728" s="126"/>
      <c r="E1728"/>
      <c r="F1728"/>
      <c r="G1728"/>
      <c r="H1728"/>
      <c r="I1728"/>
      <c r="J1728"/>
      <c r="K1728"/>
      <c r="L1728"/>
    </row>
    <row r="1729" spans="3:12" x14ac:dyDescent="0.3">
      <c r="C1729" s="126"/>
      <c r="D1729" s="126"/>
      <c r="E1729"/>
      <c r="F1729"/>
      <c r="G1729"/>
      <c r="H1729"/>
      <c r="I1729"/>
      <c r="J1729"/>
      <c r="K1729"/>
      <c r="L1729"/>
    </row>
    <row r="1730" spans="3:12" x14ac:dyDescent="0.3">
      <c r="C1730" s="126"/>
      <c r="D1730" s="126"/>
      <c r="E1730"/>
      <c r="F1730"/>
      <c r="G1730"/>
      <c r="H1730"/>
      <c r="I1730"/>
      <c r="J1730"/>
      <c r="K1730"/>
      <c r="L1730"/>
    </row>
    <row r="1731" spans="3:12" x14ac:dyDescent="0.3">
      <c r="C1731" s="126"/>
      <c r="D1731" s="126"/>
      <c r="E1731"/>
      <c r="F1731"/>
      <c r="G1731"/>
      <c r="H1731"/>
      <c r="I1731"/>
      <c r="J1731"/>
      <c r="K1731"/>
      <c r="L1731"/>
    </row>
    <row r="1732" spans="3:12" x14ac:dyDescent="0.3">
      <c r="C1732" s="126"/>
      <c r="D1732" s="126"/>
      <c r="E1732"/>
      <c r="F1732"/>
      <c r="G1732"/>
      <c r="H1732"/>
      <c r="I1732"/>
      <c r="J1732"/>
      <c r="K1732"/>
      <c r="L1732"/>
    </row>
    <row r="1733" spans="3:12" x14ac:dyDescent="0.3">
      <c r="C1733" s="126"/>
      <c r="D1733" s="126"/>
      <c r="E1733"/>
      <c r="F1733"/>
      <c r="G1733"/>
      <c r="H1733"/>
      <c r="I1733"/>
      <c r="J1733"/>
      <c r="K1733"/>
      <c r="L1733"/>
    </row>
    <row r="1734" spans="3:12" x14ac:dyDescent="0.3">
      <c r="C1734" s="126"/>
      <c r="D1734" s="126"/>
      <c r="E1734"/>
      <c r="F1734"/>
      <c r="G1734"/>
      <c r="H1734"/>
      <c r="I1734"/>
      <c r="J1734"/>
      <c r="K1734"/>
      <c r="L1734"/>
    </row>
    <row r="1735" spans="3:12" x14ac:dyDescent="0.3">
      <c r="C1735" s="126"/>
      <c r="D1735" s="126"/>
      <c r="E1735"/>
      <c r="F1735"/>
      <c r="G1735"/>
      <c r="H1735"/>
      <c r="I1735"/>
      <c r="J1735"/>
      <c r="K1735"/>
      <c r="L1735"/>
    </row>
    <row r="1736" spans="3:12" x14ac:dyDescent="0.3">
      <c r="C1736" s="126"/>
      <c r="D1736" s="126"/>
      <c r="E1736"/>
      <c r="F1736"/>
      <c r="G1736"/>
      <c r="H1736"/>
      <c r="I1736"/>
      <c r="J1736"/>
      <c r="K1736"/>
      <c r="L1736"/>
    </row>
    <row r="1737" spans="3:12" x14ac:dyDescent="0.3">
      <c r="C1737" s="126"/>
      <c r="D1737" s="126"/>
      <c r="E1737"/>
      <c r="F1737"/>
      <c r="G1737"/>
      <c r="H1737"/>
      <c r="I1737"/>
      <c r="J1737"/>
      <c r="K1737"/>
      <c r="L1737"/>
    </row>
    <row r="1738" spans="3:12" x14ac:dyDescent="0.3">
      <c r="C1738" s="126"/>
      <c r="D1738" s="126"/>
      <c r="E1738"/>
      <c r="F1738"/>
      <c r="G1738"/>
      <c r="H1738"/>
      <c r="I1738"/>
      <c r="J1738"/>
      <c r="K1738"/>
      <c r="L1738"/>
    </row>
    <row r="1739" spans="3:12" x14ac:dyDescent="0.3">
      <c r="C1739" s="126"/>
      <c r="D1739" s="126"/>
      <c r="E1739"/>
      <c r="F1739"/>
      <c r="G1739"/>
      <c r="H1739"/>
      <c r="I1739"/>
      <c r="J1739"/>
      <c r="K1739"/>
      <c r="L1739"/>
    </row>
    <row r="1740" spans="3:12" x14ac:dyDescent="0.3">
      <c r="C1740" s="126"/>
      <c r="D1740" s="126"/>
      <c r="E1740"/>
      <c r="F1740"/>
      <c r="G1740"/>
      <c r="H1740"/>
      <c r="I1740"/>
      <c r="J1740"/>
      <c r="K1740"/>
      <c r="L1740"/>
    </row>
    <row r="1741" spans="3:12" x14ac:dyDescent="0.3">
      <c r="C1741" s="126"/>
      <c r="D1741" s="126"/>
      <c r="E1741"/>
      <c r="F1741"/>
      <c r="G1741"/>
      <c r="H1741"/>
      <c r="I1741"/>
      <c r="J1741"/>
      <c r="K1741"/>
      <c r="L1741"/>
    </row>
    <row r="1742" spans="3:12" x14ac:dyDescent="0.3">
      <c r="C1742" s="126"/>
      <c r="D1742" s="126"/>
      <c r="E1742"/>
      <c r="F1742"/>
      <c r="G1742"/>
      <c r="H1742"/>
      <c r="I1742"/>
      <c r="J1742"/>
      <c r="K1742"/>
      <c r="L1742"/>
    </row>
    <row r="1743" spans="3:12" x14ac:dyDescent="0.3">
      <c r="C1743" s="126"/>
      <c r="D1743" s="126"/>
      <c r="E1743"/>
      <c r="F1743"/>
      <c r="G1743"/>
      <c r="H1743"/>
      <c r="I1743"/>
      <c r="J1743"/>
      <c r="K1743"/>
      <c r="L1743"/>
    </row>
  </sheetData>
  <autoFilter ref="A4:CD1270" xr:uid="{7771935C-2FF5-4D62-B2A6-DE36140174B0}">
    <filterColumn colId="2">
      <filters>
        <filter val="Uml"/>
      </filters>
    </filterColumn>
  </autoFilter>
  <mergeCells count="5">
    <mergeCell ref="E3:I3"/>
    <mergeCell ref="J3:N3"/>
    <mergeCell ref="O3:S3"/>
    <mergeCell ref="U3:Y3"/>
    <mergeCell ref="AA3:AE3"/>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FBDF61-8836-4DDA-8E0E-3ECA7102337E}">
  <sheetPr codeName="Feuil6" filterMode="1"/>
  <dimension ref="A1:AJ1525"/>
  <sheetViews>
    <sheetView zoomScale="90" zoomScaleNormal="90" workbookViewId="0">
      <selection activeCell="V14" sqref="V14:V839"/>
    </sheetView>
  </sheetViews>
  <sheetFormatPr baseColWidth="10" defaultRowHeight="14.4" x14ac:dyDescent="0.3"/>
  <cols>
    <col min="1" max="1" width="11.5546875" style="126"/>
    <col min="2" max="2" width="4.88671875" style="126" customWidth="1"/>
    <col min="3" max="3" width="6.44140625" style="127" bestFit="1" customWidth="1"/>
    <col min="4" max="4" width="6.109375" style="127" bestFit="1" customWidth="1"/>
    <col min="5" max="5" width="11.109375" style="101" hidden="1" customWidth="1"/>
    <col min="6" max="6" width="9.5546875" style="101" hidden="1" customWidth="1"/>
    <col min="7" max="7" width="8" style="101" hidden="1" customWidth="1"/>
    <col min="8" max="8" width="8.6640625" style="101" hidden="1" customWidth="1"/>
    <col min="9" max="9" width="11.6640625" style="101" hidden="1" customWidth="1"/>
    <col min="10" max="10" width="11.109375" style="101" hidden="1" customWidth="1"/>
    <col min="11" max="11" width="9.5546875" style="101" hidden="1" customWidth="1"/>
    <col min="12" max="12" width="8" style="101" hidden="1" customWidth="1"/>
    <col min="13" max="13" width="8.77734375" style="101" hidden="1" customWidth="1"/>
    <col min="14" max="14" width="11.6640625" style="101" hidden="1" customWidth="1"/>
    <col min="15" max="18" width="0" style="101" hidden="1" customWidth="1"/>
    <col min="19" max="19" width="13.77734375" style="101" hidden="1" customWidth="1"/>
    <col min="20" max="20" width="7.109375" style="101" hidden="1" customWidth="1"/>
    <col min="21" max="21" width="12.33203125" style="101" hidden="1" customWidth="1"/>
    <col min="22" max="22" width="10.6640625" style="101" bestFit="1" customWidth="1"/>
    <col min="23" max="23" width="8.77734375" style="101" bestFit="1" customWidth="1"/>
    <col min="24" max="24" width="9.21875" style="101" bestFit="1" customWidth="1"/>
    <col min="25" max="25" width="13.77734375" style="101" customWidth="1"/>
    <col min="26" max="26" width="6.109375" style="101" bestFit="1" customWidth="1"/>
    <col min="27" max="27" width="12.33203125" style="101" bestFit="1" customWidth="1"/>
    <col min="28" max="28" width="10.6640625" style="101" bestFit="1" customWidth="1"/>
    <col min="29" max="29" width="8.77734375" style="101" bestFit="1" customWidth="1"/>
    <col min="30" max="30" width="9.21875" style="101" bestFit="1" customWidth="1"/>
    <col min="31" max="31" width="13.77734375" style="101" customWidth="1"/>
    <col min="32" max="33" width="13.77734375" style="147" customWidth="1"/>
  </cols>
  <sheetData>
    <row r="1" spans="1:36" x14ac:dyDescent="0.3">
      <c r="F1" s="127"/>
      <c r="G1" s="127"/>
    </row>
    <row r="2" spans="1:36" x14ac:dyDescent="0.3">
      <c r="J2" s="101" t="s">
        <v>152</v>
      </c>
    </row>
    <row r="3" spans="1:36" ht="21.6" x14ac:dyDescent="0.3">
      <c r="C3" s="126"/>
      <c r="D3" s="126"/>
      <c r="E3" s="227" t="s">
        <v>153</v>
      </c>
      <c r="F3" s="227"/>
      <c r="G3" s="227"/>
      <c r="H3" s="227"/>
      <c r="I3" s="227"/>
      <c r="J3" s="228" t="s">
        <v>154</v>
      </c>
      <c r="K3" s="228"/>
      <c r="L3" s="228"/>
      <c r="M3" s="228"/>
      <c r="N3" s="228"/>
      <c r="O3" s="229" t="s">
        <v>155</v>
      </c>
      <c r="P3" s="229"/>
      <c r="Q3" s="229"/>
      <c r="R3" s="229"/>
      <c r="S3" s="229"/>
      <c r="T3" s="128"/>
      <c r="U3" s="230" t="s">
        <v>156</v>
      </c>
      <c r="V3" s="230"/>
      <c r="W3" s="230"/>
      <c r="X3" s="230"/>
      <c r="Y3" s="230"/>
      <c r="Z3" s="129"/>
      <c r="AA3" s="231" t="s">
        <v>157</v>
      </c>
      <c r="AB3" s="231"/>
      <c r="AC3" s="231"/>
      <c r="AD3" s="231"/>
      <c r="AE3" s="231"/>
      <c r="AF3" s="149" t="s">
        <v>190</v>
      </c>
      <c r="AG3" s="149" t="s">
        <v>191</v>
      </c>
      <c r="AH3" s="226" t="s">
        <v>158</v>
      </c>
      <c r="AI3" s="226"/>
      <c r="AJ3" s="226"/>
    </row>
    <row r="4" spans="1:36" x14ac:dyDescent="0.3">
      <c r="B4" s="130" t="s">
        <v>159</v>
      </c>
      <c r="C4" s="130" t="s">
        <v>160</v>
      </c>
      <c r="D4" s="130" t="s">
        <v>161</v>
      </c>
      <c r="E4" s="131" t="s">
        <v>162</v>
      </c>
      <c r="F4" s="131" t="s">
        <v>163</v>
      </c>
      <c r="G4" s="131" t="s">
        <v>164</v>
      </c>
      <c r="H4" s="131" t="s">
        <v>165</v>
      </c>
      <c r="I4" s="131" t="s">
        <v>166</v>
      </c>
      <c r="J4" s="131" t="s">
        <v>162</v>
      </c>
      <c r="K4" s="131" t="s">
        <v>163</v>
      </c>
      <c r="L4" s="131" t="s">
        <v>164</v>
      </c>
      <c r="M4" s="131" t="s">
        <v>165</v>
      </c>
      <c r="N4" s="131" t="s">
        <v>166</v>
      </c>
      <c r="O4" s="131" t="s">
        <v>162</v>
      </c>
      <c r="P4" s="131" t="s">
        <v>163</v>
      </c>
      <c r="Q4" s="131" t="s">
        <v>164</v>
      </c>
      <c r="R4" s="131" t="s">
        <v>165</v>
      </c>
      <c r="S4" s="131" t="s">
        <v>166</v>
      </c>
      <c r="T4" s="131" t="s">
        <v>167</v>
      </c>
      <c r="U4" s="131" t="s">
        <v>162</v>
      </c>
      <c r="V4" s="131" t="s">
        <v>163</v>
      </c>
      <c r="W4" s="131" t="s">
        <v>164</v>
      </c>
      <c r="X4" s="131" t="s">
        <v>165</v>
      </c>
      <c r="Y4" s="131" t="s">
        <v>166</v>
      </c>
      <c r="Z4" s="132" t="s">
        <v>161</v>
      </c>
      <c r="AA4" s="131" t="s">
        <v>162</v>
      </c>
      <c r="AB4" s="131" t="s">
        <v>163</v>
      </c>
      <c r="AC4" s="131" t="s">
        <v>164</v>
      </c>
      <c r="AD4" s="131" t="s">
        <v>165</v>
      </c>
      <c r="AE4" s="131" t="s">
        <v>166</v>
      </c>
      <c r="AF4" s="131"/>
      <c r="AG4" s="131"/>
      <c r="AH4" s="131" t="s">
        <v>168</v>
      </c>
      <c r="AI4" s="131" t="s">
        <v>169</v>
      </c>
      <c r="AJ4" s="131" t="s">
        <v>170</v>
      </c>
    </row>
    <row r="5" spans="1:36" hidden="1" x14ac:dyDescent="0.3">
      <c r="A5" s="126" t="s">
        <v>171</v>
      </c>
      <c r="B5" s="126">
        <v>1</v>
      </c>
      <c r="C5" s="126">
        <v>22</v>
      </c>
      <c r="D5" s="126" t="str">
        <f>CONCATENATE(B5,C5)</f>
        <v>122</v>
      </c>
      <c r="E5" s="101">
        <v>409</v>
      </c>
      <c r="F5" s="101">
        <v>2356</v>
      </c>
      <c r="G5" s="101">
        <v>22548</v>
      </c>
      <c r="H5" s="101">
        <v>148263.03</v>
      </c>
      <c r="I5" s="101">
        <v>106292.89600000001</v>
      </c>
      <c r="J5" s="101">
        <v>286</v>
      </c>
      <c r="K5" s="101">
        <v>2032</v>
      </c>
      <c r="L5" s="101">
        <v>13799</v>
      </c>
      <c r="M5" s="101">
        <v>96765</v>
      </c>
      <c r="N5" s="101">
        <v>59008</v>
      </c>
      <c r="O5" s="101">
        <v>618</v>
      </c>
      <c r="P5" s="101">
        <v>3946</v>
      </c>
      <c r="Q5" s="101">
        <v>27772</v>
      </c>
      <c r="R5" s="101">
        <v>201829.11000000002</v>
      </c>
      <c r="S5" s="101">
        <v>107862.889</v>
      </c>
      <c r="T5" s="133">
        <v>1.02</v>
      </c>
      <c r="U5" s="101">
        <f>O5*T5</f>
        <v>630.36</v>
      </c>
      <c r="V5" s="101">
        <f>P5*T5</f>
        <v>4024.92</v>
      </c>
      <c r="W5" s="101">
        <f>Q5*T5</f>
        <v>28327.439999999999</v>
      </c>
      <c r="X5" s="101">
        <f>R5*T5</f>
        <v>205865.69220000002</v>
      </c>
      <c r="Y5" s="101">
        <f>S5*T5</f>
        <v>110020.14678</v>
      </c>
      <c r="AA5" s="101">
        <v>322</v>
      </c>
      <c r="AB5" s="101">
        <v>2561</v>
      </c>
      <c r="AC5" s="101">
        <v>19088</v>
      </c>
      <c r="AD5" s="101">
        <v>97313</v>
      </c>
      <c r="AE5" s="101">
        <v>62030</v>
      </c>
      <c r="AF5" s="225">
        <f>SUM(AB5:AB20)</f>
        <v>33756</v>
      </c>
      <c r="AG5" s="148"/>
      <c r="AH5" s="101">
        <v>30000</v>
      </c>
      <c r="AI5" s="101">
        <f>(AH5/100)*80</f>
        <v>24000</v>
      </c>
      <c r="AJ5" s="101">
        <f>(AH5/100)*120</f>
        <v>36000</v>
      </c>
    </row>
    <row r="6" spans="1:36" hidden="1" x14ac:dyDescent="0.3">
      <c r="A6" s="126" t="s">
        <v>171</v>
      </c>
      <c r="B6" s="126">
        <v>1</v>
      </c>
      <c r="C6" s="126">
        <v>25</v>
      </c>
      <c r="D6" s="126" t="str">
        <f t="shared" ref="D6:D78" si="0">CONCATENATE(B6,C6)</f>
        <v>125</v>
      </c>
      <c r="E6" s="101">
        <v>174</v>
      </c>
      <c r="F6" s="101">
        <v>1272</v>
      </c>
      <c r="G6" s="101">
        <v>32938</v>
      </c>
      <c r="H6" s="101">
        <v>412454.89999999997</v>
      </c>
      <c r="I6" s="101">
        <v>149516.82100000003</v>
      </c>
      <c r="J6" s="101">
        <v>185</v>
      </c>
      <c r="K6" s="101">
        <v>2652</v>
      </c>
      <c r="L6" s="101">
        <v>57427</v>
      </c>
      <c r="M6" s="101">
        <v>476782</v>
      </c>
      <c r="N6" s="101">
        <v>220546</v>
      </c>
      <c r="O6" s="101">
        <v>59</v>
      </c>
      <c r="P6" s="101">
        <v>462</v>
      </c>
      <c r="Q6" s="101">
        <v>22512</v>
      </c>
      <c r="R6" s="101">
        <v>338606.39999999997</v>
      </c>
      <c r="S6" s="101">
        <v>137857.454</v>
      </c>
      <c r="T6" s="133">
        <v>1.02</v>
      </c>
      <c r="U6" s="101">
        <f t="shared" ref="U6:U69" si="1">O6*T6</f>
        <v>60.18</v>
      </c>
      <c r="V6" s="101">
        <f t="shared" ref="V6:V69" si="2">P6*T6</f>
        <v>471.24</v>
      </c>
      <c r="W6" s="101">
        <f t="shared" ref="W6:W69" si="3">Q6*T6</f>
        <v>22962.240000000002</v>
      </c>
      <c r="X6" s="101">
        <f t="shared" ref="X6:X69" si="4">R6*T6</f>
        <v>345378.52799999999</v>
      </c>
      <c r="Y6" s="101">
        <f t="shared" ref="Y6:Y69" si="5">S6*T6</f>
        <v>140614.60308</v>
      </c>
      <c r="AA6" s="101">
        <v>221</v>
      </c>
      <c r="AB6" s="101">
        <v>1766</v>
      </c>
      <c r="AC6" s="101">
        <v>73770</v>
      </c>
      <c r="AD6" s="101">
        <v>1122602</v>
      </c>
      <c r="AE6" s="101">
        <v>489865</v>
      </c>
      <c r="AF6" s="225"/>
      <c r="AG6" s="148"/>
      <c r="AH6" s="101">
        <v>30000</v>
      </c>
      <c r="AI6" s="101">
        <f>(AH6/100)*80</f>
        <v>24000</v>
      </c>
      <c r="AJ6" s="101">
        <f>(AH6/100)*120</f>
        <v>36000</v>
      </c>
    </row>
    <row r="7" spans="1:36" ht="11.25" hidden="1" customHeight="1" x14ac:dyDescent="0.3">
      <c r="A7" s="126" t="s">
        <v>171</v>
      </c>
      <c r="B7" s="126">
        <v>1</v>
      </c>
      <c r="C7" s="126">
        <v>27</v>
      </c>
      <c r="D7" s="126" t="str">
        <f t="shared" si="0"/>
        <v>127</v>
      </c>
      <c r="E7" s="101">
        <v>11</v>
      </c>
      <c r="F7" s="101">
        <v>182</v>
      </c>
      <c r="G7" s="101">
        <v>1754</v>
      </c>
      <c r="H7" s="101">
        <v>14777.98</v>
      </c>
      <c r="I7" s="101">
        <v>5151.7160000000003</v>
      </c>
      <c r="J7" s="101">
        <v>10</v>
      </c>
      <c r="K7" s="101">
        <v>176</v>
      </c>
      <c r="L7" s="101">
        <v>430</v>
      </c>
      <c r="M7" s="101">
        <v>6392</v>
      </c>
      <c r="N7" s="101">
        <v>5307</v>
      </c>
      <c r="O7" s="101">
        <v>7</v>
      </c>
      <c r="P7" s="101">
        <v>8</v>
      </c>
      <c r="Q7" s="101">
        <v>156</v>
      </c>
      <c r="R7" s="101">
        <v>5176.0700000000006</v>
      </c>
      <c r="S7" s="101">
        <v>3148.87</v>
      </c>
      <c r="T7" s="133">
        <v>1.02</v>
      </c>
      <c r="U7" s="101">
        <f t="shared" si="1"/>
        <v>7.1400000000000006</v>
      </c>
      <c r="V7" s="101">
        <f t="shared" si="2"/>
        <v>8.16</v>
      </c>
      <c r="W7" s="101">
        <f t="shared" si="3"/>
        <v>159.12</v>
      </c>
      <c r="X7" s="101">
        <f t="shared" si="4"/>
        <v>5279.5914000000012</v>
      </c>
      <c r="Y7" s="101">
        <f t="shared" si="5"/>
        <v>3211.8474000000001</v>
      </c>
      <c r="AA7" s="101">
        <v>2</v>
      </c>
      <c r="AB7" s="101">
        <v>17</v>
      </c>
      <c r="AC7" s="101">
        <v>183</v>
      </c>
      <c r="AD7" s="101">
        <v>2028</v>
      </c>
      <c r="AE7" s="101">
        <v>1067</v>
      </c>
      <c r="AF7" s="225"/>
      <c r="AG7" s="148"/>
      <c r="AH7" s="101">
        <v>30000</v>
      </c>
      <c r="AI7" s="101">
        <f>(AH7/100)*80</f>
        <v>24000</v>
      </c>
      <c r="AJ7" s="101">
        <f>(AH7/100)*120</f>
        <v>36000</v>
      </c>
    </row>
    <row r="8" spans="1:36" ht="11.25" hidden="1" customHeight="1" x14ac:dyDescent="0.3">
      <c r="A8" s="126" t="s">
        <v>171</v>
      </c>
      <c r="B8" s="126">
        <v>1</v>
      </c>
      <c r="C8" s="126">
        <v>26</v>
      </c>
      <c r="D8" s="126" t="str">
        <f t="shared" si="0"/>
        <v>126</v>
      </c>
      <c r="E8" s="101">
        <v>79</v>
      </c>
      <c r="F8" s="101">
        <v>3318</v>
      </c>
      <c r="G8" s="101">
        <v>35592</v>
      </c>
      <c r="H8" s="101">
        <v>364115.05</v>
      </c>
      <c r="I8" s="101">
        <v>169215</v>
      </c>
      <c r="J8" s="101">
        <v>53</v>
      </c>
      <c r="K8" s="101">
        <v>2016</v>
      </c>
      <c r="L8" s="101">
        <v>25672</v>
      </c>
      <c r="M8" s="101">
        <v>395019</v>
      </c>
      <c r="N8" s="101">
        <v>151167</v>
      </c>
      <c r="O8" s="101">
        <v>77</v>
      </c>
      <c r="P8" s="101">
        <v>1764</v>
      </c>
      <c r="Q8" s="101">
        <v>57306</v>
      </c>
      <c r="R8" s="101">
        <v>729851.15</v>
      </c>
      <c r="S8" s="101">
        <v>272352.35499999998</v>
      </c>
      <c r="T8" s="133">
        <v>1.02</v>
      </c>
      <c r="U8" s="101">
        <f t="shared" si="1"/>
        <v>78.540000000000006</v>
      </c>
      <c r="V8" s="101">
        <f t="shared" si="2"/>
        <v>1799.28</v>
      </c>
      <c r="W8" s="101">
        <f t="shared" si="3"/>
        <v>58452.12</v>
      </c>
      <c r="X8" s="101">
        <f t="shared" si="4"/>
        <v>744448.17300000007</v>
      </c>
      <c r="Y8" s="101">
        <f t="shared" si="5"/>
        <v>277799.40210000001</v>
      </c>
      <c r="AA8" s="101">
        <v>8</v>
      </c>
      <c r="AB8" s="101">
        <v>452</v>
      </c>
      <c r="AC8" s="101">
        <v>11889</v>
      </c>
      <c r="AD8" s="101">
        <v>140727</v>
      </c>
      <c r="AE8" s="101">
        <v>68409</v>
      </c>
      <c r="AF8" s="225"/>
      <c r="AG8" s="148"/>
      <c r="AH8" s="101">
        <v>30000</v>
      </c>
      <c r="AI8" s="101">
        <f>(AH8/100)*80</f>
        <v>24000</v>
      </c>
      <c r="AJ8" s="101">
        <f>(AH8/100)*120</f>
        <v>36000</v>
      </c>
    </row>
    <row r="9" spans="1:36" s="135" customFormat="1" ht="11.25" hidden="1" customHeight="1" x14ac:dyDescent="0.3">
      <c r="A9" s="126" t="s">
        <v>171</v>
      </c>
      <c r="B9" s="126">
        <v>1</v>
      </c>
      <c r="C9" s="126">
        <v>28</v>
      </c>
      <c r="D9" s="126" t="str">
        <f t="shared" si="0"/>
        <v>128</v>
      </c>
      <c r="E9" s="134"/>
      <c r="F9" s="134">
        <v>0</v>
      </c>
      <c r="G9" s="134">
        <v>0</v>
      </c>
      <c r="H9" s="134"/>
      <c r="I9" s="134"/>
      <c r="J9" s="101">
        <v>66</v>
      </c>
      <c r="K9" s="101">
        <v>199</v>
      </c>
      <c r="L9" s="101">
        <v>4182</v>
      </c>
      <c r="M9" s="101">
        <v>115449</v>
      </c>
      <c r="N9" s="101">
        <v>33591</v>
      </c>
      <c r="O9" s="101">
        <v>50</v>
      </c>
      <c r="P9" s="101">
        <v>279</v>
      </c>
      <c r="Q9" s="101">
        <v>853</v>
      </c>
      <c r="R9" s="101">
        <v>40974.780000000006</v>
      </c>
      <c r="S9" s="101">
        <v>13167.068000000001</v>
      </c>
      <c r="T9" s="133">
        <v>1.02</v>
      </c>
      <c r="U9" s="101">
        <f t="shared" si="1"/>
        <v>51</v>
      </c>
      <c r="V9" s="101">
        <f t="shared" si="2"/>
        <v>284.58</v>
      </c>
      <c r="W9" s="101">
        <f t="shared" si="3"/>
        <v>870.06000000000006</v>
      </c>
      <c r="X9" s="101">
        <f t="shared" si="4"/>
        <v>41794.275600000008</v>
      </c>
      <c r="Y9" s="101">
        <f t="shared" si="5"/>
        <v>13430.409360000001</v>
      </c>
      <c r="Z9" s="101"/>
      <c r="AA9" s="101">
        <v>27</v>
      </c>
      <c r="AB9" s="101">
        <v>167</v>
      </c>
      <c r="AC9" s="101">
        <v>860</v>
      </c>
      <c r="AD9" s="101">
        <v>20755</v>
      </c>
      <c r="AE9" s="101">
        <v>7418</v>
      </c>
      <c r="AF9" s="225"/>
      <c r="AG9" s="148"/>
      <c r="AH9" s="101">
        <v>30001</v>
      </c>
      <c r="AI9" s="101">
        <f t="shared" ref="AI9:AI84" si="6">(AH9/100)*80</f>
        <v>24000.799999999999</v>
      </c>
      <c r="AJ9" s="101">
        <f t="shared" ref="AJ9:AJ84" si="7">(AH9/100)*120</f>
        <v>36001.199999999997</v>
      </c>
    </row>
    <row r="10" spans="1:36" ht="11.25" hidden="1" customHeight="1" x14ac:dyDescent="0.3">
      <c r="A10" s="126" t="s">
        <v>171</v>
      </c>
      <c r="B10" s="126">
        <v>1</v>
      </c>
      <c r="C10" s="126">
        <v>32</v>
      </c>
      <c r="D10" s="126" t="str">
        <f t="shared" si="0"/>
        <v>132</v>
      </c>
      <c r="E10" s="101">
        <v>195</v>
      </c>
      <c r="F10" s="101">
        <v>1814</v>
      </c>
      <c r="G10" s="101">
        <v>60379</v>
      </c>
      <c r="H10" s="101">
        <v>789149.03</v>
      </c>
      <c r="I10" s="101">
        <v>339420.88699999999</v>
      </c>
      <c r="J10" s="101">
        <v>134</v>
      </c>
      <c r="K10" s="101">
        <v>1119</v>
      </c>
      <c r="L10" s="101">
        <v>35345</v>
      </c>
      <c r="M10" s="101">
        <v>202886</v>
      </c>
      <c r="N10" s="101">
        <v>102234</v>
      </c>
      <c r="O10" s="101">
        <v>115</v>
      </c>
      <c r="P10" s="101">
        <v>1356</v>
      </c>
      <c r="Q10" s="101">
        <v>24627</v>
      </c>
      <c r="R10" s="101">
        <v>145537.92000000001</v>
      </c>
      <c r="S10" s="101">
        <v>69547.447000000015</v>
      </c>
      <c r="T10" s="133">
        <v>1.02</v>
      </c>
      <c r="U10" s="101">
        <f t="shared" si="1"/>
        <v>117.3</v>
      </c>
      <c r="V10" s="101">
        <f t="shared" si="2"/>
        <v>1383.1200000000001</v>
      </c>
      <c r="W10" s="101">
        <f t="shared" si="3"/>
        <v>25119.54</v>
      </c>
      <c r="X10" s="101">
        <f t="shared" si="4"/>
        <v>148448.6784</v>
      </c>
      <c r="Y10" s="101">
        <f t="shared" si="5"/>
        <v>70938.395940000017</v>
      </c>
      <c r="AA10" s="101">
        <v>80</v>
      </c>
      <c r="AB10" s="101">
        <v>1228</v>
      </c>
      <c r="AC10" s="101">
        <v>21320</v>
      </c>
      <c r="AD10" s="101">
        <v>174668</v>
      </c>
      <c r="AE10" s="101">
        <v>59173</v>
      </c>
      <c r="AF10" s="225"/>
      <c r="AG10" s="148"/>
      <c r="AH10" s="101">
        <v>30002</v>
      </c>
      <c r="AI10" s="101">
        <f t="shared" si="6"/>
        <v>24001.599999999999</v>
      </c>
      <c r="AJ10" s="101">
        <f t="shared" si="7"/>
        <v>36002.399999999994</v>
      </c>
    </row>
    <row r="11" spans="1:36" ht="11.25" hidden="1" customHeight="1" x14ac:dyDescent="0.3">
      <c r="A11" s="126" t="s">
        <v>171</v>
      </c>
      <c r="B11" s="126">
        <v>1</v>
      </c>
      <c r="C11" s="126">
        <v>21</v>
      </c>
      <c r="D11" s="126" t="str">
        <f t="shared" si="0"/>
        <v>121</v>
      </c>
      <c r="E11" s="101">
        <v>892</v>
      </c>
      <c r="F11" s="101">
        <v>4915.5</v>
      </c>
      <c r="G11" s="101">
        <v>20916</v>
      </c>
      <c r="H11" s="101">
        <v>354441.55000000005</v>
      </c>
      <c r="I11" s="101">
        <v>105852.73800000001</v>
      </c>
      <c r="J11" s="101">
        <v>651</v>
      </c>
      <c r="K11" s="101">
        <v>3484</v>
      </c>
      <c r="L11" s="101">
        <v>19706</v>
      </c>
      <c r="M11" s="101">
        <v>297556</v>
      </c>
      <c r="N11" s="101">
        <v>87920</v>
      </c>
      <c r="O11" s="101">
        <v>284</v>
      </c>
      <c r="P11" s="101">
        <v>3809</v>
      </c>
      <c r="Q11" s="101">
        <v>12336</v>
      </c>
      <c r="R11" s="101">
        <v>251525.21</v>
      </c>
      <c r="S11" s="101">
        <v>64723.387000000002</v>
      </c>
      <c r="T11" s="133">
        <v>1.02</v>
      </c>
      <c r="U11" s="101">
        <f t="shared" si="1"/>
        <v>289.68</v>
      </c>
      <c r="V11" s="101">
        <f t="shared" si="2"/>
        <v>3885.1800000000003</v>
      </c>
      <c r="W11" s="101">
        <f t="shared" si="3"/>
        <v>12582.72</v>
      </c>
      <c r="X11" s="101">
        <f t="shared" si="4"/>
        <v>256555.71419999999</v>
      </c>
      <c r="Y11" s="101">
        <f t="shared" si="5"/>
        <v>66017.85474000001</v>
      </c>
      <c r="AA11" s="101">
        <v>55</v>
      </c>
      <c r="AB11" s="101">
        <v>135</v>
      </c>
      <c r="AC11" s="101">
        <v>939</v>
      </c>
      <c r="AD11" s="101">
        <v>7101</v>
      </c>
      <c r="AE11" s="101">
        <v>2060</v>
      </c>
      <c r="AF11" s="225"/>
      <c r="AG11" s="148"/>
      <c r="AH11" s="101">
        <v>30003</v>
      </c>
      <c r="AI11" s="101">
        <f t="shared" si="6"/>
        <v>24002.399999999998</v>
      </c>
      <c r="AJ11" s="101">
        <f t="shared" si="7"/>
        <v>36003.599999999999</v>
      </c>
    </row>
    <row r="12" spans="1:36" ht="11.25" hidden="1" customHeight="1" x14ac:dyDescent="0.3">
      <c r="A12" s="126" t="s">
        <v>171</v>
      </c>
      <c r="B12" s="126">
        <v>1</v>
      </c>
      <c r="C12" s="126">
        <v>30</v>
      </c>
      <c r="D12" s="126" t="str">
        <f t="shared" si="0"/>
        <v>130</v>
      </c>
      <c r="E12" s="101">
        <v>271</v>
      </c>
      <c r="F12" s="101">
        <v>4693</v>
      </c>
      <c r="G12" s="101">
        <v>20291</v>
      </c>
      <c r="H12" s="101">
        <v>478684.06499999994</v>
      </c>
      <c r="I12" s="101">
        <v>198370.89649999997</v>
      </c>
      <c r="J12" s="101">
        <v>502</v>
      </c>
      <c r="K12" s="101">
        <v>7401</v>
      </c>
      <c r="L12" s="101">
        <v>21783</v>
      </c>
      <c r="M12" s="101">
        <v>374514</v>
      </c>
      <c r="N12" s="101">
        <v>100877</v>
      </c>
      <c r="O12" s="101">
        <v>193</v>
      </c>
      <c r="P12" s="101">
        <v>6810</v>
      </c>
      <c r="Q12" s="101">
        <v>19242</v>
      </c>
      <c r="R12" s="101">
        <v>347227.16999999993</v>
      </c>
      <c r="S12" s="101">
        <v>96528.051999999996</v>
      </c>
      <c r="T12" s="133">
        <v>1.02</v>
      </c>
      <c r="U12" s="101">
        <f t="shared" si="1"/>
        <v>196.86</v>
      </c>
      <c r="V12" s="101">
        <f t="shared" si="2"/>
        <v>6946.2</v>
      </c>
      <c r="W12" s="101">
        <f t="shared" si="3"/>
        <v>19626.84</v>
      </c>
      <c r="X12" s="101">
        <f t="shared" si="4"/>
        <v>354171.71339999995</v>
      </c>
      <c r="Y12" s="101">
        <f t="shared" si="5"/>
        <v>98458.613039999997</v>
      </c>
      <c r="AA12" s="101">
        <v>402</v>
      </c>
      <c r="AB12" s="101">
        <v>9155</v>
      </c>
      <c r="AC12" s="101">
        <v>33461</v>
      </c>
      <c r="AD12" s="101">
        <v>698412</v>
      </c>
      <c r="AE12" s="101">
        <v>203997</v>
      </c>
      <c r="AF12" s="225"/>
      <c r="AG12" s="148"/>
      <c r="AH12" s="101">
        <v>30004</v>
      </c>
      <c r="AI12" s="101">
        <f t="shared" si="6"/>
        <v>24003.200000000001</v>
      </c>
      <c r="AJ12" s="101">
        <f t="shared" si="7"/>
        <v>36004.800000000003</v>
      </c>
    </row>
    <row r="13" spans="1:36" s="135" customFormat="1" ht="11.25" hidden="1" customHeight="1" x14ac:dyDescent="0.3">
      <c r="A13" s="126" t="s">
        <v>171</v>
      </c>
      <c r="B13" s="126">
        <v>1</v>
      </c>
      <c r="C13" s="126">
        <v>46</v>
      </c>
      <c r="D13" s="126" t="str">
        <f t="shared" si="0"/>
        <v>146</v>
      </c>
      <c r="E13" s="134"/>
      <c r="F13" s="134">
        <v>0</v>
      </c>
      <c r="G13" s="134">
        <v>0</v>
      </c>
      <c r="H13" s="134"/>
      <c r="I13" s="134"/>
      <c r="J13" s="101">
        <v>55</v>
      </c>
      <c r="K13" s="101">
        <v>93</v>
      </c>
      <c r="L13" s="101">
        <v>295</v>
      </c>
      <c r="M13" s="101">
        <v>4624</v>
      </c>
      <c r="N13" s="101">
        <v>721</v>
      </c>
      <c r="O13" s="101">
        <v>7</v>
      </c>
      <c r="P13" s="101">
        <v>7</v>
      </c>
      <c r="Q13" s="101">
        <v>21</v>
      </c>
      <c r="R13" s="101">
        <v>915.88000000000011</v>
      </c>
      <c r="S13" s="101">
        <v>109.298</v>
      </c>
      <c r="T13" s="133">
        <v>1.02</v>
      </c>
      <c r="U13" s="101">
        <f t="shared" si="1"/>
        <v>7.1400000000000006</v>
      </c>
      <c r="V13" s="101">
        <f t="shared" si="2"/>
        <v>7.1400000000000006</v>
      </c>
      <c r="W13" s="101">
        <f t="shared" si="3"/>
        <v>21.42</v>
      </c>
      <c r="X13" s="101">
        <f t="shared" si="4"/>
        <v>934.19760000000008</v>
      </c>
      <c r="Y13" s="101">
        <f t="shared" si="5"/>
        <v>111.48396000000001</v>
      </c>
      <c r="Z13" s="101"/>
      <c r="AA13" s="101">
        <v>33</v>
      </c>
      <c r="AB13" s="101">
        <v>59</v>
      </c>
      <c r="AC13" s="101">
        <v>865</v>
      </c>
      <c r="AD13" s="101">
        <v>13717</v>
      </c>
      <c r="AE13" s="101">
        <v>3009</v>
      </c>
      <c r="AF13" s="225"/>
      <c r="AG13" s="148"/>
      <c r="AH13" s="101">
        <v>30005</v>
      </c>
      <c r="AI13" s="101">
        <f t="shared" si="6"/>
        <v>24004</v>
      </c>
      <c r="AJ13" s="101">
        <f t="shared" si="7"/>
        <v>36006</v>
      </c>
    </row>
    <row r="14" spans="1:36" s="135" customFormat="1" ht="11.25" hidden="1" customHeight="1" x14ac:dyDescent="0.3">
      <c r="A14" s="126" t="s">
        <v>171</v>
      </c>
      <c r="B14" s="126">
        <v>1</v>
      </c>
      <c r="C14" s="126">
        <v>66</v>
      </c>
      <c r="D14" s="126" t="str">
        <f t="shared" si="0"/>
        <v>166</v>
      </c>
      <c r="E14" s="134"/>
      <c r="F14" s="134">
        <v>0</v>
      </c>
      <c r="G14" s="134">
        <v>0</v>
      </c>
      <c r="H14" s="134"/>
      <c r="I14" s="134"/>
      <c r="J14" s="101">
        <v>3</v>
      </c>
      <c r="K14" s="101">
        <v>3</v>
      </c>
      <c r="L14" s="101">
        <v>54</v>
      </c>
      <c r="M14" s="101">
        <v>3367</v>
      </c>
      <c r="N14" s="101">
        <v>3214</v>
      </c>
      <c r="O14" s="101">
        <v>27</v>
      </c>
      <c r="P14" s="101">
        <v>47</v>
      </c>
      <c r="Q14" s="101">
        <v>2879</v>
      </c>
      <c r="R14" s="101">
        <v>55507.109999999993</v>
      </c>
      <c r="S14" s="101">
        <v>50268.251000000004</v>
      </c>
      <c r="T14" s="133">
        <v>1.02</v>
      </c>
      <c r="U14" s="101">
        <f t="shared" si="1"/>
        <v>27.54</v>
      </c>
      <c r="V14" s="101">
        <f t="shared" si="2"/>
        <v>47.94</v>
      </c>
      <c r="W14" s="101">
        <f t="shared" si="3"/>
        <v>2936.58</v>
      </c>
      <c r="X14" s="101">
        <f t="shared" si="4"/>
        <v>56617.252199999995</v>
      </c>
      <c r="Y14" s="101">
        <f t="shared" si="5"/>
        <v>51273.616020000001</v>
      </c>
      <c r="Z14" s="101"/>
      <c r="AA14" s="101">
        <v>13</v>
      </c>
      <c r="AB14" s="101">
        <v>19</v>
      </c>
      <c r="AC14" s="101">
        <v>760</v>
      </c>
      <c r="AD14" s="101">
        <v>12971</v>
      </c>
      <c r="AE14" s="101">
        <v>5237</v>
      </c>
      <c r="AF14" s="225"/>
      <c r="AG14" s="148"/>
      <c r="AH14" s="101">
        <v>30006</v>
      </c>
      <c r="AI14" s="101">
        <f t="shared" si="6"/>
        <v>24004.799999999999</v>
      </c>
      <c r="AJ14" s="101">
        <f t="shared" si="7"/>
        <v>36007.199999999997</v>
      </c>
    </row>
    <row r="15" spans="1:36" ht="11.25" hidden="1" customHeight="1" x14ac:dyDescent="0.3">
      <c r="A15" s="126" t="s">
        <v>171</v>
      </c>
      <c r="B15" s="126">
        <v>1</v>
      </c>
      <c r="C15" s="126">
        <v>71</v>
      </c>
      <c r="D15" s="126" t="str">
        <f t="shared" si="0"/>
        <v>171</v>
      </c>
      <c r="E15" s="101">
        <v>684</v>
      </c>
      <c r="F15" s="101">
        <v>5722.5</v>
      </c>
      <c r="G15" s="101">
        <v>14181.5</v>
      </c>
      <c r="H15" s="101">
        <v>83757.39499999999</v>
      </c>
      <c r="I15" s="101">
        <v>38684.986999999994</v>
      </c>
      <c r="J15" s="101">
        <v>513</v>
      </c>
      <c r="K15" s="101">
        <v>6911</v>
      </c>
      <c r="L15" s="101">
        <v>21421</v>
      </c>
      <c r="M15" s="101">
        <v>191217</v>
      </c>
      <c r="N15" s="101">
        <v>108194</v>
      </c>
      <c r="O15" s="101">
        <v>463</v>
      </c>
      <c r="P15" s="101">
        <v>11525</v>
      </c>
      <c r="Q15" s="101">
        <v>29402</v>
      </c>
      <c r="R15" s="101">
        <v>254960.25000000003</v>
      </c>
      <c r="S15" s="101">
        <v>132320.60900000003</v>
      </c>
      <c r="T15" s="133">
        <v>0.98</v>
      </c>
      <c r="U15" s="101">
        <f t="shared" si="1"/>
        <v>453.74</v>
      </c>
      <c r="V15" s="101">
        <f t="shared" si="2"/>
        <v>11294.5</v>
      </c>
      <c r="W15" s="101">
        <f t="shared" si="3"/>
        <v>28813.96</v>
      </c>
      <c r="X15" s="101">
        <f t="shared" si="4"/>
        <v>249861.04500000001</v>
      </c>
      <c r="Y15" s="101">
        <f t="shared" si="5"/>
        <v>129674.19682000003</v>
      </c>
      <c r="AA15" s="101">
        <v>167</v>
      </c>
      <c r="AB15" s="101">
        <v>18102</v>
      </c>
      <c r="AC15" s="101">
        <v>50921</v>
      </c>
      <c r="AD15" s="101">
        <v>364694</v>
      </c>
      <c r="AE15" s="101">
        <v>177816</v>
      </c>
      <c r="AF15" s="225"/>
      <c r="AG15" s="148"/>
      <c r="AH15" s="101">
        <v>30007</v>
      </c>
      <c r="AI15" s="101">
        <f t="shared" si="6"/>
        <v>24005.599999999999</v>
      </c>
      <c r="AJ15" s="101">
        <f t="shared" si="7"/>
        <v>36008.400000000001</v>
      </c>
    </row>
    <row r="16" spans="1:36" s="135" customFormat="1" ht="11.25" customHeight="1" x14ac:dyDescent="0.3">
      <c r="A16" s="126" t="s">
        <v>171</v>
      </c>
      <c r="B16" s="126">
        <v>1</v>
      </c>
      <c r="C16" s="126">
        <v>91</v>
      </c>
      <c r="D16" s="126" t="str">
        <f t="shared" si="0"/>
        <v>191</v>
      </c>
      <c r="E16" s="134"/>
      <c r="F16" s="134">
        <v>0</v>
      </c>
      <c r="G16" s="134">
        <v>0</v>
      </c>
      <c r="H16" s="134"/>
      <c r="I16" s="134"/>
      <c r="J16" s="101">
        <v>5</v>
      </c>
      <c r="K16" s="101">
        <v>8</v>
      </c>
      <c r="L16" s="101">
        <v>221</v>
      </c>
      <c r="M16" s="101">
        <v>537</v>
      </c>
      <c r="N16" s="101">
        <v>117</v>
      </c>
      <c r="O16" s="101">
        <v>5</v>
      </c>
      <c r="P16" s="101">
        <v>7</v>
      </c>
      <c r="Q16" s="101">
        <v>30</v>
      </c>
      <c r="R16" s="101">
        <v>88.84</v>
      </c>
      <c r="S16" s="101">
        <v>90.66</v>
      </c>
      <c r="T16" s="133">
        <v>1.02</v>
      </c>
      <c r="U16" s="101">
        <f t="shared" si="1"/>
        <v>5.0999999999999996</v>
      </c>
      <c r="V16" s="101">
        <f t="shared" si="2"/>
        <v>7.1400000000000006</v>
      </c>
      <c r="W16" s="101">
        <f t="shared" si="3"/>
        <v>30.6</v>
      </c>
      <c r="X16" s="101">
        <f t="shared" si="4"/>
        <v>90.616800000000012</v>
      </c>
      <c r="Y16" s="101">
        <f t="shared" si="5"/>
        <v>92.473199999999991</v>
      </c>
      <c r="Z16" s="101"/>
      <c r="AA16" s="101">
        <v>3</v>
      </c>
      <c r="AB16" s="101">
        <v>4</v>
      </c>
      <c r="AC16" s="101">
        <v>13</v>
      </c>
      <c r="AD16" s="101">
        <v>257</v>
      </c>
      <c r="AE16" s="101">
        <v>798</v>
      </c>
      <c r="AF16" s="225"/>
      <c r="AG16" s="148"/>
      <c r="AH16" s="101">
        <v>30008</v>
      </c>
      <c r="AI16" s="101">
        <f t="shared" si="6"/>
        <v>24006.399999999998</v>
      </c>
      <c r="AJ16" s="101">
        <f t="shared" si="7"/>
        <v>36009.599999999999</v>
      </c>
    </row>
    <row r="17" spans="1:36" s="135" customFormat="1" ht="11.25" hidden="1" customHeight="1" x14ac:dyDescent="0.3">
      <c r="A17" s="126" t="s">
        <v>171</v>
      </c>
      <c r="B17" s="126">
        <v>1</v>
      </c>
      <c r="C17" s="126">
        <v>12</v>
      </c>
      <c r="D17" s="126" t="str">
        <f t="shared" si="0"/>
        <v>112</v>
      </c>
      <c r="E17" s="134"/>
      <c r="F17" s="134"/>
      <c r="G17" s="134"/>
      <c r="H17" s="134"/>
      <c r="I17" s="134"/>
      <c r="J17" s="101"/>
      <c r="K17" s="101"/>
      <c r="L17" s="101"/>
      <c r="M17" s="101"/>
      <c r="N17" s="101"/>
      <c r="O17" s="101">
        <v>1</v>
      </c>
      <c r="P17" s="101">
        <v>1</v>
      </c>
      <c r="Q17" s="101">
        <v>1</v>
      </c>
      <c r="R17" s="101">
        <v>13.2</v>
      </c>
      <c r="S17" s="101">
        <v>2.8570000000000002</v>
      </c>
      <c r="T17" s="133">
        <v>1.02</v>
      </c>
      <c r="U17" s="101">
        <f t="shared" si="1"/>
        <v>1.02</v>
      </c>
      <c r="V17" s="101">
        <f t="shared" si="2"/>
        <v>1.02</v>
      </c>
      <c r="W17" s="101">
        <f t="shared" si="3"/>
        <v>1.02</v>
      </c>
      <c r="X17" s="101">
        <f t="shared" si="4"/>
        <v>13.463999999999999</v>
      </c>
      <c r="Y17" s="101">
        <f t="shared" si="5"/>
        <v>2.9141400000000002</v>
      </c>
      <c r="Z17" s="101"/>
      <c r="AA17" s="101">
        <v>1</v>
      </c>
      <c r="AB17" s="101">
        <v>1</v>
      </c>
      <c r="AC17" s="101">
        <v>1</v>
      </c>
      <c r="AD17" s="101">
        <v>0</v>
      </c>
      <c r="AE17" s="101">
        <v>19</v>
      </c>
      <c r="AF17" s="225"/>
      <c r="AG17" s="148"/>
      <c r="AH17" s="101"/>
      <c r="AI17" s="101"/>
      <c r="AJ17" s="101"/>
    </row>
    <row r="18" spans="1:36" s="135" customFormat="1" ht="11.25" hidden="1" customHeight="1" x14ac:dyDescent="0.3">
      <c r="A18" s="126" t="s">
        <v>171</v>
      </c>
      <c r="B18" s="126">
        <v>1</v>
      </c>
      <c r="C18" s="126">
        <v>41</v>
      </c>
      <c r="D18" s="126" t="str">
        <f t="shared" si="0"/>
        <v>141</v>
      </c>
      <c r="E18" s="134"/>
      <c r="F18" s="134"/>
      <c r="G18" s="134"/>
      <c r="H18" s="134"/>
      <c r="I18" s="134"/>
      <c r="J18" s="101"/>
      <c r="K18" s="101"/>
      <c r="L18" s="101"/>
      <c r="M18" s="101"/>
      <c r="N18" s="101"/>
      <c r="O18" s="101">
        <v>9</v>
      </c>
      <c r="P18" s="101">
        <v>11</v>
      </c>
      <c r="Q18" s="101">
        <v>94</v>
      </c>
      <c r="R18" s="101">
        <v>1092.6600000000001</v>
      </c>
      <c r="S18" s="101">
        <v>305.86</v>
      </c>
      <c r="T18" s="133">
        <v>1.02</v>
      </c>
      <c r="U18" s="101">
        <f t="shared" si="1"/>
        <v>9.18</v>
      </c>
      <c r="V18" s="101">
        <f t="shared" si="2"/>
        <v>11.22</v>
      </c>
      <c r="W18" s="101">
        <f t="shared" si="3"/>
        <v>95.88</v>
      </c>
      <c r="X18" s="101">
        <f t="shared" si="4"/>
        <v>1114.5132000000001</v>
      </c>
      <c r="Y18" s="101">
        <f t="shared" si="5"/>
        <v>311.97720000000004</v>
      </c>
      <c r="Z18" s="101"/>
      <c r="AA18" s="101">
        <v>0</v>
      </c>
      <c r="AB18" s="101">
        <v>0</v>
      </c>
      <c r="AC18" s="101">
        <v>0</v>
      </c>
      <c r="AD18" s="101">
        <v>0</v>
      </c>
      <c r="AE18" s="101">
        <v>0</v>
      </c>
      <c r="AF18" s="225"/>
      <c r="AG18" s="148"/>
      <c r="AH18" s="101"/>
      <c r="AI18" s="101"/>
      <c r="AJ18" s="101"/>
    </row>
    <row r="19" spans="1:36" s="135" customFormat="1" ht="11.25" hidden="1" customHeight="1" x14ac:dyDescent="0.3">
      <c r="A19" s="126" t="s">
        <v>171</v>
      </c>
      <c r="B19" s="126">
        <v>1</v>
      </c>
      <c r="C19" s="126">
        <v>1</v>
      </c>
      <c r="D19" s="126" t="str">
        <f t="shared" si="0"/>
        <v>11</v>
      </c>
      <c r="E19" s="134"/>
      <c r="F19" s="134"/>
      <c r="G19" s="134"/>
      <c r="H19" s="134"/>
      <c r="I19" s="134"/>
      <c r="J19" s="101">
        <v>171</v>
      </c>
      <c r="K19" s="101">
        <v>171</v>
      </c>
      <c r="L19" s="101">
        <v>80046</v>
      </c>
      <c r="M19" s="101"/>
      <c r="N19" s="101">
        <v>224328</v>
      </c>
      <c r="O19" s="101">
        <v>63</v>
      </c>
      <c r="P19" s="101">
        <v>63</v>
      </c>
      <c r="Q19" s="101">
        <v>23976</v>
      </c>
      <c r="R19" s="101"/>
      <c r="S19" s="101">
        <v>109354.124</v>
      </c>
      <c r="T19" s="133">
        <v>1.02</v>
      </c>
      <c r="U19" s="101">
        <f t="shared" si="1"/>
        <v>64.260000000000005</v>
      </c>
      <c r="V19" s="101">
        <f t="shared" si="2"/>
        <v>64.260000000000005</v>
      </c>
      <c r="W19" s="101">
        <f t="shared" si="3"/>
        <v>24455.52</v>
      </c>
      <c r="X19" s="101">
        <f t="shared" si="4"/>
        <v>0</v>
      </c>
      <c r="Y19" s="101">
        <f t="shared" si="5"/>
        <v>111541.20647999999</v>
      </c>
      <c r="Z19" s="101"/>
      <c r="AA19" s="101">
        <v>84</v>
      </c>
      <c r="AB19" s="101">
        <v>84</v>
      </c>
      <c r="AC19" s="101">
        <v>16611</v>
      </c>
      <c r="AD19" s="101"/>
      <c r="AE19" s="101">
        <v>69686</v>
      </c>
      <c r="AF19" s="225"/>
      <c r="AG19" s="148"/>
      <c r="AH19" s="101"/>
      <c r="AI19" s="101"/>
      <c r="AJ19" s="101"/>
    </row>
    <row r="20" spans="1:36" ht="12" hidden="1" customHeight="1" x14ac:dyDescent="0.3">
      <c r="A20" s="126" t="s">
        <v>171</v>
      </c>
      <c r="B20" s="126">
        <v>1</v>
      </c>
      <c r="C20" s="126">
        <v>37</v>
      </c>
      <c r="D20" s="126" t="str">
        <f t="shared" si="0"/>
        <v>137</v>
      </c>
      <c r="E20" s="101">
        <v>6</v>
      </c>
      <c r="F20" s="101">
        <v>0</v>
      </c>
      <c r="G20" s="101">
        <v>0</v>
      </c>
      <c r="H20" s="101">
        <v>9562.74</v>
      </c>
      <c r="I20" s="101">
        <v>6574.5079999999998</v>
      </c>
      <c r="J20" s="101">
        <v>5</v>
      </c>
      <c r="K20" s="101">
        <v>30</v>
      </c>
      <c r="L20" s="101">
        <v>42590</v>
      </c>
      <c r="M20" s="101">
        <v>23219</v>
      </c>
      <c r="N20" s="101">
        <v>19687</v>
      </c>
      <c r="O20" s="101">
        <v>9</v>
      </c>
      <c r="P20" s="101">
        <v>38</v>
      </c>
      <c r="Q20" s="101">
        <v>85666</v>
      </c>
      <c r="R20" s="101">
        <v>38768.490000000005</v>
      </c>
      <c r="S20" s="101">
        <v>32464.053</v>
      </c>
      <c r="T20" s="133">
        <v>1.02</v>
      </c>
      <c r="U20" s="101">
        <f t="shared" si="1"/>
        <v>9.18</v>
      </c>
      <c r="V20" s="101">
        <f t="shared" si="2"/>
        <v>38.76</v>
      </c>
      <c r="W20" s="101">
        <f t="shared" si="3"/>
        <v>87379.32</v>
      </c>
      <c r="X20" s="101">
        <f t="shared" si="4"/>
        <v>39543.859800000006</v>
      </c>
      <c r="Y20" s="101">
        <f t="shared" si="5"/>
        <v>33113.334060000001</v>
      </c>
      <c r="AA20" s="101">
        <v>2</v>
      </c>
      <c r="AB20" s="101">
        <v>6</v>
      </c>
      <c r="AC20" s="101">
        <v>7050</v>
      </c>
      <c r="AD20" s="101">
        <v>8594</v>
      </c>
      <c r="AE20" s="101">
        <v>4105</v>
      </c>
      <c r="AF20" s="225"/>
      <c r="AG20" s="148"/>
      <c r="AH20" s="101">
        <v>30009</v>
      </c>
      <c r="AI20" s="101">
        <f t="shared" si="6"/>
        <v>24007.199999999997</v>
      </c>
      <c r="AJ20" s="101">
        <f t="shared" si="7"/>
        <v>36010.799999999996</v>
      </c>
    </row>
    <row r="21" spans="1:36" ht="11.25" hidden="1" customHeight="1" x14ac:dyDescent="0.3">
      <c r="A21" s="126" t="s">
        <v>171</v>
      </c>
      <c r="B21" s="126">
        <v>2</v>
      </c>
      <c r="C21" s="126">
        <v>22</v>
      </c>
      <c r="D21" s="126" t="str">
        <f t="shared" si="0"/>
        <v>222</v>
      </c>
      <c r="E21" s="101">
        <v>590</v>
      </c>
      <c r="F21" s="101">
        <v>7567</v>
      </c>
      <c r="G21" s="101">
        <v>66615</v>
      </c>
      <c r="H21" s="101">
        <v>188099.02000000002</v>
      </c>
      <c r="I21" s="101">
        <v>111080.853</v>
      </c>
      <c r="J21" s="101">
        <v>456</v>
      </c>
      <c r="K21" s="101">
        <v>3520</v>
      </c>
      <c r="L21" s="101">
        <v>41234</v>
      </c>
      <c r="M21" s="101">
        <v>180391</v>
      </c>
      <c r="N21" s="101">
        <v>134668</v>
      </c>
      <c r="O21" s="101">
        <v>722</v>
      </c>
      <c r="P21" s="101">
        <v>4058</v>
      </c>
      <c r="Q21" s="101">
        <v>26109</v>
      </c>
      <c r="R21" s="101">
        <v>160857.46</v>
      </c>
      <c r="S21" s="101">
        <v>98556.911000000007</v>
      </c>
      <c r="T21" s="133">
        <v>1.02</v>
      </c>
      <c r="U21" s="101">
        <f t="shared" si="1"/>
        <v>736.44</v>
      </c>
      <c r="V21" s="101">
        <f t="shared" si="2"/>
        <v>4139.16</v>
      </c>
      <c r="W21" s="101">
        <f t="shared" si="3"/>
        <v>26631.18</v>
      </c>
      <c r="X21" s="101">
        <f t="shared" si="4"/>
        <v>164074.60920000001</v>
      </c>
      <c r="Y21" s="101">
        <f t="shared" si="5"/>
        <v>100528.04922000002</v>
      </c>
      <c r="AA21" s="101">
        <v>469</v>
      </c>
      <c r="AB21" s="101">
        <v>3715</v>
      </c>
      <c r="AC21" s="101">
        <v>25330</v>
      </c>
      <c r="AD21" s="101">
        <v>104177.71</v>
      </c>
      <c r="AE21" s="101">
        <v>73533.846999999994</v>
      </c>
      <c r="AF21" s="225">
        <f>SUM(AB21:AB36)</f>
        <v>32684</v>
      </c>
      <c r="AG21" s="148"/>
      <c r="AH21" s="101">
        <v>30010</v>
      </c>
      <c r="AI21" s="101">
        <f t="shared" si="6"/>
        <v>24008</v>
      </c>
      <c r="AJ21" s="101">
        <f t="shared" si="7"/>
        <v>36012</v>
      </c>
    </row>
    <row r="22" spans="1:36" s="135" customFormat="1" ht="12" hidden="1" customHeight="1" x14ac:dyDescent="0.3">
      <c r="A22" s="126" t="s">
        <v>171</v>
      </c>
      <c r="B22" s="126">
        <v>2</v>
      </c>
      <c r="C22" s="126">
        <v>12</v>
      </c>
      <c r="D22" s="126" t="str">
        <f t="shared" si="0"/>
        <v>212</v>
      </c>
      <c r="E22" s="134"/>
      <c r="F22" s="134">
        <v>0</v>
      </c>
      <c r="G22" s="134">
        <v>0</v>
      </c>
      <c r="H22" s="134"/>
      <c r="I22" s="134"/>
      <c r="J22" s="101">
        <v>5</v>
      </c>
      <c r="K22" s="101">
        <v>5</v>
      </c>
      <c r="L22" s="101">
        <v>5</v>
      </c>
      <c r="M22" s="101">
        <v>258</v>
      </c>
      <c r="N22" s="101">
        <v>126</v>
      </c>
      <c r="O22" s="101">
        <v>4</v>
      </c>
      <c r="P22" s="101">
        <v>4</v>
      </c>
      <c r="Q22" s="101">
        <v>10</v>
      </c>
      <c r="R22" s="101">
        <v>17.22</v>
      </c>
      <c r="S22" s="101">
        <v>24.629000000000001</v>
      </c>
      <c r="T22" s="133">
        <v>1.02</v>
      </c>
      <c r="U22" s="101">
        <f t="shared" si="1"/>
        <v>4.08</v>
      </c>
      <c r="V22" s="101">
        <f t="shared" si="2"/>
        <v>4.08</v>
      </c>
      <c r="W22" s="101">
        <f t="shared" si="3"/>
        <v>10.199999999999999</v>
      </c>
      <c r="X22" s="101">
        <f t="shared" si="4"/>
        <v>17.564399999999999</v>
      </c>
      <c r="Y22" s="101">
        <f t="shared" si="5"/>
        <v>25.121580000000002</v>
      </c>
      <c r="Z22" s="101"/>
      <c r="AA22" s="101">
        <v>1</v>
      </c>
      <c r="AB22" s="101">
        <v>1</v>
      </c>
      <c r="AC22" s="101">
        <v>1</v>
      </c>
      <c r="AD22" s="101">
        <v>0</v>
      </c>
      <c r="AE22" s="101">
        <v>7.1550000000000002</v>
      </c>
      <c r="AF22" s="225"/>
      <c r="AG22" s="148"/>
      <c r="AH22" s="101">
        <v>30011</v>
      </c>
      <c r="AI22" s="101">
        <f t="shared" si="6"/>
        <v>24008.800000000003</v>
      </c>
      <c r="AJ22" s="101">
        <f t="shared" si="7"/>
        <v>36013.200000000004</v>
      </c>
    </row>
    <row r="23" spans="1:36" hidden="1" x14ac:dyDescent="0.3">
      <c r="A23" s="126" t="s">
        <v>171</v>
      </c>
      <c r="B23" s="126">
        <v>2</v>
      </c>
      <c r="C23" s="126">
        <v>25</v>
      </c>
      <c r="D23" s="126" t="str">
        <f t="shared" si="0"/>
        <v>225</v>
      </c>
      <c r="E23" s="101">
        <v>437</v>
      </c>
      <c r="F23" s="101">
        <v>3057</v>
      </c>
      <c r="G23" s="101">
        <v>70708</v>
      </c>
      <c r="H23" s="101">
        <v>836512.29999999993</v>
      </c>
      <c r="I23" s="101">
        <v>345491.78600000002</v>
      </c>
      <c r="J23" s="101">
        <v>318</v>
      </c>
      <c r="K23" s="101">
        <v>2829</v>
      </c>
      <c r="L23" s="101">
        <v>55079</v>
      </c>
      <c r="M23" s="101">
        <v>977990</v>
      </c>
      <c r="N23" s="101">
        <v>464636</v>
      </c>
      <c r="O23" s="101">
        <v>235</v>
      </c>
      <c r="P23" s="101">
        <v>2255</v>
      </c>
      <c r="Q23" s="101">
        <v>84853</v>
      </c>
      <c r="R23" s="101">
        <v>1154677.8400000001</v>
      </c>
      <c r="S23" s="101">
        <v>412792.27100000001</v>
      </c>
      <c r="T23" s="133">
        <v>1.02</v>
      </c>
      <c r="U23" s="101">
        <f t="shared" si="1"/>
        <v>239.70000000000002</v>
      </c>
      <c r="V23" s="101">
        <f t="shared" si="2"/>
        <v>2300.1</v>
      </c>
      <c r="W23" s="101">
        <f t="shared" si="3"/>
        <v>86550.06</v>
      </c>
      <c r="X23" s="101">
        <f t="shared" si="4"/>
        <v>1177771.3968000002</v>
      </c>
      <c r="Y23" s="101">
        <f t="shared" si="5"/>
        <v>421048.11642000003</v>
      </c>
      <c r="AA23" s="101">
        <v>388</v>
      </c>
      <c r="AB23" s="101">
        <v>4289</v>
      </c>
      <c r="AC23" s="101">
        <v>60803</v>
      </c>
      <c r="AD23" s="101">
        <v>607476.57999999996</v>
      </c>
      <c r="AE23" s="101">
        <v>261471.01</v>
      </c>
      <c r="AF23" s="225"/>
      <c r="AG23" s="148"/>
      <c r="AH23" s="101">
        <v>30012</v>
      </c>
      <c r="AI23" s="101">
        <f t="shared" si="6"/>
        <v>24009.599999999999</v>
      </c>
      <c r="AJ23" s="101">
        <f t="shared" si="7"/>
        <v>36014.400000000001</v>
      </c>
    </row>
    <row r="24" spans="1:36" ht="11.25" hidden="1" customHeight="1" x14ac:dyDescent="0.3">
      <c r="A24" s="126" t="s">
        <v>171</v>
      </c>
      <c r="B24" s="126">
        <v>2</v>
      </c>
      <c r="C24" s="126">
        <v>27</v>
      </c>
      <c r="D24" s="126" t="str">
        <f t="shared" si="0"/>
        <v>227</v>
      </c>
      <c r="E24" s="101">
        <v>20</v>
      </c>
      <c r="F24" s="101">
        <v>617</v>
      </c>
      <c r="G24" s="101">
        <v>7503</v>
      </c>
      <c r="H24" s="101">
        <v>81986.53</v>
      </c>
      <c r="I24" s="101">
        <v>32005.995999999999</v>
      </c>
      <c r="J24" s="101">
        <v>20</v>
      </c>
      <c r="K24" s="101">
        <v>388</v>
      </c>
      <c r="L24" s="101">
        <v>1614</v>
      </c>
      <c r="M24" s="101">
        <v>19419</v>
      </c>
      <c r="N24" s="101">
        <v>7299</v>
      </c>
      <c r="O24" s="101">
        <v>20</v>
      </c>
      <c r="P24" s="101">
        <v>94</v>
      </c>
      <c r="Q24" s="101">
        <v>809</v>
      </c>
      <c r="R24" s="101">
        <v>15081.169999999998</v>
      </c>
      <c r="S24" s="101">
        <v>9869.0059999999994</v>
      </c>
      <c r="T24" s="133">
        <v>1.02</v>
      </c>
      <c r="U24" s="101">
        <f t="shared" si="1"/>
        <v>20.399999999999999</v>
      </c>
      <c r="V24" s="101">
        <f t="shared" si="2"/>
        <v>95.88</v>
      </c>
      <c r="W24" s="101">
        <f t="shared" si="3"/>
        <v>825.18000000000006</v>
      </c>
      <c r="X24" s="101">
        <f t="shared" si="4"/>
        <v>15382.793399999999</v>
      </c>
      <c r="Y24" s="101">
        <f t="shared" si="5"/>
        <v>10066.386119999999</v>
      </c>
      <c r="AA24" s="101">
        <v>13</v>
      </c>
      <c r="AB24" s="101">
        <v>55</v>
      </c>
      <c r="AC24" s="101">
        <v>802</v>
      </c>
      <c r="AD24" s="101">
        <v>9282.3799999999992</v>
      </c>
      <c r="AE24" s="101">
        <v>4123.8050000000003</v>
      </c>
      <c r="AF24" s="225"/>
      <c r="AG24" s="148"/>
      <c r="AH24" s="101">
        <v>30013</v>
      </c>
      <c r="AI24" s="101">
        <f t="shared" si="6"/>
        <v>24010.400000000001</v>
      </c>
      <c r="AJ24" s="101">
        <f t="shared" si="7"/>
        <v>36015.599999999999</v>
      </c>
    </row>
    <row r="25" spans="1:36" ht="11.25" hidden="1" customHeight="1" x14ac:dyDescent="0.3">
      <c r="A25" s="126" t="s">
        <v>171</v>
      </c>
      <c r="B25" s="126">
        <v>2</v>
      </c>
      <c r="C25" s="126">
        <v>26</v>
      </c>
      <c r="D25" s="126" t="str">
        <f t="shared" si="0"/>
        <v>226</v>
      </c>
      <c r="E25" s="101">
        <v>126</v>
      </c>
      <c r="F25" s="101">
        <v>2718</v>
      </c>
      <c r="G25" s="101">
        <v>44939</v>
      </c>
      <c r="H25" s="101">
        <v>511159.63</v>
      </c>
      <c r="I25" s="101">
        <v>263199.734</v>
      </c>
      <c r="J25" s="101">
        <v>91</v>
      </c>
      <c r="K25" s="101">
        <v>2572</v>
      </c>
      <c r="L25" s="101">
        <v>33225</v>
      </c>
      <c r="M25" s="101">
        <v>391498</v>
      </c>
      <c r="N25" s="101">
        <v>149351</v>
      </c>
      <c r="O25" s="101">
        <v>51</v>
      </c>
      <c r="P25" s="101">
        <v>2080</v>
      </c>
      <c r="Q25" s="101">
        <v>27174</v>
      </c>
      <c r="R25" s="101">
        <v>258540.45</v>
      </c>
      <c r="S25" s="101">
        <v>118145.883</v>
      </c>
      <c r="T25" s="133">
        <v>1.02</v>
      </c>
      <c r="U25" s="101">
        <f t="shared" si="1"/>
        <v>52.02</v>
      </c>
      <c r="V25" s="101">
        <f t="shared" si="2"/>
        <v>2121.6</v>
      </c>
      <c r="W25" s="101">
        <f t="shared" si="3"/>
        <v>27717.48</v>
      </c>
      <c r="X25" s="101">
        <f t="shared" si="4"/>
        <v>263711.25900000002</v>
      </c>
      <c r="Y25" s="101">
        <f t="shared" si="5"/>
        <v>120508.80066000001</v>
      </c>
      <c r="AA25" s="101">
        <v>11</v>
      </c>
      <c r="AB25" s="101">
        <v>470</v>
      </c>
      <c r="AC25" s="101">
        <v>4943</v>
      </c>
      <c r="AD25" s="101">
        <v>71031.63</v>
      </c>
      <c r="AE25" s="101">
        <v>25508.958999999999</v>
      </c>
      <c r="AF25" s="225"/>
      <c r="AG25" s="148"/>
      <c r="AH25" s="101">
        <v>30014</v>
      </c>
      <c r="AI25" s="101">
        <f t="shared" si="6"/>
        <v>24011.199999999997</v>
      </c>
      <c r="AJ25" s="101">
        <f t="shared" si="7"/>
        <v>36016.799999999996</v>
      </c>
    </row>
    <row r="26" spans="1:36" s="135" customFormat="1" ht="11.25" hidden="1" customHeight="1" x14ac:dyDescent="0.3">
      <c r="A26" s="126" t="s">
        <v>171</v>
      </c>
      <c r="B26" s="126">
        <v>2</v>
      </c>
      <c r="C26" s="126">
        <v>28</v>
      </c>
      <c r="D26" s="126" t="str">
        <f t="shared" si="0"/>
        <v>228</v>
      </c>
      <c r="E26" s="134"/>
      <c r="F26" s="134">
        <v>0</v>
      </c>
      <c r="G26" s="134">
        <v>0</v>
      </c>
      <c r="H26" s="134"/>
      <c r="I26" s="134"/>
      <c r="J26" s="101">
        <v>51</v>
      </c>
      <c r="K26" s="101">
        <v>140</v>
      </c>
      <c r="L26" s="101">
        <v>1333</v>
      </c>
      <c r="M26" s="101">
        <v>51333</v>
      </c>
      <c r="N26" s="101">
        <v>11394</v>
      </c>
      <c r="O26" s="101">
        <v>76</v>
      </c>
      <c r="P26" s="101">
        <v>774</v>
      </c>
      <c r="Q26" s="101">
        <v>3410</v>
      </c>
      <c r="R26" s="101">
        <v>97866.01999999999</v>
      </c>
      <c r="S26" s="101">
        <v>22190.274000000001</v>
      </c>
      <c r="T26" s="133">
        <v>1.02</v>
      </c>
      <c r="U26" s="101">
        <f t="shared" si="1"/>
        <v>77.52</v>
      </c>
      <c r="V26" s="101">
        <f t="shared" si="2"/>
        <v>789.48</v>
      </c>
      <c r="W26" s="101">
        <f t="shared" si="3"/>
        <v>3478.2000000000003</v>
      </c>
      <c r="X26" s="101">
        <f t="shared" si="4"/>
        <v>99823.340399999986</v>
      </c>
      <c r="Y26" s="101">
        <f t="shared" si="5"/>
        <v>22634.07948</v>
      </c>
      <c r="Z26" s="101"/>
      <c r="AA26" s="101">
        <v>52</v>
      </c>
      <c r="AB26" s="101">
        <v>213</v>
      </c>
      <c r="AC26" s="101">
        <v>1351</v>
      </c>
      <c r="AD26" s="101">
        <v>36506.49</v>
      </c>
      <c r="AE26" s="101">
        <v>13469.954</v>
      </c>
      <c r="AF26" s="225"/>
      <c r="AG26" s="148"/>
      <c r="AH26" s="101">
        <v>30015</v>
      </c>
      <c r="AI26" s="101">
        <f t="shared" si="6"/>
        <v>24012</v>
      </c>
      <c r="AJ26" s="101">
        <f t="shared" si="7"/>
        <v>36018</v>
      </c>
    </row>
    <row r="27" spans="1:36" hidden="1" x14ac:dyDescent="0.3">
      <c r="A27" s="126" t="s">
        <v>171</v>
      </c>
      <c r="B27" s="126">
        <v>2</v>
      </c>
      <c r="C27" s="126">
        <v>32</v>
      </c>
      <c r="D27" s="126" t="str">
        <f t="shared" si="0"/>
        <v>232</v>
      </c>
      <c r="E27" s="101">
        <v>926</v>
      </c>
      <c r="F27" s="101">
        <v>2498</v>
      </c>
      <c r="G27" s="101">
        <v>34246</v>
      </c>
      <c r="H27" s="101">
        <v>253362.18</v>
      </c>
      <c r="I27" s="101">
        <v>78021.279999999999</v>
      </c>
      <c r="J27" s="101">
        <v>577</v>
      </c>
      <c r="K27" s="101">
        <v>1306</v>
      </c>
      <c r="L27" s="101">
        <v>18688</v>
      </c>
      <c r="M27" s="101">
        <v>116691</v>
      </c>
      <c r="N27" s="101">
        <v>65546</v>
      </c>
      <c r="O27" s="101">
        <v>387</v>
      </c>
      <c r="P27" s="101">
        <v>1154</v>
      </c>
      <c r="Q27" s="101">
        <v>22038</v>
      </c>
      <c r="R27" s="101">
        <v>107777.67</v>
      </c>
      <c r="S27" s="101">
        <v>82390.98599999999</v>
      </c>
      <c r="T27" s="133">
        <v>1.02</v>
      </c>
      <c r="U27" s="101">
        <f t="shared" si="1"/>
        <v>394.74</v>
      </c>
      <c r="V27" s="101">
        <f t="shared" si="2"/>
        <v>1177.08</v>
      </c>
      <c r="W27" s="101">
        <f t="shared" si="3"/>
        <v>22478.760000000002</v>
      </c>
      <c r="X27" s="101">
        <f t="shared" si="4"/>
        <v>109933.2234</v>
      </c>
      <c r="Y27" s="101">
        <f t="shared" si="5"/>
        <v>84038.805719999989</v>
      </c>
      <c r="AA27" s="101">
        <v>316</v>
      </c>
      <c r="AB27" s="101">
        <v>1301</v>
      </c>
      <c r="AC27" s="101">
        <v>25151</v>
      </c>
      <c r="AD27" s="101">
        <v>109372.58</v>
      </c>
      <c r="AE27" s="101">
        <v>54596.438000000002</v>
      </c>
      <c r="AF27" s="225"/>
      <c r="AG27" s="148"/>
      <c r="AH27" s="101">
        <v>30016</v>
      </c>
      <c r="AI27" s="101">
        <f t="shared" si="6"/>
        <v>24012.800000000003</v>
      </c>
      <c r="AJ27" s="101">
        <f t="shared" si="7"/>
        <v>36019.200000000004</v>
      </c>
    </row>
    <row r="28" spans="1:36" hidden="1" x14ac:dyDescent="0.3">
      <c r="A28" s="126" t="s">
        <v>171</v>
      </c>
      <c r="B28" s="126">
        <v>2</v>
      </c>
      <c r="C28" s="126">
        <v>37</v>
      </c>
      <c r="D28" s="126" t="str">
        <f t="shared" si="0"/>
        <v>237</v>
      </c>
      <c r="E28" s="101">
        <v>14</v>
      </c>
      <c r="F28" s="101">
        <v>53.25</v>
      </c>
      <c r="G28" s="101">
        <v>994</v>
      </c>
      <c r="H28" s="101">
        <v>4755.8099999999995</v>
      </c>
      <c r="I28" s="101">
        <v>2711.5720000000001</v>
      </c>
      <c r="J28" s="101">
        <v>0</v>
      </c>
      <c r="K28" s="101">
        <v>0</v>
      </c>
      <c r="L28" s="101">
        <v>0</v>
      </c>
      <c r="M28" s="101">
        <v>0</v>
      </c>
      <c r="N28" s="101">
        <v>0</v>
      </c>
      <c r="O28" s="101">
        <v>1</v>
      </c>
      <c r="P28" s="101">
        <v>3</v>
      </c>
      <c r="Q28" s="101">
        <v>62</v>
      </c>
      <c r="R28" s="101">
        <v>91.98</v>
      </c>
      <c r="S28" s="101">
        <v>68.367999999999995</v>
      </c>
      <c r="T28" s="133">
        <v>1.02</v>
      </c>
      <c r="U28" s="101">
        <f t="shared" si="1"/>
        <v>1.02</v>
      </c>
      <c r="V28" s="101">
        <f t="shared" si="2"/>
        <v>3.06</v>
      </c>
      <c r="W28" s="101">
        <f t="shared" si="3"/>
        <v>63.24</v>
      </c>
      <c r="X28" s="101">
        <f t="shared" si="4"/>
        <v>93.819600000000008</v>
      </c>
      <c r="Y28" s="101">
        <f t="shared" si="5"/>
        <v>69.73536</v>
      </c>
      <c r="AA28" s="101">
        <v>6</v>
      </c>
      <c r="AB28" s="101">
        <v>75</v>
      </c>
      <c r="AC28" s="101">
        <v>3943</v>
      </c>
      <c r="AD28" s="101">
        <v>2267.04</v>
      </c>
      <c r="AE28" s="101">
        <v>735.84699999999998</v>
      </c>
      <c r="AF28" s="225"/>
      <c r="AG28" s="148"/>
      <c r="AH28" s="101">
        <v>30017</v>
      </c>
      <c r="AI28" s="101">
        <f t="shared" si="6"/>
        <v>24013.600000000002</v>
      </c>
      <c r="AJ28" s="101">
        <f t="shared" si="7"/>
        <v>36020.400000000001</v>
      </c>
    </row>
    <row r="29" spans="1:36" s="135" customFormat="1" hidden="1" x14ac:dyDescent="0.3">
      <c r="A29" s="126" t="s">
        <v>171</v>
      </c>
      <c r="B29" s="126">
        <v>2</v>
      </c>
      <c r="C29" s="126">
        <v>46</v>
      </c>
      <c r="D29" s="126" t="str">
        <f t="shared" si="0"/>
        <v>246</v>
      </c>
      <c r="E29" s="134"/>
      <c r="F29" s="134">
        <v>0</v>
      </c>
      <c r="G29" s="134">
        <v>0</v>
      </c>
      <c r="H29" s="134"/>
      <c r="I29" s="134"/>
      <c r="J29" s="101">
        <v>46</v>
      </c>
      <c r="K29" s="101">
        <v>66</v>
      </c>
      <c r="L29" s="101">
        <v>1901</v>
      </c>
      <c r="M29" s="101">
        <v>15235</v>
      </c>
      <c r="N29" s="101">
        <v>7818</v>
      </c>
      <c r="O29" s="101">
        <v>20</v>
      </c>
      <c r="P29" s="101">
        <v>26</v>
      </c>
      <c r="Q29" s="101">
        <v>1058</v>
      </c>
      <c r="R29" s="101">
        <v>10890.22</v>
      </c>
      <c r="S29" s="101">
        <v>1769.614</v>
      </c>
      <c r="T29" s="133">
        <v>1.02</v>
      </c>
      <c r="U29" s="101">
        <f t="shared" si="1"/>
        <v>20.399999999999999</v>
      </c>
      <c r="V29" s="101">
        <f t="shared" si="2"/>
        <v>26.52</v>
      </c>
      <c r="W29" s="101">
        <f t="shared" si="3"/>
        <v>1079.1600000000001</v>
      </c>
      <c r="X29" s="101">
        <f t="shared" si="4"/>
        <v>11108.0244</v>
      </c>
      <c r="Y29" s="101">
        <f t="shared" si="5"/>
        <v>1805.0062800000001</v>
      </c>
      <c r="Z29" s="101"/>
      <c r="AA29" s="101">
        <v>12</v>
      </c>
      <c r="AB29" s="101">
        <v>14</v>
      </c>
      <c r="AC29" s="101">
        <v>978</v>
      </c>
      <c r="AD29" s="101">
        <v>11736.12</v>
      </c>
      <c r="AE29" s="101">
        <v>3324.9340000000002</v>
      </c>
      <c r="AF29" s="225"/>
      <c r="AG29" s="148"/>
      <c r="AH29" s="101">
        <v>30018</v>
      </c>
      <c r="AI29" s="101">
        <f t="shared" si="6"/>
        <v>24014.400000000001</v>
      </c>
      <c r="AJ29" s="101">
        <f t="shared" si="7"/>
        <v>36021.599999999999</v>
      </c>
    </row>
    <row r="30" spans="1:36" s="135" customFormat="1" hidden="1" x14ac:dyDescent="0.3">
      <c r="A30" s="126" t="s">
        <v>171</v>
      </c>
      <c r="B30" s="126">
        <v>2</v>
      </c>
      <c r="C30" s="126">
        <v>66</v>
      </c>
      <c r="D30" s="126" t="str">
        <f t="shared" si="0"/>
        <v>266</v>
      </c>
      <c r="E30" s="134"/>
      <c r="F30" s="134">
        <v>0</v>
      </c>
      <c r="G30" s="134">
        <v>0</v>
      </c>
      <c r="H30" s="134"/>
      <c r="I30" s="134"/>
      <c r="J30" s="101">
        <v>17</v>
      </c>
      <c r="K30" s="101">
        <v>19</v>
      </c>
      <c r="L30" s="101">
        <v>295</v>
      </c>
      <c r="M30" s="101">
        <v>2089</v>
      </c>
      <c r="N30" s="101">
        <v>2093</v>
      </c>
      <c r="O30" s="101">
        <v>62</v>
      </c>
      <c r="P30" s="101">
        <v>94</v>
      </c>
      <c r="Q30" s="101">
        <v>4134</v>
      </c>
      <c r="R30" s="101">
        <v>50478.74</v>
      </c>
      <c r="S30" s="101">
        <v>39377.556000000004</v>
      </c>
      <c r="T30" s="133">
        <v>1.02</v>
      </c>
      <c r="U30" s="101">
        <f t="shared" si="1"/>
        <v>63.24</v>
      </c>
      <c r="V30" s="101">
        <f t="shared" si="2"/>
        <v>95.88</v>
      </c>
      <c r="W30" s="101">
        <f t="shared" si="3"/>
        <v>4216.68</v>
      </c>
      <c r="X30" s="101">
        <f t="shared" si="4"/>
        <v>51488.3148</v>
      </c>
      <c r="Y30" s="101">
        <f t="shared" si="5"/>
        <v>40165.107120000008</v>
      </c>
      <c r="Z30" s="101"/>
      <c r="AA30" s="101">
        <v>29</v>
      </c>
      <c r="AB30" s="101">
        <v>55</v>
      </c>
      <c r="AC30" s="101">
        <v>3365</v>
      </c>
      <c r="AD30" s="101">
        <v>13004.35</v>
      </c>
      <c r="AE30" s="101">
        <v>6285.8289999999997</v>
      </c>
      <c r="AF30" s="225"/>
      <c r="AG30" s="148"/>
      <c r="AH30" s="101">
        <v>30019</v>
      </c>
      <c r="AI30" s="101">
        <f t="shared" si="6"/>
        <v>24015.200000000001</v>
      </c>
      <c r="AJ30" s="101">
        <f t="shared" si="7"/>
        <v>36022.800000000003</v>
      </c>
    </row>
    <row r="31" spans="1:36" hidden="1" x14ac:dyDescent="0.3">
      <c r="A31" s="126" t="s">
        <v>171</v>
      </c>
      <c r="B31" s="126">
        <v>2</v>
      </c>
      <c r="C31" s="126">
        <v>30</v>
      </c>
      <c r="D31" s="126" t="str">
        <f t="shared" si="0"/>
        <v>230</v>
      </c>
      <c r="E31" s="101">
        <v>362.5</v>
      </c>
      <c r="F31" s="101">
        <v>4742</v>
      </c>
      <c r="G31" s="101">
        <v>20273.5</v>
      </c>
      <c r="H31" s="101">
        <v>519188.38</v>
      </c>
      <c r="I31" s="101">
        <v>198924.46399999998</v>
      </c>
      <c r="J31" s="101">
        <v>698</v>
      </c>
      <c r="K31" s="101">
        <v>4877</v>
      </c>
      <c r="L31" s="101">
        <v>19036</v>
      </c>
      <c r="M31" s="101">
        <v>514602</v>
      </c>
      <c r="N31" s="101">
        <v>167606</v>
      </c>
      <c r="O31" s="101">
        <v>307</v>
      </c>
      <c r="P31" s="101">
        <v>6155</v>
      </c>
      <c r="Q31" s="101">
        <v>21715</v>
      </c>
      <c r="R31" s="101">
        <v>433436.33</v>
      </c>
      <c r="S31" s="101">
        <v>142114.99799999999</v>
      </c>
      <c r="T31" s="133">
        <v>1.02</v>
      </c>
      <c r="U31" s="101">
        <f t="shared" si="1"/>
        <v>313.14</v>
      </c>
      <c r="V31" s="101">
        <f t="shared" si="2"/>
        <v>6278.1</v>
      </c>
      <c r="W31" s="101">
        <f t="shared" si="3"/>
        <v>22149.3</v>
      </c>
      <c r="X31" s="101">
        <f t="shared" si="4"/>
        <v>442105.05660000001</v>
      </c>
      <c r="Y31" s="101">
        <f t="shared" si="5"/>
        <v>144957.29796</v>
      </c>
      <c r="AA31" s="101">
        <v>459</v>
      </c>
      <c r="AB31" s="101">
        <v>12751</v>
      </c>
      <c r="AC31" s="101">
        <v>37580</v>
      </c>
      <c r="AD31" s="101">
        <v>825010.55</v>
      </c>
      <c r="AE31" s="101">
        <v>245230.845</v>
      </c>
      <c r="AF31" s="225"/>
      <c r="AG31" s="148"/>
      <c r="AH31" s="101">
        <v>30020</v>
      </c>
      <c r="AI31" s="101">
        <f t="shared" si="6"/>
        <v>24016</v>
      </c>
      <c r="AJ31" s="101">
        <f t="shared" si="7"/>
        <v>36024</v>
      </c>
    </row>
    <row r="32" spans="1:36" hidden="1" x14ac:dyDescent="0.3">
      <c r="A32" s="126" t="s">
        <v>171</v>
      </c>
      <c r="B32" s="126">
        <v>2</v>
      </c>
      <c r="C32" s="126">
        <v>71</v>
      </c>
      <c r="D32" s="126" t="str">
        <f t="shared" si="0"/>
        <v>271</v>
      </c>
      <c r="E32" s="101">
        <v>829.5</v>
      </c>
      <c r="F32" s="101">
        <v>6812</v>
      </c>
      <c r="G32" s="101">
        <v>20386.5</v>
      </c>
      <c r="H32" s="101">
        <v>152779.35</v>
      </c>
      <c r="I32" s="101">
        <v>69756.175000000003</v>
      </c>
      <c r="J32" s="101">
        <v>648</v>
      </c>
      <c r="K32" s="101">
        <v>5686</v>
      </c>
      <c r="L32" s="101">
        <v>25367</v>
      </c>
      <c r="M32" s="101">
        <v>172196</v>
      </c>
      <c r="N32" s="101">
        <v>94442</v>
      </c>
      <c r="O32" s="101">
        <v>658</v>
      </c>
      <c r="P32" s="101">
        <v>12300</v>
      </c>
      <c r="Q32" s="101">
        <v>46077</v>
      </c>
      <c r="R32" s="101">
        <v>361548.63999999996</v>
      </c>
      <c r="S32" s="101">
        <v>222087.20799999998</v>
      </c>
      <c r="T32" s="133">
        <v>0.98</v>
      </c>
      <c r="U32" s="101">
        <f t="shared" si="1"/>
        <v>644.84</v>
      </c>
      <c r="V32" s="101">
        <f t="shared" si="2"/>
        <v>12054</v>
      </c>
      <c r="W32" s="101">
        <f t="shared" si="3"/>
        <v>45155.46</v>
      </c>
      <c r="X32" s="101">
        <f t="shared" si="4"/>
        <v>354317.66719999997</v>
      </c>
      <c r="Y32" s="101">
        <f t="shared" si="5"/>
        <v>217645.46383999998</v>
      </c>
      <c r="AA32" s="101">
        <v>208</v>
      </c>
      <c r="AB32" s="101">
        <v>9097</v>
      </c>
      <c r="AC32" s="101">
        <v>28275</v>
      </c>
      <c r="AD32" s="101">
        <v>196176.86</v>
      </c>
      <c r="AE32" s="101">
        <v>92472.638000000006</v>
      </c>
      <c r="AF32" s="225"/>
      <c r="AG32" s="148"/>
      <c r="AH32" s="101">
        <v>30021</v>
      </c>
      <c r="AI32" s="101">
        <f t="shared" si="6"/>
        <v>24016.799999999999</v>
      </c>
      <c r="AJ32" s="101">
        <f t="shared" si="7"/>
        <v>36025.199999999997</v>
      </c>
    </row>
    <row r="33" spans="1:36" s="135" customFormat="1" x14ac:dyDescent="0.3">
      <c r="A33" s="126" t="s">
        <v>171</v>
      </c>
      <c r="B33" s="126">
        <v>2</v>
      </c>
      <c r="C33" s="126">
        <v>91</v>
      </c>
      <c r="D33" s="126" t="str">
        <f t="shared" si="0"/>
        <v>291</v>
      </c>
      <c r="E33" s="134"/>
      <c r="F33" s="134">
        <v>0</v>
      </c>
      <c r="G33" s="134">
        <v>0</v>
      </c>
      <c r="H33" s="134"/>
      <c r="I33" s="134"/>
      <c r="J33" s="101">
        <v>9</v>
      </c>
      <c r="K33" s="101">
        <v>29</v>
      </c>
      <c r="L33" s="101">
        <v>115</v>
      </c>
      <c r="M33" s="101">
        <v>1031</v>
      </c>
      <c r="N33" s="101">
        <v>494</v>
      </c>
      <c r="O33" s="101">
        <v>13</v>
      </c>
      <c r="P33" s="101">
        <v>28</v>
      </c>
      <c r="Q33" s="101">
        <v>87</v>
      </c>
      <c r="R33" s="101">
        <v>1310.89</v>
      </c>
      <c r="S33" s="101">
        <v>1485.37</v>
      </c>
      <c r="T33" s="133">
        <v>1.02</v>
      </c>
      <c r="U33" s="101">
        <f t="shared" si="1"/>
        <v>13.26</v>
      </c>
      <c r="V33" s="101">
        <f t="shared" si="2"/>
        <v>28.560000000000002</v>
      </c>
      <c r="W33" s="101">
        <f t="shared" si="3"/>
        <v>88.74</v>
      </c>
      <c r="X33" s="101">
        <f t="shared" si="4"/>
        <v>1337.1078000000002</v>
      </c>
      <c r="Y33" s="101">
        <f t="shared" si="5"/>
        <v>1515.0773999999999</v>
      </c>
      <c r="Z33" s="101"/>
      <c r="AA33" s="101">
        <v>1</v>
      </c>
      <c r="AB33" s="101">
        <v>1</v>
      </c>
      <c r="AC33" s="101">
        <v>2</v>
      </c>
      <c r="AD33" s="101">
        <v>18.32</v>
      </c>
      <c r="AE33" s="101">
        <v>6.4059999999999997</v>
      </c>
      <c r="AF33" s="225"/>
      <c r="AG33" s="148"/>
      <c r="AH33" s="101">
        <v>30022</v>
      </c>
      <c r="AI33" s="101">
        <f t="shared" si="6"/>
        <v>24017.600000000002</v>
      </c>
      <c r="AJ33" s="101">
        <f t="shared" si="7"/>
        <v>36026.400000000001</v>
      </c>
    </row>
    <row r="34" spans="1:36" s="135" customFormat="1" hidden="1" x14ac:dyDescent="0.3">
      <c r="A34" s="126" t="s">
        <v>171</v>
      </c>
      <c r="B34" s="126">
        <v>2</v>
      </c>
      <c r="C34" s="126">
        <v>41</v>
      </c>
      <c r="D34" s="126" t="str">
        <f t="shared" si="0"/>
        <v>241</v>
      </c>
      <c r="E34" s="134"/>
      <c r="F34" s="134"/>
      <c r="G34" s="134"/>
      <c r="H34" s="134"/>
      <c r="I34" s="134"/>
      <c r="J34" s="101"/>
      <c r="K34" s="101"/>
      <c r="L34" s="101"/>
      <c r="M34" s="101"/>
      <c r="N34" s="101"/>
      <c r="O34" s="101">
        <v>8</v>
      </c>
      <c r="P34" s="101">
        <v>45</v>
      </c>
      <c r="Q34" s="101">
        <v>157</v>
      </c>
      <c r="R34" s="101">
        <v>907.81999999999994</v>
      </c>
      <c r="S34" s="101">
        <v>297.279</v>
      </c>
      <c r="T34" s="133">
        <v>1.02</v>
      </c>
      <c r="U34" s="101">
        <f t="shared" si="1"/>
        <v>8.16</v>
      </c>
      <c r="V34" s="101">
        <f t="shared" si="2"/>
        <v>45.9</v>
      </c>
      <c r="W34" s="101">
        <f t="shared" si="3"/>
        <v>160.14000000000001</v>
      </c>
      <c r="X34" s="101">
        <f t="shared" si="4"/>
        <v>925.9763999999999</v>
      </c>
      <c r="Y34" s="101">
        <f t="shared" si="5"/>
        <v>303.22458</v>
      </c>
      <c r="Z34" s="101"/>
      <c r="AA34" s="101">
        <v>2</v>
      </c>
      <c r="AB34" s="101">
        <v>3</v>
      </c>
      <c r="AC34" s="101">
        <v>61</v>
      </c>
      <c r="AD34" s="101">
        <v>0</v>
      </c>
      <c r="AE34" s="101">
        <v>257.16000000000003</v>
      </c>
      <c r="AF34" s="225"/>
      <c r="AG34" s="148"/>
      <c r="AH34" s="101"/>
      <c r="AI34" s="101"/>
      <c r="AJ34" s="101"/>
    </row>
    <row r="35" spans="1:36" s="135" customFormat="1" hidden="1" x14ac:dyDescent="0.3">
      <c r="A35" s="126" t="s">
        <v>171</v>
      </c>
      <c r="B35" s="126">
        <v>2</v>
      </c>
      <c r="C35" s="126">
        <v>1</v>
      </c>
      <c r="D35" s="126" t="str">
        <f t="shared" si="0"/>
        <v>21</v>
      </c>
      <c r="E35" s="134"/>
      <c r="F35" s="134"/>
      <c r="G35" s="134"/>
      <c r="H35" s="134"/>
      <c r="I35" s="134"/>
      <c r="J35" s="101">
        <v>181</v>
      </c>
      <c r="K35" s="101">
        <v>181</v>
      </c>
      <c r="L35" s="101">
        <v>82992</v>
      </c>
      <c r="M35" s="101"/>
      <c r="N35" s="101">
        <v>317447</v>
      </c>
      <c r="O35" s="101">
        <v>133</v>
      </c>
      <c r="P35" s="101">
        <v>133</v>
      </c>
      <c r="Q35" s="101">
        <v>66493</v>
      </c>
      <c r="R35" s="101"/>
      <c r="S35" s="101">
        <v>213204</v>
      </c>
      <c r="T35" s="133">
        <v>1.02</v>
      </c>
      <c r="U35" s="101">
        <f t="shared" si="1"/>
        <v>135.66</v>
      </c>
      <c r="V35" s="101">
        <f t="shared" si="2"/>
        <v>135.66</v>
      </c>
      <c r="W35" s="101">
        <f t="shared" si="3"/>
        <v>67822.86</v>
      </c>
      <c r="X35" s="101">
        <f t="shared" si="4"/>
        <v>0</v>
      </c>
      <c r="Y35" s="101">
        <f t="shared" si="5"/>
        <v>217468.08000000002</v>
      </c>
      <c r="Z35" s="101"/>
      <c r="AA35" s="101">
        <v>137</v>
      </c>
      <c r="AB35" s="101">
        <v>137</v>
      </c>
      <c r="AC35" s="101">
        <v>24190</v>
      </c>
      <c r="AD35" s="101"/>
      <c r="AE35" s="101">
        <v>159598.04699999999</v>
      </c>
      <c r="AF35" s="225"/>
      <c r="AG35" s="148"/>
      <c r="AH35" s="101"/>
      <c r="AI35" s="101"/>
      <c r="AJ35" s="101"/>
    </row>
    <row r="36" spans="1:36" hidden="1" x14ac:dyDescent="0.3">
      <c r="A36" s="126" t="s">
        <v>171</v>
      </c>
      <c r="B36" s="126">
        <v>2</v>
      </c>
      <c r="C36" s="126">
        <v>21</v>
      </c>
      <c r="D36" s="126" t="str">
        <f t="shared" si="0"/>
        <v>221</v>
      </c>
      <c r="E36" s="101">
        <v>1122.5</v>
      </c>
      <c r="F36" s="101">
        <v>6958</v>
      </c>
      <c r="G36" s="101">
        <v>32868.5</v>
      </c>
      <c r="H36" s="101">
        <v>428071.38</v>
      </c>
      <c r="I36" s="101">
        <v>130685.432</v>
      </c>
      <c r="J36" s="101">
        <v>1194</v>
      </c>
      <c r="K36" s="101">
        <v>5678</v>
      </c>
      <c r="L36" s="101">
        <v>23306</v>
      </c>
      <c r="M36" s="101">
        <v>400764</v>
      </c>
      <c r="N36" s="101">
        <v>98302</v>
      </c>
      <c r="O36" s="101">
        <v>425</v>
      </c>
      <c r="P36" s="101">
        <v>3028</v>
      </c>
      <c r="Q36" s="101">
        <v>13799</v>
      </c>
      <c r="R36" s="101">
        <v>186274.73</v>
      </c>
      <c r="S36" s="101">
        <v>58794.255000000005</v>
      </c>
      <c r="T36" s="133">
        <v>1.02</v>
      </c>
      <c r="U36" s="101">
        <f t="shared" si="1"/>
        <v>433.5</v>
      </c>
      <c r="V36" s="101">
        <f t="shared" si="2"/>
        <v>3088.56</v>
      </c>
      <c r="W36" s="101">
        <f t="shared" si="3"/>
        <v>14074.98</v>
      </c>
      <c r="X36" s="101">
        <f t="shared" si="4"/>
        <v>190000.22460000002</v>
      </c>
      <c r="Y36" s="101">
        <f t="shared" si="5"/>
        <v>59970.140100000004</v>
      </c>
      <c r="AA36" s="101">
        <v>87</v>
      </c>
      <c r="AB36" s="101">
        <v>507</v>
      </c>
      <c r="AC36" s="101">
        <v>1523</v>
      </c>
      <c r="AD36" s="101">
        <v>30266.68</v>
      </c>
      <c r="AE36" s="101">
        <v>8868.6849999999995</v>
      </c>
      <c r="AF36" s="225"/>
      <c r="AG36" s="148"/>
      <c r="AH36" s="101">
        <v>30023</v>
      </c>
      <c r="AI36" s="101">
        <f t="shared" si="6"/>
        <v>24018.400000000001</v>
      </c>
      <c r="AJ36" s="101">
        <f t="shared" si="7"/>
        <v>36027.600000000006</v>
      </c>
    </row>
    <row r="37" spans="1:36" hidden="1" x14ac:dyDescent="0.3">
      <c r="A37" s="126" t="s">
        <v>171</v>
      </c>
      <c r="B37" s="126">
        <v>3</v>
      </c>
      <c r="C37" s="126">
        <v>22</v>
      </c>
      <c r="D37" s="126" t="str">
        <f t="shared" si="0"/>
        <v>322</v>
      </c>
      <c r="E37" s="101">
        <v>727</v>
      </c>
      <c r="F37" s="101">
        <v>7933</v>
      </c>
      <c r="G37" s="101">
        <v>85172</v>
      </c>
      <c r="H37" s="101">
        <v>210044.46</v>
      </c>
      <c r="I37" s="101">
        <v>171731.92800000001</v>
      </c>
      <c r="J37" s="101">
        <v>439</v>
      </c>
      <c r="K37" s="101">
        <v>3482</v>
      </c>
      <c r="L37" s="101">
        <v>23988</v>
      </c>
      <c r="M37" s="101">
        <v>166505</v>
      </c>
      <c r="N37" s="101">
        <v>85053</v>
      </c>
      <c r="O37" s="101">
        <v>547</v>
      </c>
      <c r="P37" s="101">
        <v>2987</v>
      </c>
      <c r="Q37" s="101">
        <v>24379</v>
      </c>
      <c r="R37" s="101">
        <v>134215.98000000001</v>
      </c>
      <c r="S37" s="101">
        <v>72744.547000000006</v>
      </c>
      <c r="T37" s="133">
        <v>1.02</v>
      </c>
      <c r="U37" s="101">
        <f t="shared" si="1"/>
        <v>557.94000000000005</v>
      </c>
      <c r="V37" s="101">
        <f t="shared" si="2"/>
        <v>3046.7400000000002</v>
      </c>
      <c r="W37" s="101">
        <f t="shared" si="3"/>
        <v>24866.58</v>
      </c>
      <c r="X37" s="101">
        <f t="shared" si="4"/>
        <v>136900.29960000003</v>
      </c>
      <c r="Y37" s="101">
        <f t="shared" si="5"/>
        <v>74199.437940000003</v>
      </c>
      <c r="AA37" s="101">
        <v>545</v>
      </c>
      <c r="AB37" s="101">
        <v>3158</v>
      </c>
      <c r="AC37" s="101">
        <v>18859</v>
      </c>
      <c r="AD37" s="101">
        <v>134951.38</v>
      </c>
      <c r="AE37" s="101">
        <v>78202.006999999998</v>
      </c>
      <c r="AF37" s="225">
        <f t="shared" ref="AF37" si="8">SUM(AB37:AB52)</f>
        <v>30555</v>
      </c>
      <c r="AG37" s="148"/>
      <c r="AH37" s="101">
        <v>30024</v>
      </c>
      <c r="AI37" s="101">
        <f t="shared" si="6"/>
        <v>24019.200000000001</v>
      </c>
      <c r="AJ37" s="101">
        <f t="shared" si="7"/>
        <v>36028.800000000003</v>
      </c>
    </row>
    <row r="38" spans="1:36" s="135" customFormat="1" hidden="1" x14ac:dyDescent="0.3">
      <c r="A38" s="126" t="s">
        <v>171</v>
      </c>
      <c r="B38" s="126">
        <v>3</v>
      </c>
      <c r="C38" s="126">
        <v>12</v>
      </c>
      <c r="D38" s="126" t="str">
        <f t="shared" si="0"/>
        <v>312</v>
      </c>
      <c r="E38" s="134"/>
      <c r="F38" s="134">
        <v>0</v>
      </c>
      <c r="G38" s="134">
        <v>0</v>
      </c>
      <c r="H38" s="134"/>
      <c r="I38" s="134"/>
      <c r="J38" s="101">
        <v>4</v>
      </c>
      <c r="K38" s="101">
        <v>4</v>
      </c>
      <c r="L38" s="101">
        <v>4</v>
      </c>
      <c r="M38" s="101">
        <v>161</v>
      </c>
      <c r="N38" s="101">
        <v>32</v>
      </c>
      <c r="O38" s="101">
        <v>0</v>
      </c>
      <c r="P38" s="101">
        <v>0</v>
      </c>
      <c r="Q38" s="101">
        <v>0</v>
      </c>
      <c r="R38" s="101">
        <v>0</v>
      </c>
      <c r="S38" s="101">
        <v>0</v>
      </c>
      <c r="T38" s="133">
        <v>1.02</v>
      </c>
      <c r="U38" s="101">
        <f t="shared" si="1"/>
        <v>0</v>
      </c>
      <c r="V38" s="101">
        <f t="shared" si="2"/>
        <v>0</v>
      </c>
      <c r="W38" s="101">
        <f t="shared" si="3"/>
        <v>0</v>
      </c>
      <c r="X38" s="101">
        <f t="shared" si="4"/>
        <v>0</v>
      </c>
      <c r="Y38" s="101">
        <f t="shared" si="5"/>
        <v>0</v>
      </c>
      <c r="Z38" s="101"/>
      <c r="AA38" s="101">
        <v>0</v>
      </c>
      <c r="AB38" s="101">
        <v>0</v>
      </c>
      <c r="AC38" s="101">
        <v>0</v>
      </c>
      <c r="AD38" s="101">
        <v>0</v>
      </c>
      <c r="AE38" s="101">
        <v>0</v>
      </c>
      <c r="AF38" s="225"/>
      <c r="AG38" s="148"/>
      <c r="AH38" s="101">
        <v>30025</v>
      </c>
      <c r="AI38" s="101">
        <f t="shared" si="6"/>
        <v>24020</v>
      </c>
      <c r="AJ38" s="101">
        <f t="shared" si="7"/>
        <v>36030</v>
      </c>
    </row>
    <row r="39" spans="1:36" hidden="1" x14ac:dyDescent="0.3">
      <c r="A39" s="126" t="s">
        <v>171</v>
      </c>
      <c r="B39" s="126">
        <v>3</v>
      </c>
      <c r="C39" s="126">
        <v>25</v>
      </c>
      <c r="D39" s="126" t="str">
        <f t="shared" si="0"/>
        <v>325</v>
      </c>
      <c r="E39" s="101">
        <v>389</v>
      </c>
      <c r="F39" s="101">
        <v>2326</v>
      </c>
      <c r="G39" s="101">
        <v>47899</v>
      </c>
      <c r="H39" s="101">
        <v>882836.66999999993</v>
      </c>
      <c r="I39" s="101">
        <v>377342.48599999992</v>
      </c>
      <c r="J39" s="101">
        <v>283</v>
      </c>
      <c r="K39" s="101">
        <v>2189</v>
      </c>
      <c r="L39" s="101">
        <v>42603</v>
      </c>
      <c r="M39" s="101">
        <v>446252</v>
      </c>
      <c r="N39" s="101">
        <v>215939</v>
      </c>
      <c r="O39" s="101">
        <v>112</v>
      </c>
      <c r="P39" s="101">
        <v>1069</v>
      </c>
      <c r="Q39" s="101">
        <v>31294</v>
      </c>
      <c r="R39" s="101">
        <v>651648.06999999995</v>
      </c>
      <c r="S39" s="101">
        <v>338574.962</v>
      </c>
      <c r="T39" s="133">
        <v>1.02</v>
      </c>
      <c r="U39" s="101">
        <f t="shared" si="1"/>
        <v>114.24000000000001</v>
      </c>
      <c r="V39" s="101">
        <f t="shared" si="2"/>
        <v>1090.3800000000001</v>
      </c>
      <c r="W39" s="101">
        <f t="shared" si="3"/>
        <v>31919.88</v>
      </c>
      <c r="X39" s="101">
        <f t="shared" si="4"/>
        <v>664681.03139999998</v>
      </c>
      <c r="Y39" s="101">
        <f t="shared" si="5"/>
        <v>345346.46124000003</v>
      </c>
      <c r="AA39" s="101">
        <v>356</v>
      </c>
      <c r="AB39" s="101">
        <v>3007</v>
      </c>
      <c r="AC39" s="101">
        <v>60222</v>
      </c>
      <c r="AD39" s="101">
        <v>589640.06000000006</v>
      </c>
      <c r="AE39" s="101">
        <v>313690.95600000001</v>
      </c>
      <c r="AF39" s="225"/>
      <c r="AG39" s="148"/>
      <c r="AH39" s="101">
        <v>30026</v>
      </c>
      <c r="AI39" s="101">
        <f t="shared" si="6"/>
        <v>24020.799999999999</v>
      </c>
      <c r="AJ39" s="101">
        <f t="shared" si="7"/>
        <v>36031.199999999997</v>
      </c>
    </row>
    <row r="40" spans="1:36" hidden="1" x14ac:dyDescent="0.3">
      <c r="A40" s="126" t="s">
        <v>171</v>
      </c>
      <c r="B40" s="126">
        <v>3</v>
      </c>
      <c r="C40" s="126">
        <v>27</v>
      </c>
      <c r="D40" s="126" t="str">
        <f t="shared" si="0"/>
        <v>327</v>
      </c>
      <c r="E40" s="101">
        <v>30</v>
      </c>
      <c r="F40" s="101">
        <v>1489</v>
      </c>
      <c r="G40" s="101">
        <v>7037.5</v>
      </c>
      <c r="H40" s="101">
        <v>80026.92</v>
      </c>
      <c r="I40" s="101">
        <v>26145.057000000001</v>
      </c>
      <c r="J40" s="101">
        <v>26</v>
      </c>
      <c r="K40" s="101">
        <v>308</v>
      </c>
      <c r="L40" s="101">
        <v>793</v>
      </c>
      <c r="M40" s="101">
        <v>11058</v>
      </c>
      <c r="N40" s="101">
        <v>4902</v>
      </c>
      <c r="O40" s="101">
        <v>9</v>
      </c>
      <c r="P40" s="101">
        <v>33</v>
      </c>
      <c r="Q40" s="101">
        <v>546</v>
      </c>
      <c r="R40" s="101">
        <v>12870.58</v>
      </c>
      <c r="S40" s="101">
        <v>7808.9530000000004</v>
      </c>
      <c r="T40" s="133">
        <v>1.02</v>
      </c>
      <c r="U40" s="101">
        <f t="shared" si="1"/>
        <v>9.18</v>
      </c>
      <c r="V40" s="101">
        <f t="shared" si="2"/>
        <v>33.660000000000004</v>
      </c>
      <c r="W40" s="101">
        <f t="shared" si="3"/>
        <v>556.91999999999996</v>
      </c>
      <c r="X40" s="101">
        <f t="shared" si="4"/>
        <v>13127.991599999999</v>
      </c>
      <c r="Y40" s="101">
        <f t="shared" si="5"/>
        <v>7965.1320600000008</v>
      </c>
      <c r="AA40" s="101">
        <v>12</v>
      </c>
      <c r="AB40" s="101">
        <v>33</v>
      </c>
      <c r="AC40" s="101">
        <v>268</v>
      </c>
      <c r="AD40" s="101">
        <v>1950.01</v>
      </c>
      <c r="AE40" s="101">
        <v>700.36500000000001</v>
      </c>
      <c r="AF40" s="225"/>
      <c r="AG40" s="148"/>
      <c r="AH40" s="101">
        <v>30027</v>
      </c>
      <c r="AI40" s="101">
        <f t="shared" si="6"/>
        <v>24021.599999999999</v>
      </c>
      <c r="AJ40" s="101">
        <f t="shared" si="7"/>
        <v>36032.399999999994</v>
      </c>
    </row>
    <row r="41" spans="1:36" hidden="1" x14ac:dyDescent="0.3">
      <c r="A41" s="126" t="s">
        <v>171</v>
      </c>
      <c r="B41" s="126">
        <v>3</v>
      </c>
      <c r="C41" s="126">
        <v>26</v>
      </c>
      <c r="D41" s="126" t="str">
        <f t="shared" si="0"/>
        <v>326</v>
      </c>
      <c r="E41" s="101">
        <v>153</v>
      </c>
      <c r="F41" s="101">
        <v>3535</v>
      </c>
      <c r="G41" s="101">
        <v>42553</v>
      </c>
      <c r="H41" s="101">
        <v>481855.8</v>
      </c>
      <c r="I41" s="101">
        <v>204330.65399999998</v>
      </c>
      <c r="J41" s="101">
        <v>106</v>
      </c>
      <c r="K41" s="101">
        <v>2985</v>
      </c>
      <c r="L41" s="101">
        <v>30114</v>
      </c>
      <c r="M41" s="101">
        <v>386720</v>
      </c>
      <c r="N41" s="101">
        <v>141795</v>
      </c>
      <c r="O41" s="101">
        <v>46</v>
      </c>
      <c r="P41" s="101">
        <v>1140</v>
      </c>
      <c r="Q41" s="101">
        <v>13061</v>
      </c>
      <c r="R41" s="101">
        <v>170734.14</v>
      </c>
      <c r="S41" s="101">
        <v>61541.881000000001</v>
      </c>
      <c r="T41" s="133">
        <v>1.02</v>
      </c>
      <c r="U41" s="101">
        <f t="shared" si="1"/>
        <v>46.92</v>
      </c>
      <c r="V41" s="101">
        <f t="shared" si="2"/>
        <v>1162.8</v>
      </c>
      <c r="W41" s="101">
        <f t="shared" si="3"/>
        <v>13322.22</v>
      </c>
      <c r="X41" s="101">
        <f t="shared" si="4"/>
        <v>174148.82280000002</v>
      </c>
      <c r="Y41" s="101">
        <f t="shared" si="5"/>
        <v>62772.71862</v>
      </c>
      <c r="AA41" s="101">
        <v>14</v>
      </c>
      <c r="AB41" s="101">
        <v>447</v>
      </c>
      <c r="AC41" s="101">
        <v>10881</v>
      </c>
      <c r="AD41" s="101">
        <v>108556.33</v>
      </c>
      <c r="AE41" s="101">
        <v>39511.472999999998</v>
      </c>
      <c r="AF41" s="225"/>
      <c r="AG41" s="148"/>
      <c r="AH41" s="101">
        <v>30028</v>
      </c>
      <c r="AI41" s="101">
        <f t="shared" si="6"/>
        <v>24022.399999999998</v>
      </c>
      <c r="AJ41" s="101">
        <f t="shared" si="7"/>
        <v>36033.599999999999</v>
      </c>
    </row>
    <row r="42" spans="1:36" s="135" customFormat="1" hidden="1" x14ac:dyDescent="0.3">
      <c r="A42" s="126" t="s">
        <v>171</v>
      </c>
      <c r="B42" s="126">
        <v>3</v>
      </c>
      <c r="C42" s="126">
        <v>28</v>
      </c>
      <c r="D42" s="126" t="str">
        <f t="shared" si="0"/>
        <v>328</v>
      </c>
      <c r="E42" s="134"/>
      <c r="F42" s="134">
        <v>0</v>
      </c>
      <c r="G42" s="134">
        <v>0</v>
      </c>
      <c r="H42" s="134"/>
      <c r="I42" s="134"/>
      <c r="J42" s="101">
        <v>47</v>
      </c>
      <c r="K42" s="101">
        <v>73</v>
      </c>
      <c r="L42" s="101">
        <v>1508</v>
      </c>
      <c r="M42" s="101">
        <v>90588</v>
      </c>
      <c r="N42" s="101">
        <v>41130</v>
      </c>
      <c r="O42" s="101">
        <v>48</v>
      </c>
      <c r="P42" s="101">
        <v>334</v>
      </c>
      <c r="Q42" s="101">
        <v>1904</v>
      </c>
      <c r="R42" s="101">
        <v>61700.26</v>
      </c>
      <c r="S42" s="101">
        <v>19970.541000000001</v>
      </c>
      <c r="T42" s="133">
        <v>1.02</v>
      </c>
      <c r="U42" s="101">
        <f t="shared" si="1"/>
        <v>48.96</v>
      </c>
      <c r="V42" s="101">
        <f t="shared" si="2"/>
        <v>340.68</v>
      </c>
      <c r="W42" s="101">
        <f t="shared" si="3"/>
        <v>1942.08</v>
      </c>
      <c r="X42" s="101">
        <f t="shared" si="4"/>
        <v>62934.265200000002</v>
      </c>
      <c r="Y42" s="101">
        <f t="shared" si="5"/>
        <v>20369.951820000002</v>
      </c>
      <c r="Z42" s="101"/>
      <c r="AA42" s="101">
        <v>34</v>
      </c>
      <c r="AB42" s="101">
        <v>163</v>
      </c>
      <c r="AC42" s="101">
        <v>1652</v>
      </c>
      <c r="AD42" s="101">
        <v>40325.56</v>
      </c>
      <c r="AE42" s="101">
        <v>12850.558999999999</v>
      </c>
      <c r="AF42" s="225"/>
      <c r="AG42" s="148"/>
      <c r="AH42" s="101">
        <v>30029</v>
      </c>
      <c r="AI42" s="101">
        <f t="shared" si="6"/>
        <v>24023.200000000001</v>
      </c>
      <c r="AJ42" s="101">
        <f t="shared" si="7"/>
        <v>36034.800000000003</v>
      </c>
    </row>
    <row r="43" spans="1:36" hidden="1" x14ac:dyDescent="0.3">
      <c r="A43" s="126" t="s">
        <v>171</v>
      </c>
      <c r="B43" s="126">
        <v>3</v>
      </c>
      <c r="C43" s="126">
        <v>32</v>
      </c>
      <c r="D43" s="126" t="str">
        <f t="shared" si="0"/>
        <v>332</v>
      </c>
      <c r="E43" s="101">
        <v>815</v>
      </c>
      <c r="F43" s="101">
        <v>1814</v>
      </c>
      <c r="G43" s="101">
        <v>39054</v>
      </c>
      <c r="H43" s="101">
        <v>341315.99000000005</v>
      </c>
      <c r="I43" s="101">
        <v>252316.16</v>
      </c>
      <c r="J43" s="101">
        <v>570</v>
      </c>
      <c r="K43" s="101">
        <v>2037</v>
      </c>
      <c r="L43" s="101">
        <v>19404</v>
      </c>
      <c r="M43" s="101">
        <v>106072</v>
      </c>
      <c r="N43" s="101">
        <v>58665</v>
      </c>
      <c r="O43" s="101">
        <v>292</v>
      </c>
      <c r="P43" s="101">
        <v>1541</v>
      </c>
      <c r="Q43" s="101">
        <v>22054</v>
      </c>
      <c r="R43" s="101">
        <v>168904.74</v>
      </c>
      <c r="S43" s="101">
        <v>66229.592999999993</v>
      </c>
      <c r="T43" s="133">
        <v>1.02</v>
      </c>
      <c r="U43" s="101">
        <f t="shared" si="1"/>
        <v>297.84000000000003</v>
      </c>
      <c r="V43" s="101">
        <f t="shared" si="2"/>
        <v>1571.82</v>
      </c>
      <c r="W43" s="101">
        <f t="shared" si="3"/>
        <v>22495.08</v>
      </c>
      <c r="X43" s="101">
        <f t="shared" si="4"/>
        <v>172282.83479999998</v>
      </c>
      <c r="Y43" s="101">
        <f t="shared" si="5"/>
        <v>67554.184859999994</v>
      </c>
      <c r="AA43" s="101">
        <v>242</v>
      </c>
      <c r="AB43" s="101">
        <v>1101</v>
      </c>
      <c r="AC43" s="101">
        <v>27231</v>
      </c>
      <c r="AD43" s="101">
        <v>124140.08</v>
      </c>
      <c r="AE43" s="101">
        <v>89055.951000000001</v>
      </c>
      <c r="AF43" s="225"/>
      <c r="AG43" s="148"/>
      <c r="AH43" s="101">
        <v>30030</v>
      </c>
      <c r="AI43" s="101">
        <f t="shared" si="6"/>
        <v>24024</v>
      </c>
      <c r="AJ43" s="101">
        <f t="shared" si="7"/>
        <v>36036</v>
      </c>
    </row>
    <row r="44" spans="1:36" hidden="1" x14ac:dyDescent="0.3">
      <c r="A44" s="126" t="s">
        <v>171</v>
      </c>
      <c r="B44" s="126">
        <v>3</v>
      </c>
      <c r="C44" s="126">
        <v>30</v>
      </c>
      <c r="D44" s="126" t="str">
        <f t="shared" si="0"/>
        <v>330</v>
      </c>
      <c r="E44" s="101">
        <v>693</v>
      </c>
      <c r="F44" s="101">
        <v>6629</v>
      </c>
      <c r="G44" s="101">
        <v>23766</v>
      </c>
      <c r="H44" s="101">
        <v>473787.20499999996</v>
      </c>
      <c r="I44" s="101">
        <v>151142.9675</v>
      </c>
      <c r="J44" s="101">
        <v>655</v>
      </c>
      <c r="K44" s="101">
        <v>6732</v>
      </c>
      <c r="L44" s="101">
        <v>23369</v>
      </c>
      <c r="M44" s="101">
        <v>437955</v>
      </c>
      <c r="N44" s="101">
        <v>126657</v>
      </c>
      <c r="O44" s="101">
        <v>468</v>
      </c>
      <c r="P44" s="101">
        <v>5686</v>
      </c>
      <c r="Q44" s="101">
        <v>18272</v>
      </c>
      <c r="R44" s="101">
        <v>360932.39</v>
      </c>
      <c r="S44" s="101">
        <v>100678.961</v>
      </c>
      <c r="T44" s="133">
        <v>1.02</v>
      </c>
      <c r="U44" s="101">
        <f t="shared" si="1"/>
        <v>477.36</v>
      </c>
      <c r="V44" s="101">
        <f t="shared" si="2"/>
        <v>5799.72</v>
      </c>
      <c r="W44" s="101">
        <f t="shared" si="3"/>
        <v>18637.439999999999</v>
      </c>
      <c r="X44" s="101">
        <f t="shared" si="4"/>
        <v>368151.03780000005</v>
      </c>
      <c r="Y44" s="101">
        <f t="shared" si="5"/>
        <v>102692.54022</v>
      </c>
      <c r="AA44" s="101">
        <v>514</v>
      </c>
      <c r="AB44" s="101">
        <v>11788</v>
      </c>
      <c r="AC44" s="101">
        <v>37439</v>
      </c>
      <c r="AD44" s="101">
        <v>677302.75</v>
      </c>
      <c r="AE44" s="101">
        <v>201862.67300000001</v>
      </c>
      <c r="AF44" s="225"/>
      <c r="AG44" s="148"/>
      <c r="AH44" s="101">
        <v>30031</v>
      </c>
      <c r="AI44" s="101">
        <f t="shared" si="6"/>
        <v>24024.799999999999</v>
      </c>
      <c r="AJ44" s="101">
        <f t="shared" si="7"/>
        <v>36037.199999999997</v>
      </c>
    </row>
    <row r="45" spans="1:36" hidden="1" x14ac:dyDescent="0.3">
      <c r="A45" s="126" t="s">
        <v>171</v>
      </c>
      <c r="B45" s="126">
        <v>3</v>
      </c>
      <c r="C45" s="126">
        <v>37</v>
      </c>
      <c r="D45" s="126" t="str">
        <f t="shared" si="0"/>
        <v>337</v>
      </c>
      <c r="E45" s="101">
        <v>15.5</v>
      </c>
      <c r="F45" s="101">
        <v>47.25</v>
      </c>
      <c r="G45" s="101">
        <v>4735.75</v>
      </c>
      <c r="H45" s="101">
        <v>14578.41</v>
      </c>
      <c r="I45" s="101">
        <v>9418.4030000000002</v>
      </c>
      <c r="J45" s="101">
        <v>0</v>
      </c>
      <c r="K45" s="101">
        <v>0</v>
      </c>
      <c r="L45" s="101">
        <v>0</v>
      </c>
      <c r="M45" s="101">
        <v>0</v>
      </c>
      <c r="N45" s="101">
        <v>0</v>
      </c>
      <c r="O45" s="101">
        <v>3</v>
      </c>
      <c r="P45" s="101">
        <v>3</v>
      </c>
      <c r="Q45" s="101">
        <v>1631</v>
      </c>
      <c r="R45" s="101">
        <v>1027.8399999999999</v>
      </c>
      <c r="S45" s="101">
        <v>462.78</v>
      </c>
      <c r="T45" s="133">
        <v>1.02</v>
      </c>
      <c r="U45" s="101">
        <f t="shared" si="1"/>
        <v>3.06</v>
      </c>
      <c r="V45" s="101">
        <f t="shared" si="2"/>
        <v>3.06</v>
      </c>
      <c r="W45" s="101">
        <f t="shared" si="3"/>
        <v>1663.6200000000001</v>
      </c>
      <c r="X45" s="101">
        <f t="shared" si="4"/>
        <v>1048.3968</v>
      </c>
      <c r="Y45" s="101">
        <f t="shared" si="5"/>
        <v>472.03559999999999</v>
      </c>
      <c r="AA45" s="101">
        <v>3</v>
      </c>
      <c r="AB45" s="101">
        <v>8</v>
      </c>
      <c r="AC45" s="101">
        <v>7345</v>
      </c>
      <c r="AD45" s="101">
        <v>3988.5</v>
      </c>
      <c r="AE45" s="101">
        <v>607.54999999999995</v>
      </c>
      <c r="AF45" s="225"/>
      <c r="AG45" s="148"/>
      <c r="AH45" s="101">
        <v>30032</v>
      </c>
      <c r="AI45" s="101">
        <f t="shared" si="6"/>
        <v>24025.599999999999</v>
      </c>
      <c r="AJ45" s="101">
        <f t="shared" si="7"/>
        <v>36038.400000000001</v>
      </c>
    </row>
    <row r="46" spans="1:36" s="135" customFormat="1" hidden="1" x14ac:dyDescent="0.3">
      <c r="A46" s="126" t="s">
        <v>171</v>
      </c>
      <c r="B46" s="126">
        <v>3</v>
      </c>
      <c r="C46" s="126">
        <v>46</v>
      </c>
      <c r="D46" s="126" t="str">
        <f t="shared" si="0"/>
        <v>346</v>
      </c>
      <c r="E46" s="134"/>
      <c r="F46" s="134">
        <v>0</v>
      </c>
      <c r="G46" s="134">
        <v>0</v>
      </c>
      <c r="H46" s="134"/>
      <c r="I46" s="134"/>
      <c r="J46" s="101">
        <v>23</v>
      </c>
      <c r="K46" s="101">
        <v>34</v>
      </c>
      <c r="L46" s="101">
        <v>158</v>
      </c>
      <c r="M46" s="101">
        <v>6180</v>
      </c>
      <c r="N46" s="101">
        <v>1140</v>
      </c>
      <c r="O46" s="101">
        <v>15</v>
      </c>
      <c r="P46" s="101">
        <v>23</v>
      </c>
      <c r="Q46" s="101">
        <v>94</v>
      </c>
      <c r="R46" s="101">
        <v>4904.5600000000004</v>
      </c>
      <c r="S46" s="101">
        <v>1266.7529999999999</v>
      </c>
      <c r="T46" s="133">
        <v>1.02</v>
      </c>
      <c r="U46" s="101">
        <f t="shared" si="1"/>
        <v>15.3</v>
      </c>
      <c r="V46" s="101">
        <f t="shared" si="2"/>
        <v>23.46</v>
      </c>
      <c r="W46" s="101">
        <f t="shared" si="3"/>
        <v>95.88</v>
      </c>
      <c r="X46" s="101">
        <f t="shared" si="4"/>
        <v>5002.6512000000002</v>
      </c>
      <c r="Y46" s="101">
        <f t="shared" si="5"/>
        <v>1292.08806</v>
      </c>
      <c r="Z46" s="101"/>
      <c r="AA46" s="101">
        <v>13</v>
      </c>
      <c r="AB46" s="101">
        <v>17</v>
      </c>
      <c r="AC46" s="101">
        <v>299</v>
      </c>
      <c r="AD46" s="101">
        <v>6538.23</v>
      </c>
      <c r="AE46" s="101">
        <v>1738.779</v>
      </c>
      <c r="AF46" s="225"/>
      <c r="AG46" s="148"/>
      <c r="AH46" s="101">
        <v>30033</v>
      </c>
      <c r="AI46" s="101">
        <f t="shared" si="6"/>
        <v>24026.399999999998</v>
      </c>
      <c r="AJ46" s="101">
        <f t="shared" si="7"/>
        <v>36039.599999999999</v>
      </c>
    </row>
    <row r="47" spans="1:36" s="135" customFormat="1" hidden="1" x14ac:dyDescent="0.3">
      <c r="A47" s="126" t="s">
        <v>171</v>
      </c>
      <c r="B47" s="126">
        <v>3</v>
      </c>
      <c r="C47" s="126">
        <v>66</v>
      </c>
      <c r="D47" s="126" t="str">
        <f t="shared" si="0"/>
        <v>366</v>
      </c>
      <c r="E47" s="134"/>
      <c r="F47" s="134">
        <v>0</v>
      </c>
      <c r="G47" s="134">
        <v>0</v>
      </c>
      <c r="H47" s="134"/>
      <c r="I47" s="134"/>
      <c r="J47" s="101">
        <v>3</v>
      </c>
      <c r="K47" s="101">
        <v>3</v>
      </c>
      <c r="L47" s="101">
        <v>31</v>
      </c>
      <c r="M47" s="101">
        <v>558</v>
      </c>
      <c r="N47" s="101">
        <v>41</v>
      </c>
      <c r="O47" s="101">
        <v>43</v>
      </c>
      <c r="P47" s="101">
        <v>92</v>
      </c>
      <c r="Q47" s="101">
        <v>4323</v>
      </c>
      <c r="R47" s="101">
        <v>58746.44</v>
      </c>
      <c r="S47" s="101">
        <v>56263.677000000003</v>
      </c>
      <c r="T47" s="133">
        <v>1.02</v>
      </c>
      <c r="U47" s="101">
        <f t="shared" si="1"/>
        <v>43.86</v>
      </c>
      <c r="V47" s="101">
        <f t="shared" si="2"/>
        <v>93.84</v>
      </c>
      <c r="W47" s="101">
        <f t="shared" si="3"/>
        <v>4409.46</v>
      </c>
      <c r="X47" s="101">
        <f t="shared" si="4"/>
        <v>59921.368800000004</v>
      </c>
      <c r="Y47" s="101">
        <f t="shared" si="5"/>
        <v>57388.950540000005</v>
      </c>
      <c r="Z47" s="101"/>
      <c r="AA47" s="101">
        <v>25</v>
      </c>
      <c r="AB47" s="101">
        <v>46</v>
      </c>
      <c r="AC47" s="101">
        <v>877</v>
      </c>
      <c r="AD47" s="101">
        <v>7310.4</v>
      </c>
      <c r="AE47" s="101">
        <v>4419.1819999999998</v>
      </c>
      <c r="AF47" s="225"/>
      <c r="AG47" s="148"/>
      <c r="AH47" s="101">
        <v>30034</v>
      </c>
      <c r="AI47" s="101">
        <f t="shared" si="6"/>
        <v>24027.199999999997</v>
      </c>
      <c r="AJ47" s="101">
        <f t="shared" si="7"/>
        <v>36040.799999999996</v>
      </c>
    </row>
    <row r="48" spans="1:36" hidden="1" x14ac:dyDescent="0.3">
      <c r="A48" s="126" t="s">
        <v>171</v>
      </c>
      <c r="B48" s="126">
        <v>3</v>
      </c>
      <c r="C48" s="126">
        <v>71</v>
      </c>
      <c r="D48" s="126" t="str">
        <f t="shared" si="0"/>
        <v>371</v>
      </c>
      <c r="E48" s="101">
        <v>772</v>
      </c>
      <c r="F48" s="101">
        <v>5426.5</v>
      </c>
      <c r="G48" s="101">
        <v>13144</v>
      </c>
      <c r="H48" s="101">
        <v>114122.66500000001</v>
      </c>
      <c r="I48" s="101">
        <v>45102.659999999996</v>
      </c>
      <c r="J48" s="101">
        <v>565</v>
      </c>
      <c r="K48" s="101">
        <v>8895</v>
      </c>
      <c r="L48" s="101">
        <v>24102</v>
      </c>
      <c r="M48" s="101">
        <v>231352</v>
      </c>
      <c r="N48" s="101">
        <v>101796</v>
      </c>
      <c r="O48" s="101">
        <v>578</v>
      </c>
      <c r="P48" s="101">
        <v>8254</v>
      </c>
      <c r="Q48" s="101">
        <v>28118</v>
      </c>
      <c r="R48" s="101">
        <v>219670.54</v>
      </c>
      <c r="S48" s="101">
        <v>112323.72199999999</v>
      </c>
      <c r="T48" s="133">
        <v>0.98</v>
      </c>
      <c r="U48" s="101">
        <f t="shared" si="1"/>
        <v>566.43999999999994</v>
      </c>
      <c r="V48" s="101">
        <f t="shared" si="2"/>
        <v>8088.92</v>
      </c>
      <c r="W48" s="101">
        <f t="shared" si="3"/>
        <v>27555.64</v>
      </c>
      <c r="X48" s="101">
        <f t="shared" si="4"/>
        <v>215277.1292</v>
      </c>
      <c r="Y48" s="101">
        <f t="shared" si="5"/>
        <v>110077.24755999999</v>
      </c>
      <c r="AA48" s="101">
        <v>308</v>
      </c>
      <c r="AB48" s="101">
        <v>10317</v>
      </c>
      <c r="AC48" s="101">
        <v>41695</v>
      </c>
      <c r="AD48" s="101">
        <v>338029.51</v>
      </c>
      <c r="AE48" s="101">
        <v>129672.363</v>
      </c>
      <c r="AF48" s="225"/>
      <c r="AG48" s="148"/>
      <c r="AH48" s="101">
        <v>30035</v>
      </c>
      <c r="AI48" s="101">
        <f t="shared" si="6"/>
        <v>24028</v>
      </c>
      <c r="AJ48" s="101">
        <f t="shared" si="7"/>
        <v>36042</v>
      </c>
    </row>
    <row r="49" spans="1:36" s="135" customFormat="1" x14ac:dyDescent="0.3">
      <c r="A49" s="126" t="s">
        <v>171</v>
      </c>
      <c r="B49" s="126">
        <v>3</v>
      </c>
      <c r="C49" s="126">
        <v>91</v>
      </c>
      <c r="D49" s="126" t="str">
        <f t="shared" si="0"/>
        <v>391</v>
      </c>
      <c r="E49" s="134"/>
      <c r="F49" s="134">
        <v>0</v>
      </c>
      <c r="G49" s="134">
        <v>0</v>
      </c>
      <c r="H49" s="134"/>
      <c r="I49" s="134"/>
      <c r="J49" s="101">
        <v>9</v>
      </c>
      <c r="K49" s="101">
        <v>11</v>
      </c>
      <c r="L49" s="101">
        <v>60</v>
      </c>
      <c r="M49" s="101">
        <v>305</v>
      </c>
      <c r="N49" s="101">
        <v>411</v>
      </c>
      <c r="O49" s="101">
        <v>8</v>
      </c>
      <c r="P49" s="101">
        <v>10</v>
      </c>
      <c r="Q49" s="101">
        <v>30</v>
      </c>
      <c r="R49" s="101">
        <v>298.76</v>
      </c>
      <c r="S49" s="101">
        <v>171.51300000000001</v>
      </c>
      <c r="T49" s="133">
        <v>1.02</v>
      </c>
      <c r="U49" s="101">
        <f t="shared" si="1"/>
        <v>8.16</v>
      </c>
      <c r="V49" s="101">
        <f t="shared" si="2"/>
        <v>10.199999999999999</v>
      </c>
      <c r="W49" s="101">
        <f t="shared" si="3"/>
        <v>30.6</v>
      </c>
      <c r="X49" s="101">
        <f t="shared" si="4"/>
        <v>304.73520000000002</v>
      </c>
      <c r="Y49" s="101">
        <f t="shared" si="5"/>
        <v>174.94326000000001</v>
      </c>
      <c r="Z49" s="101"/>
      <c r="AA49" s="101">
        <v>5</v>
      </c>
      <c r="AB49" s="101">
        <v>13</v>
      </c>
      <c r="AC49" s="101">
        <v>16</v>
      </c>
      <c r="AD49" s="101">
        <v>262.14</v>
      </c>
      <c r="AE49" s="101">
        <v>102.298</v>
      </c>
      <c r="AF49" s="225"/>
      <c r="AG49" s="148"/>
      <c r="AH49" s="101">
        <v>30036</v>
      </c>
      <c r="AI49" s="101">
        <f t="shared" si="6"/>
        <v>24028.800000000003</v>
      </c>
      <c r="AJ49" s="101">
        <f t="shared" si="7"/>
        <v>36043.200000000004</v>
      </c>
    </row>
    <row r="50" spans="1:36" s="135" customFormat="1" hidden="1" x14ac:dyDescent="0.3">
      <c r="A50" s="126" t="s">
        <v>171</v>
      </c>
      <c r="B50" s="126">
        <v>3</v>
      </c>
      <c r="C50" s="126">
        <v>41</v>
      </c>
      <c r="D50" s="126" t="str">
        <f t="shared" si="0"/>
        <v>341</v>
      </c>
      <c r="E50" s="134"/>
      <c r="F50" s="134"/>
      <c r="G50" s="134"/>
      <c r="H50" s="134"/>
      <c r="I50" s="134"/>
      <c r="J50" s="101"/>
      <c r="K50" s="101"/>
      <c r="L50" s="101"/>
      <c r="M50" s="101"/>
      <c r="N50" s="101"/>
      <c r="O50" s="101">
        <v>7</v>
      </c>
      <c r="P50" s="101">
        <v>7</v>
      </c>
      <c r="Q50" s="101">
        <v>77</v>
      </c>
      <c r="R50" s="101">
        <v>1265.1400000000001</v>
      </c>
      <c r="S50" s="101">
        <v>368.77199999999999</v>
      </c>
      <c r="T50" s="133">
        <v>1.02</v>
      </c>
      <c r="U50" s="101">
        <f t="shared" si="1"/>
        <v>7.1400000000000006</v>
      </c>
      <c r="V50" s="101">
        <f t="shared" si="2"/>
        <v>7.1400000000000006</v>
      </c>
      <c r="W50" s="101">
        <f t="shared" si="3"/>
        <v>78.540000000000006</v>
      </c>
      <c r="X50" s="101">
        <f t="shared" si="4"/>
        <v>1290.4428</v>
      </c>
      <c r="Y50" s="101">
        <f t="shared" si="5"/>
        <v>376.14744000000002</v>
      </c>
      <c r="Z50" s="101"/>
      <c r="AA50" s="101">
        <v>1</v>
      </c>
      <c r="AB50" s="101">
        <v>1</v>
      </c>
      <c r="AC50" s="101">
        <v>6</v>
      </c>
      <c r="AD50" s="101">
        <v>102.96</v>
      </c>
      <c r="AE50" s="101">
        <v>44.688000000000002</v>
      </c>
      <c r="AF50" s="225"/>
      <c r="AG50" s="148"/>
      <c r="AH50" s="101"/>
      <c r="AI50" s="101"/>
      <c r="AJ50" s="101"/>
    </row>
    <row r="51" spans="1:36" s="135" customFormat="1" hidden="1" x14ac:dyDescent="0.3">
      <c r="A51" s="126" t="s">
        <v>171</v>
      </c>
      <c r="B51" s="126">
        <v>3</v>
      </c>
      <c r="C51" s="126">
        <v>1</v>
      </c>
      <c r="D51" s="126" t="str">
        <f t="shared" si="0"/>
        <v>31</v>
      </c>
      <c r="E51" s="134"/>
      <c r="F51" s="134"/>
      <c r="G51" s="134"/>
      <c r="H51" s="134"/>
      <c r="I51" s="134"/>
      <c r="J51" s="101">
        <v>111</v>
      </c>
      <c r="K51" s="101">
        <v>111</v>
      </c>
      <c r="L51" s="101">
        <v>92768</v>
      </c>
      <c r="M51" s="101"/>
      <c r="N51" s="101">
        <v>343563</v>
      </c>
      <c r="O51" s="101">
        <v>123</v>
      </c>
      <c r="P51" s="101">
        <v>123</v>
      </c>
      <c r="Q51" s="101">
        <v>43425</v>
      </c>
      <c r="R51" s="101"/>
      <c r="S51" s="101">
        <v>267149</v>
      </c>
      <c r="T51" s="133">
        <v>1.02</v>
      </c>
      <c r="U51" s="101">
        <f t="shared" si="1"/>
        <v>125.46000000000001</v>
      </c>
      <c r="V51" s="101">
        <f t="shared" si="2"/>
        <v>125.46000000000001</v>
      </c>
      <c r="W51" s="101">
        <f t="shared" si="3"/>
        <v>44293.5</v>
      </c>
      <c r="X51" s="101">
        <f t="shared" si="4"/>
        <v>0</v>
      </c>
      <c r="Y51" s="101">
        <f t="shared" si="5"/>
        <v>272491.98</v>
      </c>
      <c r="Z51" s="101"/>
      <c r="AA51" s="101">
        <v>111</v>
      </c>
      <c r="AB51" s="101">
        <v>111</v>
      </c>
      <c r="AC51" s="101">
        <v>29584</v>
      </c>
      <c r="AD51" s="101"/>
      <c r="AE51" s="101">
        <v>84259.812999999995</v>
      </c>
      <c r="AF51" s="225"/>
      <c r="AG51" s="148"/>
      <c r="AH51" s="101"/>
      <c r="AI51" s="101"/>
      <c r="AJ51" s="101"/>
    </row>
    <row r="52" spans="1:36" hidden="1" x14ac:dyDescent="0.3">
      <c r="A52" s="126" t="s">
        <v>171</v>
      </c>
      <c r="B52" s="126">
        <v>3</v>
      </c>
      <c r="C52" s="126">
        <v>21</v>
      </c>
      <c r="D52" s="126" t="str">
        <f t="shared" si="0"/>
        <v>321</v>
      </c>
      <c r="E52" s="101">
        <v>1286</v>
      </c>
      <c r="F52" s="101">
        <v>7875</v>
      </c>
      <c r="G52" s="101">
        <v>41156.5</v>
      </c>
      <c r="H52" s="101">
        <v>622508.0149999999</v>
      </c>
      <c r="I52" s="101">
        <v>206386.80499999999</v>
      </c>
      <c r="J52" s="101">
        <v>1089</v>
      </c>
      <c r="K52" s="101">
        <v>4349</v>
      </c>
      <c r="L52" s="101">
        <v>33754</v>
      </c>
      <c r="M52" s="101">
        <v>375976</v>
      </c>
      <c r="N52" s="101">
        <v>154928</v>
      </c>
      <c r="O52" s="101">
        <v>754</v>
      </c>
      <c r="P52" s="101">
        <v>6527</v>
      </c>
      <c r="Q52" s="101">
        <v>23200</v>
      </c>
      <c r="R52" s="101">
        <v>405152.44</v>
      </c>
      <c r="S52" s="101">
        <v>114185.516</v>
      </c>
      <c r="T52" s="133">
        <v>1.02</v>
      </c>
      <c r="U52" s="101">
        <f t="shared" si="1"/>
        <v>769.08</v>
      </c>
      <c r="V52" s="101">
        <f t="shared" si="2"/>
        <v>6657.54</v>
      </c>
      <c r="W52" s="101">
        <f t="shared" si="3"/>
        <v>23664</v>
      </c>
      <c r="X52" s="101">
        <f t="shared" si="4"/>
        <v>413255.48879999999</v>
      </c>
      <c r="Y52" s="101">
        <f t="shared" si="5"/>
        <v>116469.22632</v>
      </c>
      <c r="AA52" s="101">
        <v>129</v>
      </c>
      <c r="AB52" s="101">
        <v>345</v>
      </c>
      <c r="AC52" s="101">
        <v>1507</v>
      </c>
      <c r="AD52" s="101">
        <v>26987.87</v>
      </c>
      <c r="AE52" s="101">
        <v>10657.133</v>
      </c>
      <c r="AF52" s="225"/>
      <c r="AG52" s="148"/>
      <c r="AH52" s="101">
        <v>30037</v>
      </c>
      <c r="AI52" s="101">
        <f t="shared" si="6"/>
        <v>24029.599999999999</v>
      </c>
      <c r="AJ52" s="101">
        <f t="shared" si="7"/>
        <v>36044.400000000001</v>
      </c>
    </row>
    <row r="53" spans="1:36" hidden="1" x14ac:dyDescent="0.3">
      <c r="A53" s="126" t="s">
        <v>171</v>
      </c>
      <c r="B53" s="126">
        <v>4</v>
      </c>
      <c r="C53" s="126">
        <v>22</v>
      </c>
      <c r="D53" s="126" t="str">
        <f t="shared" si="0"/>
        <v>422</v>
      </c>
      <c r="E53" s="101">
        <v>546</v>
      </c>
      <c r="F53" s="101">
        <v>5700</v>
      </c>
      <c r="G53" s="101">
        <v>52984</v>
      </c>
      <c r="H53" s="101">
        <v>314016.15000000002</v>
      </c>
      <c r="I53" s="101">
        <v>141296.58100000001</v>
      </c>
      <c r="J53" s="101">
        <v>799</v>
      </c>
      <c r="K53" s="101">
        <v>4441</v>
      </c>
      <c r="L53" s="101">
        <v>30430</v>
      </c>
      <c r="M53" s="101">
        <v>225361</v>
      </c>
      <c r="N53" s="101">
        <v>117928</v>
      </c>
      <c r="O53" s="101">
        <v>701</v>
      </c>
      <c r="P53" s="101">
        <v>4460</v>
      </c>
      <c r="Q53" s="101">
        <v>24636</v>
      </c>
      <c r="R53" s="101">
        <v>135192.73000000001</v>
      </c>
      <c r="S53" s="101">
        <v>69552.547999999995</v>
      </c>
      <c r="T53" s="133">
        <v>1.02</v>
      </c>
      <c r="U53" s="101">
        <f t="shared" si="1"/>
        <v>715.02</v>
      </c>
      <c r="V53" s="101">
        <f t="shared" si="2"/>
        <v>4549.2</v>
      </c>
      <c r="W53" s="101">
        <f t="shared" si="3"/>
        <v>25128.720000000001</v>
      </c>
      <c r="X53" s="101">
        <f t="shared" si="4"/>
        <v>137896.5846</v>
      </c>
      <c r="Y53" s="101">
        <f t="shared" si="5"/>
        <v>70943.598960000003</v>
      </c>
      <c r="AA53" s="101">
        <v>412</v>
      </c>
      <c r="AB53" s="101">
        <v>2677</v>
      </c>
      <c r="AC53" s="101">
        <v>22300</v>
      </c>
      <c r="AD53" s="101">
        <v>105496.96000000001</v>
      </c>
      <c r="AE53" s="101">
        <v>77476.311000000002</v>
      </c>
      <c r="AF53" s="225">
        <f t="shared" ref="AF53" si="9">SUM(AB53:AB68)</f>
        <v>23032</v>
      </c>
      <c r="AG53" s="148"/>
      <c r="AH53" s="101">
        <v>30038</v>
      </c>
      <c r="AI53" s="101">
        <f t="shared" si="6"/>
        <v>24030.400000000001</v>
      </c>
      <c r="AJ53" s="101">
        <f t="shared" si="7"/>
        <v>36045.599999999999</v>
      </c>
    </row>
    <row r="54" spans="1:36" s="135" customFormat="1" hidden="1" x14ac:dyDescent="0.3">
      <c r="A54" s="126" t="s">
        <v>171</v>
      </c>
      <c r="B54" s="126">
        <v>4</v>
      </c>
      <c r="C54" s="126">
        <v>12</v>
      </c>
      <c r="D54" s="126" t="str">
        <f t="shared" si="0"/>
        <v>412</v>
      </c>
      <c r="E54" s="134"/>
      <c r="F54" s="134">
        <v>0</v>
      </c>
      <c r="G54" s="134">
        <v>0</v>
      </c>
      <c r="H54" s="134"/>
      <c r="I54" s="134"/>
      <c r="J54" s="101">
        <v>0</v>
      </c>
      <c r="K54" s="101">
        <v>0</v>
      </c>
      <c r="L54" s="101">
        <v>0</v>
      </c>
      <c r="M54" s="101">
        <v>0</v>
      </c>
      <c r="N54" s="101">
        <v>0</v>
      </c>
      <c r="O54" s="101">
        <v>0</v>
      </c>
      <c r="P54" s="101">
        <v>0</v>
      </c>
      <c r="Q54" s="101">
        <v>0</v>
      </c>
      <c r="R54" s="101">
        <v>0</v>
      </c>
      <c r="S54" s="101">
        <v>0</v>
      </c>
      <c r="T54" s="133">
        <v>1.02</v>
      </c>
      <c r="U54" s="101">
        <f t="shared" si="1"/>
        <v>0</v>
      </c>
      <c r="V54" s="101">
        <f t="shared" si="2"/>
        <v>0</v>
      </c>
      <c r="W54" s="101">
        <f t="shared" si="3"/>
        <v>0</v>
      </c>
      <c r="X54" s="101">
        <f t="shared" si="4"/>
        <v>0</v>
      </c>
      <c r="Y54" s="101">
        <f t="shared" si="5"/>
        <v>0</v>
      </c>
      <c r="Z54" s="101"/>
      <c r="AA54" s="101">
        <v>1</v>
      </c>
      <c r="AB54" s="101">
        <v>1</v>
      </c>
      <c r="AC54" s="101">
        <v>1</v>
      </c>
      <c r="AD54" s="101">
        <v>0</v>
      </c>
      <c r="AE54" s="101">
        <v>7.1550000000000002</v>
      </c>
      <c r="AF54" s="225"/>
      <c r="AG54" s="148"/>
      <c r="AH54" s="101">
        <v>30039</v>
      </c>
      <c r="AI54" s="101">
        <f t="shared" si="6"/>
        <v>24031.199999999997</v>
      </c>
      <c r="AJ54" s="101">
        <f t="shared" si="7"/>
        <v>36046.799999999996</v>
      </c>
    </row>
    <row r="55" spans="1:36" hidden="1" x14ac:dyDescent="0.3">
      <c r="A55" s="126" t="s">
        <v>171</v>
      </c>
      <c r="B55" s="126">
        <v>4</v>
      </c>
      <c r="C55" s="126">
        <v>25</v>
      </c>
      <c r="D55" s="126" t="str">
        <f t="shared" si="0"/>
        <v>425</v>
      </c>
      <c r="E55" s="101">
        <v>381</v>
      </c>
      <c r="F55" s="101">
        <v>2663</v>
      </c>
      <c r="G55" s="101">
        <v>58661</v>
      </c>
      <c r="H55" s="101">
        <v>561732.60000000009</v>
      </c>
      <c r="I55" s="101">
        <v>263752.13599999994</v>
      </c>
      <c r="J55" s="101">
        <v>250</v>
      </c>
      <c r="K55" s="101">
        <v>2393</v>
      </c>
      <c r="L55" s="101">
        <v>44272</v>
      </c>
      <c r="M55" s="101">
        <v>345891</v>
      </c>
      <c r="N55" s="101">
        <v>173762</v>
      </c>
      <c r="O55" s="101">
        <v>101</v>
      </c>
      <c r="P55" s="101">
        <v>1074</v>
      </c>
      <c r="Q55" s="101">
        <v>33040</v>
      </c>
      <c r="R55" s="101">
        <v>499513.84</v>
      </c>
      <c r="S55" s="101">
        <v>267684.08799999999</v>
      </c>
      <c r="T55" s="133">
        <v>1.02</v>
      </c>
      <c r="U55" s="101">
        <f t="shared" si="1"/>
        <v>103.02</v>
      </c>
      <c r="V55" s="101">
        <f t="shared" si="2"/>
        <v>1095.48</v>
      </c>
      <c r="W55" s="101">
        <f t="shared" si="3"/>
        <v>33700.800000000003</v>
      </c>
      <c r="X55" s="101">
        <f t="shared" si="4"/>
        <v>509504.11680000002</v>
      </c>
      <c r="Y55" s="101">
        <f t="shared" si="5"/>
        <v>273037.76976</v>
      </c>
      <c r="AA55" s="101">
        <v>335</v>
      </c>
      <c r="AB55" s="101">
        <v>3041</v>
      </c>
      <c r="AC55" s="101">
        <v>65691</v>
      </c>
      <c r="AD55" s="101">
        <v>1130644.76</v>
      </c>
      <c r="AE55" s="101">
        <v>689715.93799999997</v>
      </c>
      <c r="AF55" s="225"/>
      <c r="AG55" s="148"/>
      <c r="AH55" s="101">
        <v>30040</v>
      </c>
      <c r="AI55" s="101">
        <f t="shared" si="6"/>
        <v>24032</v>
      </c>
      <c r="AJ55" s="101">
        <f t="shared" si="7"/>
        <v>36048</v>
      </c>
    </row>
    <row r="56" spans="1:36" hidden="1" x14ac:dyDescent="0.3">
      <c r="A56" s="126" t="s">
        <v>171</v>
      </c>
      <c r="B56" s="126">
        <v>4</v>
      </c>
      <c r="C56" s="126">
        <v>27</v>
      </c>
      <c r="D56" s="126" t="str">
        <f t="shared" si="0"/>
        <v>427</v>
      </c>
      <c r="E56" s="101">
        <v>33</v>
      </c>
      <c r="F56" s="101">
        <v>582</v>
      </c>
      <c r="G56" s="101">
        <v>5260</v>
      </c>
      <c r="H56" s="101">
        <v>55016.079999999994</v>
      </c>
      <c r="I56" s="101">
        <v>16713.786</v>
      </c>
      <c r="J56" s="101">
        <v>25</v>
      </c>
      <c r="K56" s="101">
        <v>522</v>
      </c>
      <c r="L56" s="101">
        <v>2855</v>
      </c>
      <c r="M56" s="101">
        <v>42027</v>
      </c>
      <c r="N56" s="101">
        <v>14597</v>
      </c>
      <c r="O56" s="101">
        <v>8</v>
      </c>
      <c r="P56" s="101">
        <v>11</v>
      </c>
      <c r="Q56" s="101">
        <v>313</v>
      </c>
      <c r="R56" s="101">
        <v>7559.44</v>
      </c>
      <c r="S56" s="101">
        <v>6552.625</v>
      </c>
      <c r="T56" s="133">
        <v>1.02</v>
      </c>
      <c r="U56" s="101">
        <f t="shared" si="1"/>
        <v>8.16</v>
      </c>
      <c r="V56" s="101">
        <f t="shared" si="2"/>
        <v>11.22</v>
      </c>
      <c r="W56" s="101">
        <f t="shared" si="3"/>
        <v>319.26</v>
      </c>
      <c r="X56" s="101">
        <f t="shared" si="4"/>
        <v>7710.6287999999995</v>
      </c>
      <c r="Y56" s="101">
        <f t="shared" si="5"/>
        <v>6683.6774999999998</v>
      </c>
      <c r="AA56" s="101">
        <v>12</v>
      </c>
      <c r="AB56" s="101">
        <v>74</v>
      </c>
      <c r="AC56" s="101">
        <v>905</v>
      </c>
      <c r="AD56" s="101">
        <v>8030.63</v>
      </c>
      <c r="AE56" s="101">
        <v>3092.5630000000001</v>
      </c>
      <c r="AF56" s="225"/>
      <c r="AG56" s="148"/>
      <c r="AH56" s="101">
        <v>30041</v>
      </c>
      <c r="AI56" s="101">
        <f t="shared" si="6"/>
        <v>24032.800000000003</v>
      </c>
      <c r="AJ56" s="101">
        <f t="shared" si="7"/>
        <v>36049.200000000004</v>
      </c>
    </row>
    <row r="57" spans="1:36" hidden="1" x14ac:dyDescent="0.3">
      <c r="A57" s="126" t="s">
        <v>171</v>
      </c>
      <c r="B57" s="126">
        <v>4</v>
      </c>
      <c r="C57" s="126">
        <v>26</v>
      </c>
      <c r="D57" s="126" t="str">
        <f t="shared" si="0"/>
        <v>426</v>
      </c>
      <c r="E57" s="101">
        <v>125</v>
      </c>
      <c r="F57" s="101">
        <v>3416</v>
      </c>
      <c r="G57" s="101">
        <v>29069</v>
      </c>
      <c r="H57" s="101">
        <v>411433.49</v>
      </c>
      <c r="I57" s="101">
        <v>150800</v>
      </c>
      <c r="J57" s="101">
        <v>68</v>
      </c>
      <c r="K57" s="101">
        <v>2665</v>
      </c>
      <c r="L57" s="101">
        <v>39128</v>
      </c>
      <c r="M57" s="101">
        <v>550792</v>
      </c>
      <c r="N57" s="101">
        <v>180510</v>
      </c>
      <c r="O57" s="101">
        <v>46</v>
      </c>
      <c r="P57" s="101">
        <v>1066</v>
      </c>
      <c r="Q57" s="101">
        <v>16799</v>
      </c>
      <c r="R57" s="101">
        <v>276079.12</v>
      </c>
      <c r="S57" s="101">
        <v>107202.93</v>
      </c>
      <c r="T57" s="133">
        <v>1.02</v>
      </c>
      <c r="U57" s="101">
        <f t="shared" si="1"/>
        <v>46.92</v>
      </c>
      <c r="V57" s="101">
        <f t="shared" si="2"/>
        <v>1087.32</v>
      </c>
      <c r="W57" s="101">
        <f t="shared" si="3"/>
        <v>17134.98</v>
      </c>
      <c r="X57" s="101">
        <f t="shared" si="4"/>
        <v>281600.70240000001</v>
      </c>
      <c r="Y57" s="101">
        <f t="shared" si="5"/>
        <v>109346.9886</v>
      </c>
      <c r="AA57" s="101">
        <v>19</v>
      </c>
      <c r="AB57" s="101">
        <v>454</v>
      </c>
      <c r="AC57" s="101">
        <v>17669</v>
      </c>
      <c r="AD57" s="101">
        <v>152972.41</v>
      </c>
      <c r="AE57" s="101">
        <v>81385.134000000005</v>
      </c>
      <c r="AF57" s="225"/>
      <c r="AG57" s="148"/>
      <c r="AH57" s="101">
        <v>30042</v>
      </c>
      <c r="AI57" s="101">
        <f t="shared" si="6"/>
        <v>24033.600000000002</v>
      </c>
      <c r="AJ57" s="101">
        <f t="shared" si="7"/>
        <v>36050.400000000001</v>
      </c>
    </row>
    <row r="58" spans="1:36" s="135" customFormat="1" hidden="1" x14ac:dyDescent="0.3">
      <c r="A58" s="126" t="s">
        <v>171</v>
      </c>
      <c r="B58" s="126">
        <v>4</v>
      </c>
      <c r="C58" s="126">
        <v>28</v>
      </c>
      <c r="D58" s="126" t="str">
        <f t="shared" si="0"/>
        <v>428</v>
      </c>
      <c r="E58" s="134"/>
      <c r="F58" s="134">
        <v>0</v>
      </c>
      <c r="G58" s="134">
        <v>0</v>
      </c>
      <c r="H58" s="134"/>
      <c r="I58" s="134"/>
      <c r="J58" s="101">
        <v>44</v>
      </c>
      <c r="K58" s="101">
        <v>76</v>
      </c>
      <c r="L58" s="101">
        <v>2391</v>
      </c>
      <c r="M58" s="101">
        <v>78227</v>
      </c>
      <c r="N58" s="101">
        <v>17892</v>
      </c>
      <c r="O58" s="101">
        <v>83</v>
      </c>
      <c r="P58" s="101">
        <v>663</v>
      </c>
      <c r="Q58" s="101">
        <v>4927</v>
      </c>
      <c r="R58" s="101">
        <v>93742.26</v>
      </c>
      <c r="S58" s="101">
        <v>21194.61</v>
      </c>
      <c r="T58" s="133">
        <v>1.02</v>
      </c>
      <c r="U58" s="101">
        <f t="shared" si="1"/>
        <v>84.66</v>
      </c>
      <c r="V58" s="101">
        <f t="shared" si="2"/>
        <v>676.26</v>
      </c>
      <c r="W58" s="101">
        <f t="shared" si="3"/>
        <v>5025.54</v>
      </c>
      <c r="X58" s="101">
        <f t="shared" si="4"/>
        <v>95617.105199999991</v>
      </c>
      <c r="Y58" s="101">
        <f t="shared" si="5"/>
        <v>21618.502200000003</v>
      </c>
      <c r="Z58" s="101"/>
      <c r="AA58" s="101">
        <v>87</v>
      </c>
      <c r="AB58" s="101">
        <v>799</v>
      </c>
      <c r="AC58" s="101">
        <v>7815</v>
      </c>
      <c r="AD58" s="101">
        <v>168818.25</v>
      </c>
      <c r="AE58" s="101">
        <v>39903.688000000002</v>
      </c>
      <c r="AF58" s="225"/>
      <c r="AG58" s="148"/>
      <c r="AH58" s="101">
        <v>30043</v>
      </c>
      <c r="AI58" s="101">
        <f t="shared" si="6"/>
        <v>24034.400000000001</v>
      </c>
      <c r="AJ58" s="101">
        <f t="shared" si="7"/>
        <v>36051.599999999999</v>
      </c>
    </row>
    <row r="59" spans="1:36" hidden="1" x14ac:dyDescent="0.3">
      <c r="A59" s="126" t="s">
        <v>171</v>
      </c>
      <c r="B59" s="126">
        <v>4</v>
      </c>
      <c r="C59" s="126">
        <v>32</v>
      </c>
      <c r="D59" s="126" t="str">
        <f t="shared" si="0"/>
        <v>432</v>
      </c>
      <c r="E59" s="101">
        <v>589</v>
      </c>
      <c r="F59" s="101">
        <v>1836</v>
      </c>
      <c r="G59" s="101">
        <v>39184</v>
      </c>
      <c r="H59" s="101">
        <v>957579.46</v>
      </c>
      <c r="I59" s="101">
        <v>463858.16200000001</v>
      </c>
      <c r="J59" s="101">
        <v>431</v>
      </c>
      <c r="K59" s="101">
        <v>1184</v>
      </c>
      <c r="L59" s="101">
        <v>40961</v>
      </c>
      <c r="M59" s="101">
        <v>93008</v>
      </c>
      <c r="N59" s="101">
        <v>212864</v>
      </c>
      <c r="O59" s="101">
        <v>201</v>
      </c>
      <c r="P59" s="101">
        <v>785</v>
      </c>
      <c r="Q59" s="101">
        <v>14290</v>
      </c>
      <c r="R59" s="101">
        <v>134049.84</v>
      </c>
      <c r="S59" s="101">
        <v>69494.225000000006</v>
      </c>
      <c r="T59" s="133">
        <v>1.02</v>
      </c>
      <c r="U59" s="101">
        <f t="shared" si="1"/>
        <v>205.02</v>
      </c>
      <c r="V59" s="101">
        <f t="shared" si="2"/>
        <v>800.7</v>
      </c>
      <c r="W59" s="101">
        <f t="shared" si="3"/>
        <v>14575.800000000001</v>
      </c>
      <c r="X59" s="101">
        <f t="shared" si="4"/>
        <v>136730.83679999999</v>
      </c>
      <c r="Y59" s="101">
        <f t="shared" si="5"/>
        <v>70884.109500000006</v>
      </c>
      <c r="AA59" s="101">
        <v>231</v>
      </c>
      <c r="AB59" s="101">
        <v>986</v>
      </c>
      <c r="AC59" s="101">
        <v>22202</v>
      </c>
      <c r="AD59" s="101">
        <v>116733.9</v>
      </c>
      <c r="AE59" s="101">
        <v>109541.067</v>
      </c>
      <c r="AF59" s="225"/>
      <c r="AG59" s="148"/>
      <c r="AH59" s="101">
        <v>30044</v>
      </c>
      <c r="AI59" s="101">
        <f t="shared" si="6"/>
        <v>24035.200000000001</v>
      </c>
      <c r="AJ59" s="101">
        <f t="shared" si="7"/>
        <v>36052.800000000003</v>
      </c>
    </row>
    <row r="60" spans="1:36" hidden="1" x14ac:dyDescent="0.3">
      <c r="A60" s="126" t="s">
        <v>171</v>
      </c>
      <c r="B60" s="126">
        <v>4</v>
      </c>
      <c r="C60" s="126">
        <v>21</v>
      </c>
      <c r="D60" s="126" t="str">
        <f t="shared" si="0"/>
        <v>421</v>
      </c>
      <c r="E60" s="101">
        <v>1260.5</v>
      </c>
      <c r="F60" s="101">
        <v>10988</v>
      </c>
      <c r="G60" s="101">
        <v>56796.5</v>
      </c>
      <c r="H60" s="101">
        <v>967130.34499999997</v>
      </c>
      <c r="I60" s="101">
        <v>390640.46200000006</v>
      </c>
      <c r="J60" s="101">
        <v>1062</v>
      </c>
      <c r="K60" s="101">
        <v>7079</v>
      </c>
      <c r="L60" s="101">
        <v>29064</v>
      </c>
      <c r="M60" s="101">
        <v>647902</v>
      </c>
      <c r="N60" s="101">
        <v>187276</v>
      </c>
      <c r="O60" s="101">
        <v>487</v>
      </c>
      <c r="P60" s="101">
        <v>6641</v>
      </c>
      <c r="Q60" s="101">
        <v>28684</v>
      </c>
      <c r="R60" s="101">
        <v>398168.62</v>
      </c>
      <c r="S60" s="101">
        <v>132046.255</v>
      </c>
      <c r="T60" s="133">
        <v>1.02</v>
      </c>
      <c r="U60" s="101">
        <f t="shared" si="1"/>
        <v>496.74</v>
      </c>
      <c r="V60" s="101">
        <f t="shared" si="2"/>
        <v>6773.82</v>
      </c>
      <c r="W60" s="101">
        <f t="shared" si="3"/>
        <v>29257.68</v>
      </c>
      <c r="X60" s="101">
        <f t="shared" si="4"/>
        <v>406131.99239999999</v>
      </c>
      <c r="Y60" s="101">
        <f t="shared" si="5"/>
        <v>134687.1801</v>
      </c>
      <c r="AA60" s="101">
        <v>100</v>
      </c>
      <c r="AB60" s="101">
        <v>1008</v>
      </c>
      <c r="AC60" s="101">
        <v>1598</v>
      </c>
      <c r="AD60" s="101">
        <v>39369.51</v>
      </c>
      <c r="AE60" s="101">
        <v>9447.4979999999996</v>
      </c>
      <c r="AF60" s="225"/>
      <c r="AG60" s="148"/>
      <c r="AH60" s="101">
        <v>30045</v>
      </c>
      <c r="AI60" s="101">
        <f t="shared" si="6"/>
        <v>24036</v>
      </c>
      <c r="AJ60" s="101">
        <f t="shared" si="7"/>
        <v>36054</v>
      </c>
    </row>
    <row r="61" spans="1:36" hidden="1" x14ac:dyDescent="0.3">
      <c r="A61" s="126" t="s">
        <v>171</v>
      </c>
      <c r="B61" s="126">
        <v>4</v>
      </c>
      <c r="C61" s="126">
        <v>30</v>
      </c>
      <c r="D61" s="126" t="str">
        <f t="shared" si="0"/>
        <v>430</v>
      </c>
      <c r="E61" s="101">
        <v>300</v>
      </c>
      <c r="F61" s="101">
        <v>3989</v>
      </c>
      <c r="G61" s="101">
        <v>24711.5</v>
      </c>
      <c r="H61" s="101">
        <v>514737.37</v>
      </c>
      <c r="I61" s="101">
        <v>237640.41549999997</v>
      </c>
      <c r="J61" s="101">
        <v>542</v>
      </c>
      <c r="K61" s="101">
        <v>5049</v>
      </c>
      <c r="L61" s="101">
        <v>15969</v>
      </c>
      <c r="M61" s="101">
        <v>338191</v>
      </c>
      <c r="N61" s="101">
        <v>102595</v>
      </c>
      <c r="O61" s="101">
        <v>258</v>
      </c>
      <c r="P61" s="101">
        <v>3985</v>
      </c>
      <c r="Q61" s="101">
        <v>17388</v>
      </c>
      <c r="R61" s="101">
        <v>434636.83</v>
      </c>
      <c r="S61" s="101">
        <v>162091.617</v>
      </c>
      <c r="T61" s="133">
        <v>1.02</v>
      </c>
      <c r="U61" s="101">
        <f t="shared" si="1"/>
        <v>263.16000000000003</v>
      </c>
      <c r="V61" s="101">
        <f t="shared" si="2"/>
        <v>4064.7000000000003</v>
      </c>
      <c r="W61" s="101">
        <f t="shared" si="3"/>
        <v>17735.760000000002</v>
      </c>
      <c r="X61" s="101">
        <f t="shared" si="4"/>
        <v>443329.56660000002</v>
      </c>
      <c r="Y61" s="101">
        <f t="shared" si="5"/>
        <v>165333.44933999999</v>
      </c>
      <c r="AA61" s="101">
        <v>496</v>
      </c>
      <c r="AB61" s="101">
        <v>7244</v>
      </c>
      <c r="AC61" s="101">
        <v>26789</v>
      </c>
      <c r="AD61" s="101">
        <v>750201.75</v>
      </c>
      <c r="AE61" s="101">
        <v>249667.57699999999</v>
      </c>
      <c r="AF61" s="225"/>
      <c r="AG61" s="148"/>
      <c r="AH61" s="101">
        <v>30046</v>
      </c>
      <c r="AI61" s="101">
        <f t="shared" si="6"/>
        <v>24036.799999999999</v>
      </c>
      <c r="AJ61" s="101">
        <f t="shared" si="7"/>
        <v>36055.199999999997</v>
      </c>
    </row>
    <row r="62" spans="1:36" s="135" customFormat="1" hidden="1" x14ac:dyDescent="0.3">
      <c r="A62" s="126" t="s">
        <v>171</v>
      </c>
      <c r="B62" s="126">
        <v>4</v>
      </c>
      <c r="C62" s="126">
        <v>46</v>
      </c>
      <c r="D62" s="126" t="str">
        <f t="shared" si="0"/>
        <v>446</v>
      </c>
      <c r="E62" s="134"/>
      <c r="F62" s="134">
        <v>0</v>
      </c>
      <c r="G62" s="134">
        <v>0</v>
      </c>
      <c r="H62" s="134"/>
      <c r="I62" s="134"/>
      <c r="J62" s="101">
        <v>31</v>
      </c>
      <c r="K62" s="101">
        <v>38</v>
      </c>
      <c r="L62" s="101">
        <v>466</v>
      </c>
      <c r="M62" s="101">
        <v>11235</v>
      </c>
      <c r="N62" s="101">
        <v>1772</v>
      </c>
      <c r="O62" s="101">
        <v>5</v>
      </c>
      <c r="P62" s="101">
        <v>6</v>
      </c>
      <c r="Q62" s="101">
        <v>51</v>
      </c>
      <c r="R62" s="101">
        <v>2988.01</v>
      </c>
      <c r="S62" s="101">
        <v>1436.5540000000001</v>
      </c>
      <c r="T62" s="133">
        <v>1.02</v>
      </c>
      <c r="U62" s="101">
        <f t="shared" si="1"/>
        <v>5.0999999999999996</v>
      </c>
      <c r="V62" s="101">
        <f t="shared" si="2"/>
        <v>6.12</v>
      </c>
      <c r="W62" s="101">
        <f t="shared" si="3"/>
        <v>52.02</v>
      </c>
      <c r="X62" s="101">
        <f t="shared" si="4"/>
        <v>3047.7702000000004</v>
      </c>
      <c r="Y62" s="101">
        <f t="shared" si="5"/>
        <v>1465.2850800000001</v>
      </c>
      <c r="Z62" s="101"/>
      <c r="AA62" s="101">
        <v>10</v>
      </c>
      <c r="AB62" s="101">
        <v>18</v>
      </c>
      <c r="AC62" s="101">
        <v>390</v>
      </c>
      <c r="AD62" s="101">
        <v>19140.18</v>
      </c>
      <c r="AE62" s="101">
        <v>6580.0240000000003</v>
      </c>
      <c r="AF62" s="225"/>
      <c r="AG62" s="148"/>
      <c r="AH62" s="101">
        <v>30047</v>
      </c>
      <c r="AI62" s="101">
        <f t="shared" si="6"/>
        <v>24037.600000000002</v>
      </c>
      <c r="AJ62" s="101">
        <f t="shared" si="7"/>
        <v>36056.400000000001</v>
      </c>
    </row>
    <row r="63" spans="1:36" s="135" customFormat="1" hidden="1" x14ac:dyDescent="0.3">
      <c r="A63" s="126" t="s">
        <v>171</v>
      </c>
      <c r="B63" s="126">
        <v>4</v>
      </c>
      <c r="C63" s="126">
        <v>66</v>
      </c>
      <c r="D63" s="126" t="str">
        <f t="shared" si="0"/>
        <v>466</v>
      </c>
      <c r="E63" s="134"/>
      <c r="F63" s="134">
        <v>0</v>
      </c>
      <c r="G63" s="134">
        <v>0</v>
      </c>
      <c r="H63" s="134"/>
      <c r="I63" s="134"/>
      <c r="J63" s="101">
        <v>12</v>
      </c>
      <c r="K63" s="101">
        <v>21</v>
      </c>
      <c r="L63" s="101">
        <v>70</v>
      </c>
      <c r="M63" s="101">
        <v>2077</v>
      </c>
      <c r="N63" s="101">
        <v>863</v>
      </c>
      <c r="O63" s="101">
        <v>16</v>
      </c>
      <c r="P63" s="101">
        <v>50</v>
      </c>
      <c r="Q63" s="101">
        <v>5220</v>
      </c>
      <c r="R63" s="101">
        <v>36814.47</v>
      </c>
      <c r="S63" s="101">
        <v>23297.452000000001</v>
      </c>
      <c r="T63" s="133">
        <v>1.02</v>
      </c>
      <c r="U63" s="101">
        <f t="shared" si="1"/>
        <v>16.32</v>
      </c>
      <c r="V63" s="101">
        <f t="shared" si="2"/>
        <v>51</v>
      </c>
      <c r="W63" s="101">
        <f t="shared" si="3"/>
        <v>5324.4000000000005</v>
      </c>
      <c r="X63" s="101">
        <f t="shared" si="4"/>
        <v>37550.759400000003</v>
      </c>
      <c r="Y63" s="101">
        <f t="shared" si="5"/>
        <v>23763.401040000001</v>
      </c>
      <c r="Z63" s="101"/>
      <c r="AA63" s="101">
        <v>16</v>
      </c>
      <c r="AB63" s="101">
        <v>67</v>
      </c>
      <c r="AC63" s="101">
        <v>2430</v>
      </c>
      <c r="AD63" s="101">
        <v>32017.27</v>
      </c>
      <c r="AE63" s="101">
        <v>18947.321</v>
      </c>
      <c r="AF63" s="225"/>
      <c r="AG63" s="148"/>
      <c r="AH63" s="101">
        <v>30048</v>
      </c>
      <c r="AI63" s="101">
        <f t="shared" si="6"/>
        <v>24038.400000000001</v>
      </c>
      <c r="AJ63" s="101">
        <f t="shared" si="7"/>
        <v>36057.600000000006</v>
      </c>
    </row>
    <row r="64" spans="1:36" hidden="1" x14ac:dyDescent="0.3">
      <c r="A64" s="126" t="s">
        <v>171</v>
      </c>
      <c r="B64" s="126">
        <v>4</v>
      </c>
      <c r="C64" s="126">
        <v>71</v>
      </c>
      <c r="D64" s="126" t="str">
        <f t="shared" si="0"/>
        <v>471</v>
      </c>
      <c r="E64" s="101">
        <v>767</v>
      </c>
      <c r="F64" s="101">
        <v>6987</v>
      </c>
      <c r="G64" s="101">
        <v>21434.5</v>
      </c>
      <c r="H64" s="101">
        <v>153085.60500000001</v>
      </c>
      <c r="I64" s="101">
        <v>71303.436499999996</v>
      </c>
      <c r="J64" s="101">
        <v>652</v>
      </c>
      <c r="K64" s="101">
        <v>9119</v>
      </c>
      <c r="L64" s="101">
        <v>36080</v>
      </c>
      <c r="M64" s="101">
        <v>396742</v>
      </c>
      <c r="N64" s="101">
        <v>164041</v>
      </c>
      <c r="O64" s="101">
        <v>499</v>
      </c>
      <c r="P64" s="101">
        <v>7790</v>
      </c>
      <c r="Q64" s="101">
        <v>26164</v>
      </c>
      <c r="R64" s="101">
        <v>217905.88</v>
      </c>
      <c r="S64" s="101">
        <v>127368.914</v>
      </c>
      <c r="T64" s="133">
        <v>0.98</v>
      </c>
      <c r="U64" s="101">
        <f t="shared" si="1"/>
        <v>489.02</v>
      </c>
      <c r="V64" s="101">
        <f t="shared" si="2"/>
        <v>7634.2</v>
      </c>
      <c r="W64" s="101">
        <f t="shared" si="3"/>
        <v>25640.720000000001</v>
      </c>
      <c r="X64" s="101">
        <f t="shared" si="4"/>
        <v>213547.76240000001</v>
      </c>
      <c r="Y64" s="101">
        <f t="shared" si="5"/>
        <v>124821.53572</v>
      </c>
      <c r="AA64" s="101">
        <v>237</v>
      </c>
      <c r="AB64" s="101">
        <v>6444</v>
      </c>
      <c r="AC64" s="101">
        <v>31505</v>
      </c>
      <c r="AD64" s="101">
        <v>184724.66</v>
      </c>
      <c r="AE64" s="101">
        <v>101819.228</v>
      </c>
      <c r="AF64" s="225"/>
      <c r="AG64" s="148"/>
      <c r="AH64" s="101">
        <v>30049</v>
      </c>
      <c r="AI64" s="101">
        <f t="shared" si="6"/>
        <v>24039.200000000001</v>
      </c>
      <c r="AJ64" s="101">
        <f t="shared" si="7"/>
        <v>36058.800000000003</v>
      </c>
    </row>
    <row r="65" spans="1:36" x14ac:dyDescent="0.3">
      <c r="A65" s="126" t="s">
        <v>171</v>
      </c>
      <c r="B65" s="126">
        <v>4</v>
      </c>
      <c r="C65" s="126">
        <v>91</v>
      </c>
      <c r="D65" s="126" t="str">
        <f t="shared" si="0"/>
        <v>491</v>
      </c>
      <c r="F65" s="101">
        <v>0</v>
      </c>
      <c r="G65" s="101">
        <v>0</v>
      </c>
      <c r="J65" s="101">
        <v>10</v>
      </c>
      <c r="K65" s="101">
        <v>32</v>
      </c>
      <c r="L65" s="101">
        <v>215</v>
      </c>
      <c r="M65" s="101">
        <v>1016</v>
      </c>
      <c r="N65" s="101">
        <v>393</v>
      </c>
      <c r="O65" s="101">
        <v>1</v>
      </c>
      <c r="P65" s="101">
        <v>2</v>
      </c>
      <c r="Q65" s="101">
        <v>3</v>
      </c>
      <c r="R65" s="101">
        <v>118.77</v>
      </c>
      <c r="S65" s="101">
        <v>31.706</v>
      </c>
      <c r="T65" s="133">
        <v>1.02</v>
      </c>
      <c r="U65" s="101">
        <f t="shared" si="1"/>
        <v>1.02</v>
      </c>
      <c r="V65" s="101">
        <f t="shared" si="2"/>
        <v>2.04</v>
      </c>
      <c r="W65" s="101">
        <f t="shared" si="3"/>
        <v>3.06</v>
      </c>
      <c r="X65" s="101">
        <f t="shared" si="4"/>
        <v>121.1454</v>
      </c>
      <c r="Y65" s="101">
        <f t="shared" si="5"/>
        <v>32.340119999999999</v>
      </c>
      <c r="AA65" s="101">
        <v>3</v>
      </c>
      <c r="AB65" s="101">
        <v>5</v>
      </c>
      <c r="AC65" s="101">
        <v>11</v>
      </c>
      <c r="AD65" s="101">
        <v>69.38</v>
      </c>
      <c r="AE65" s="101">
        <v>75.272999999999996</v>
      </c>
      <c r="AF65" s="225"/>
      <c r="AG65" s="148"/>
      <c r="AH65" s="101">
        <v>30050</v>
      </c>
      <c r="AI65" s="101">
        <f t="shared" si="6"/>
        <v>24040</v>
      </c>
      <c r="AJ65" s="101">
        <f t="shared" si="7"/>
        <v>36060</v>
      </c>
    </row>
    <row r="66" spans="1:36" hidden="1" x14ac:dyDescent="0.3">
      <c r="A66" s="126" t="s">
        <v>171</v>
      </c>
      <c r="B66" s="126">
        <v>4</v>
      </c>
      <c r="C66" s="126">
        <v>41</v>
      </c>
      <c r="D66" s="126" t="str">
        <f t="shared" si="0"/>
        <v>441</v>
      </c>
      <c r="O66" s="101">
        <v>9</v>
      </c>
      <c r="P66" s="101">
        <v>75</v>
      </c>
      <c r="Q66" s="101">
        <v>381</v>
      </c>
      <c r="R66" s="101">
        <v>4273.2</v>
      </c>
      <c r="S66" s="101">
        <v>1264.4770000000001</v>
      </c>
      <c r="T66" s="133">
        <v>1.02</v>
      </c>
      <c r="U66" s="101">
        <f t="shared" si="1"/>
        <v>9.18</v>
      </c>
      <c r="V66" s="101">
        <f t="shared" si="2"/>
        <v>76.5</v>
      </c>
      <c r="W66" s="101">
        <f t="shared" si="3"/>
        <v>388.62</v>
      </c>
      <c r="X66" s="101">
        <f t="shared" si="4"/>
        <v>4358.6639999999998</v>
      </c>
      <c r="Y66" s="101">
        <f t="shared" si="5"/>
        <v>1289.7665400000001</v>
      </c>
      <c r="AA66" s="101">
        <v>3</v>
      </c>
      <c r="AB66" s="101">
        <v>8</v>
      </c>
      <c r="AC66" s="101">
        <v>24</v>
      </c>
      <c r="AD66" s="101">
        <v>770.89</v>
      </c>
      <c r="AE66" s="101">
        <v>115.52500000000001</v>
      </c>
      <c r="AF66" s="225"/>
      <c r="AG66" s="148"/>
      <c r="AH66" s="101"/>
      <c r="AI66" s="101"/>
      <c r="AJ66" s="101"/>
    </row>
    <row r="67" spans="1:36" hidden="1" x14ac:dyDescent="0.3">
      <c r="A67" s="126" t="s">
        <v>171</v>
      </c>
      <c r="B67" s="126">
        <v>4</v>
      </c>
      <c r="C67" s="126">
        <v>1</v>
      </c>
      <c r="D67" s="126" t="str">
        <f t="shared" si="0"/>
        <v>41</v>
      </c>
      <c r="J67" s="101">
        <v>128</v>
      </c>
      <c r="K67" s="101">
        <v>128</v>
      </c>
      <c r="L67" s="101">
        <v>64263</v>
      </c>
      <c r="N67" s="101">
        <v>420550</v>
      </c>
      <c r="O67" s="101">
        <v>127</v>
      </c>
      <c r="P67" s="101">
        <v>138</v>
      </c>
      <c r="Q67" s="101">
        <v>55790</v>
      </c>
      <c r="S67" s="101">
        <v>206127</v>
      </c>
      <c r="T67" s="133">
        <v>1.02</v>
      </c>
      <c r="U67" s="101">
        <f t="shared" si="1"/>
        <v>129.54</v>
      </c>
      <c r="V67" s="101">
        <f t="shared" si="2"/>
        <v>140.76</v>
      </c>
      <c r="W67" s="101">
        <f t="shared" si="3"/>
        <v>56905.8</v>
      </c>
      <c r="X67" s="101">
        <f t="shared" si="4"/>
        <v>0</v>
      </c>
      <c r="Y67" s="101">
        <f t="shared" si="5"/>
        <v>210249.54</v>
      </c>
      <c r="AA67" s="101">
        <v>197</v>
      </c>
      <c r="AB67" s="101">
        <v>197</v>
      </c>
      <c r="AC67" s="101">
        <v>55182</v>
      </c>
      <c r="AE67" s="101">
        <v>225731.87299999999</v>
      </c>
      <c r="AF67" s="225"/>
      <c r="AG67" s="148"/>
      <c r="AH67" s="101"/>
      <c r="AI67" s="101"/>
      <c r="AJ67" s="101"/>
    </row>
    <row r="68" spans="1:36" hidden="1" x14ac:dyDescent="0.3">
      <c r="A68" s="126" t="s">
        <v>171</v>
      </c>
      <c r="B68" s="126">
        <v>4</v>
      </c>
      <c r="C68" s="126">
        <v>37</v>
      </c>
      <c r="D68" s="126" t="str">
        <f t="shared" si="0"/>
        <v>437</v>
      </c>
      <c r="E68" s="101">
        <v>16</v>
      </c>
      <c r="F68" s="101">
        <v>29.5</v>
      </c>
      <c r="G68" s="101">
        <v>554.5</v>
      </c>
      <c r="H68" s="101">
        <v>2834.0875000000001</v>
      </c>
      <c r="I68" s="101">
        <v>1093.222</v>
      </c>
      <c r="J68" s="101">
        <v>5</v>
      </c>
      <c r="K68" s="101">
        <v>13</v>
      </c>
      <c r="L68" s="101">
        <v>36244</v>
      </c>
      <c r="M68" s="101">
        <v>17536</v>
      </c>
      <c r="N68" s="101">
        <v>3783</v>
      </c>
      <c r="O68" s="101">
        <v>1</v>
      </c>
      <c r="P68" s="101">
        <v>9</v>
      </c>
      <c r="Q68" s="101">
        <v>9920</v>
      </c>
      <c r="R68" s="101">
        <v>2534.8000000000002</v>
      </c>
      <c r="S68" s="101">
        <v>2033.7360000000001</v>
      </c>
      <c r="T68" s="133">
        <v>1.02</v>
      </c>
      <c r="U68" s="101">
        <f t="shared" si="1"/>
        <v>1.02</v>
      </c>
      <c r="V68" s="101">
        <f t="shared" si="2"/>
        <v>9.18</v>
      </c>
      <c r="W68" s="101">
        <f t="shared" si="3"/>
        <v>10118.4</v>
      </c>
      <c r="X68" s="101">
        <f t="shared" si="4"/>
        <v>2585.4960000000001</v>
      </c>
      <c r="Y68" s="101">
        <f t="shared" si="5"/>
        <v>2074.4107200000003</v>
      </c>
      <c r="AA68" s="101">
        <v>2</v>
      </c>
      <c r="AB68" s="101">
        <v>9</v>
      </c>
      <c r="AC68" s="101">
        <v>31820</v>
      </c>
      <c r="AD68" s="101">
        <v>15799.2</v>
      </c>
      <c r="AE68" s="101">
        <v>9608.9789999999994</v>
      </c>
      <c r="AF68" s="225"/>
      <c r="AG68" s="148"/>
      <c r="AH68" s="101">
        <v>30051</v>
      </c>
      <c r="AI68" s="101">
        <f t="shared" si="6"/>
        <v>24040.799999999999</v>
      </c>
      <c r="AJ68" s="101">
        <f t="shared" si="7"/>
        <v>36061.199999999997</v>
      </c>
    </row>
    <row r="69" spans="1:36" hidden="1" x14ac:dyDescent="0.3">
      <c r="A69" s="126" t="s">
        <v>171</v>
      </c>
      <c r="B69" s="126">
        <v>5</v>
      </c>
      <c r="C69" s="126">
        <v>22</v>
      </c>
      <c r="D69" s="126" t="str">
        <f t="shared" si="0"/>
        <v>522</v>
      </c>
      <c r="E69" s="101">
        <v>634</v>
      </c>
      <c r="F69" s="101">
        <v>5446</v>
      </c>
      <c r="G69" s="101">
        <v>49567</v>
      </c>
      <c r="H69" s="101">
        <v>256179.99</v>
      </c>
      <c r="I69" s="101">
        <v>81571.611000000004</v>
      </c>
      <c r="J69" s="101">
        <v>468</v>
      </c>
      <c r="K69" s="101">
        <v>3734</v>
      </c>
      <c r="L69" s="101">
        <v>35872</v>
      </c>
      <c r="M69" s="101">
        <v>195308</v>
      </c>
      <c r="N69" s="101">
        <v>132553</v>
      </c>
      <c r="O69" s="101">
        <v>575</v>
      </c>
      <c r="P69" s="101">
        <v>3804</v>
      </c>
      <c r="Q69" s="101">
        <v>33633</v>
      </c>
      <c r="R69" s="101">
        <v>157916.29999999999</v>
      </c>
      <c r="S69" s="101">
        <v>107593.886</v>
      </c>
      <c r="T69" s="133">
        <v>1.02</v>
      </c>
      <c r="U69" s="101">
        <f t="shared" si="1"/>
        <v>586.5</v>
      </c>
      <c r="V69" s="101">
        <f t="shared" si="2"/>
        <v>3880.08</v>
      </c>
      <c r="W69" s="101">
        <f t="shared" si="3"/>
        <v>34305.660000000003</v>
      </c>
      <c r="X69" s="101">
        <f t="shared" si="4"/>
        <v>161074.62599999999</v>
      </c>
      <c r="Y69" s="101">
        <f t="shared" si="5"/>
        <v>109745.76372</v>
      </c>
      <c r="AA69" s="101">
        <v>698</v>
      </c>
      <c r="AB69" s="101">
        <v>3778</v>
      </c>
      <c r="AC69" s="101">
        <v>22162</v>
      </c>
      <c r="AD69" s="101">
        <v>186989.84</v>
      </c>
      <c r="AE69" s="101">
        <v>117638.262</v>
      </c>
      <c r="AF69" s="225">
        <f t="shared" ref="AF69" si="10">SUM(AB69:AB84)</f>
        <v>24854</v>
      </c>
      <c r="AG69" s="148"/>
      <c r="AH69" s="101">
        <v>30052</v>
      </c>
      <c r="AI69" s="101">
        <f t="shared" si="6"/>
        <v>24041.599999999999</v>
      </c>
      <c r="AJ69" s="101">
        <f t="shared" si="7"/>
        <v>36062.399999999994</v>
      </c>
    </row>
    <row r="70" spans="1:36" hidden="1" x14ac:dyDescent="0.3">
      <c r="A70" s="126" t="s">
        <v>171</v>
      </c>
      <c r="B70" s="126">
        <v>5</v>
      </c>
      <c r="C70" s="126">
        <v>25</v>
      </c>
      <c r="D70" s="126" t="str">
        <f t="shared" si="0"/>
        <v>525</v>
      </c>
      <c r="E70" s="101">
        <v>349</v>
      </c>
      <c r="F70" s="101">
        <v>2677</v>
      </c>
      <c r="G70" s="101">
        <v>79581</v>
      </c>
      <c r="H70" s="101">
        <v>1094189.1099999994</v>
      </c>
      <c r="I70" s="101">
        <v>471463.11299999995</v>
      </c>
      <c r="J70" s="101">
        <v>312</v>
      </c>
      <c r="K70" s="101">
        <v>2037</v>
      </c>
      <c r="L70" s="101">
        <v>68264</v>
      </c>
      <c r="M70" s="101">
        <v>1117311</v>
      </c>
      <c r="N70" s="101">
        <v>543978</v>
      </c>
      <c r="O70" s="101">
        <v>128</v>
      </c>
      <c r="P70" s="101">
        <v>1243</v>
      </c>
      <c r="Q70" s="101">
        <v>61620</v>
      </c>
      <c r="R70" s="101">
        <v>716491.90999999992</v>
      </c>
      <c r="S70" s="101">
        <v>389867.81399999995</v>
      </c>
      <c r="T70" s="133">
        <v>1.02</v>
      </c>
      <c r="U70" s="101">
        <f t="shared" ref="U70:U133" si="11">O70*T70</f>
        <v>130.56</v>
      </c>
      <c r="V70" s="101">
        <f t="shared" ref="V70:V133" si="12">P70*T70</f>
        <v>1267.8600000000001</v>
      </c>
      <c r="W70" s="101">
        <f t="shared" ref="W70:W133" si="13">Q70*T70</f>
        <v>62852.4</v>
      </c>
      <c r="X70" s="101">
        <f t="shared" ref="X70:X133" si="14">R70*T70</f>
        <v>730821.74819999991</v>
      </c>
      <c r="Y70" s="101">
        <f t="shared" ref="Y70:Y133" si="15">S70*T70</f>
        <v>397665.17027999996</v>
      </c>
      <c r="AA70" s="101">
        <v>307</v>
      </c>
      <c r="AB70" s="101">
        <v>2412</v>
      </c>
      <c r="AC70" s="101">
        <v>32735</v>
      </c>
      <c r="AD70" s="101">
        <v>348593.23</v>
      </c>
      <c r="AE70" s="101">
        <v>192238.14799999999</v>
      </c>
      <c r="AF70" s="225"/>
      <c r="AG70" s="148"/>
      <c r="AH70" s="101">
        <v>30053</v>
      </c>
      <c r="AI70" s="101">
        <f t="shared" si="6"/>
        <v>24042.399999999998</v>
      </c>
      <c r="AJ70" s="101">
        <f t="shared" si="7"/>
        <v>36063.599999999999</v>
      </c>
    </row>
    <row r="71" spans="1:36" hidden="1" x14ac:dyDescent="0.3">
      <c r="A71" s="126" t="s">
        <v>171</v>
      </c>
      <c r="B71" s="126">
        <v>5</v>
      </c>
      <c r="C71" s="126">
        <v>27</v>
      </c>
      <c r="D71" s="126" t="str">
        <f t="shared" si="0"/>
        <v>527</v>
      </c>
      <c r="E71" s="101">
        <v>36</v>
      </c>
      <c r="F71" s="101">
        <v>578</v>
      </c>
      <c r="G71" s="101">
        <v>3700</v>
      </c>
      <c r="H71" s="101">
        <v>49716.149999999994</v>
      </c>
      <c r="I71" s="101">
        <v>13257.875000000002</v>
      </c>
      <c r="J71" s="101">
        <v>26</v>
      </c>
      <c r="K71" s="101">
        <v>320</v>
      </c>
      <c r="L71" s="101">
        <v>948</v>
      </c>
      <c r="M71" s="101">
        <v>20424</v>
      </c>
      <c r="N71" s="101">
        <v>8683</v>
      </c>
      <c r="O71" s="101">
        <v>8</v>
      </c>
      <c r="P71" s="101">
        <v>58</v>
      </c>
      <c r="Q71" s="101">
        <v>434</v>
      </c>
      <c r="R71" s="101">
        <v>5546.33</v>
      </c>
      <c r="S71" s="101">
        <v>2593.4270000000001</v>
      </c>
      <c r="T71" s="133">
        <v>1.02</v>
      </c>
      <c r="U71" s="101">
        <f t="shared" si="11"/>
        <v>8.16</v>
      </c>
      <c r="V71" s="101">
        <f t="shared" si="12"/>
        <v>59.160000000000004</v>
      </c>
      <c r="W71" s="101">
        <f t="shared" si="13"/>
        <v>442.68</v>
      </c>
      <c r="X71" s="101">
        <f t="shared" si="14"/>
        <v>5657.2565999999997</v>
      </c>
      <c r="Y71" s="101">
        <f t="shared" si="15"/>
        <v>2645.2955400000001</v>
      </c>
      <c r="AA71" s="101">
        <v>12</v>
      </c>
      <c r="AB71" s="101">
        <v>28</v>
      </c>
      <c r="AC71" s="101">
        <v>381</v>
      </c>
      <c r="AD71" s="101">
        <v>4397.8900000000003</v>
      </c>
      <c r="AE71" s="101">
        <v>2816.2489999999998</v>
      </c>
      <c r="AF71" s="225"/>
      <c r="AG71" s="148"/>
      <c r="AH71" s="101">
        <v>30054</v>
      </c>
      <c r="AI71" s="101">
        <f t="shared" si="6"/>
        <v>24043.200000000001</v>
      </c>
      <c r="AJ71" s="101">
        <f t="shared" si="7"/>
        <v>36064.800000000003</v>
      </c>
    </row>
    <row r="72" spans="1:36" hidden="1" x14ac:dyDescent="0.3">
      <c r="A72" s="126" t="s">
        <v>171</v>
      </c>
      <c r="B72" s="126">
        <v>5</v>
      </c>
      <c r="C72" s="126">
        <v>26</v>
      </c>
      <c r="D72" s="126" t="str">
        <f t="shared" si="0"/>
        <v>526</v>
      </c>
      <c r="E72" s="101">
        <v>127</v>
      </c>
      <c r="F72" s="101">
        <v>3168</v>
      </c>
      <c r="G72" s="101">
        <v>38145</v>
      </c>
      <c r="H72" s="101">
        <v>475955.26</v>
      </c>
      <c r="I72" s="101">
        <v>205392.08600000001</v>
      </c>
      <c r="J72" s="101">
        <v>58</v>
      </c>
      <c r="K72" s="101">
        <v>1320</v>
      </c>
      <c r="L72" s="101">
        <v>22303</v>
      </c>
      <c r="M72" s="101">
        <v>278011</v>
      </c>
      <c r="N72" s="101">
        <v>129058</v>
      </c>
      <c r="O72" s="101">
        <v>39</v>
      </c>
      <c r="P72" s="101">
        <v>1659</v>
      </c>
      <c r="Q72" s="101">
        <v>13606</v>
      </c>
      <c r="R72" s="101">
        <v>242531.02</v>
      </c>
      <c r="S72" s="101">
        <v>87079.02900000001</v>
      </c>
      <c r="T72" s="133">
        <v>1.02</v>
      </c>
      <c r="U72" s="101">
        <f t="shared" si="11"/>
        <v>39.78</v>
      </c>
      <c r="V72" s="101">
        <f t="shared" si="12"/>
        <v>1692.18</v>
      </c>
      <c r="W72" s="101">
        <f t="shared" si="13"/>
        <v>13878.12</v>
      </c>
      <c r="X72" s="101">
        <f t="shared" si="14"/>
        <v>247381.6404</v>
      </c>
      <c r="Y72" s="101">
        <f t="shared" si="15"/>
        <v>88820.609580000018</v>
      </c>
      <c r="AA72" s="101">
        <v>21</v>
      </c>
      <c r="AB72" s="101">
        <v>525</v>
      </c>
      <c r="AC72" s="101">
        <v>10718</v>
      </c>
      <c r="AD72" s="101">
        <v>126420.82</v>
      </c>
      <c r="AE72" s="101">
        <v>47327.233</v>
      </c>
      <c r="AF72" s="225"/>
      <c r="AG72" s="148"/>
      <c r="AH72" s="101">
        <v>30055</v>
      </c>
      <c r="AI72" s="101">
        <f t="shared" si="6"/>
        <v>24044</v>
      </c>
      <c r="AJ72" s="101">
        <f t="shared" si="7"/>
        <v>36066</v>
      </c>
    </row>
    <row r="73" spans="1:36" s="137" customFormat="1" hidden="1" x14ac:dyDescent="0.3">
      <c r="A73" s="126" t="s">
        <v>171</v>
      </c>
      <c r="B73" s="126">
        <v>5</v>
      </c>
      <c r="C73" s="126">
        <v>28</v>
      </c>
      <c r="D73" s="126" t="str">
        <f t="shared" si="0"/>
        <v>528</v>
      </c>
      <c r="E73" s="136"/>
      <c r="F73" s="136">
        <v>0</v>
      </c>
      <c r="G73" s="136">
        <v>0</v>
      </c>
      <c r="H73" s="136"/>
      <c r="I73" s="136"/>
      <c r="J73" s="101">
        <v>27</v>
      </c>
      <c r="K73" s="101">
        <v>36</v>
      </c>
      <c r="L73" s="101">
        <v>275</v>
      </c>
      <c r="M73" s="101">
        <v>14640</v>
      </c>
      <c r="N73" s="101">
        <v>2806</v>
      </c>
      <c r="O73" s="101">
        <v>61</v>
      </c>
      <c r="P73" s="101">
        <v>385</v>
      </c>
      <c r="Q73" s="101">
        <v>1610</v>
      </c>
      <c r="R73" s="101">
        <v>49469.1</v>
      </c>
      <c r="S73" s="101">
        <v>9969.1779999999999</v>
      </c>
      <c r="T73" s="133">
        <v>1.02</v>
      </c>
      <c r="U73" s="101">
        <f t="shared" si="11"/>
        <v>62.22</v>
      </c>
      <c r="V73" s="101">
        <f t="shared" si="12"/>
        <v>392.7</v>
      </c>
      <c r="W73" s="101">
        <f t="shared" si="13"/>
        <v>1642.2</v>
      </c>
      <c r="X73" s="101">
        <f t="shared" si="14"/>
        <v>50458.481999999996</v>
      </c>
      <c r="Y73" s="101">
        <f t="shared" si="15"/>
        <v>10168.56156</v>
      </c>
      <c r="Z73" s="101"/>
      <c r="AA73" s="101">
        <v>61</v>
      </c>
      <c r="AB73" s="101">
        <v>162</v>
      </c>
      <c r="AC73" s="101">
        <v>844</v>
      </c>
      <c r="AD73" s="101">
        <v>10966.58</v>
      </c>
      <c r="AE73" s="101">
        <v>3543.3159999999998</v>
      </c>
      <c r="AF73" s="225"/>
      <c r="AG73" s="148"/>
      <c r="AH73" s="101">
        <v>30056</v>
      </c>
      <c r="AI73" s="101">
        <f t="shared" si="6"/>
        <v>24044.799999999999</v>
      </c>
      <c r="AJ73" s="101">
        <f t="shared" si="7"/>
        <v>36067.199999999997</v>
      </c>
    </row>
    <row r="74" spans="1:36" hidden="1" x14ac:dyDescent="0.3">
      <c r="A74" s="126" t="s">
        <v>171</v>
      </c>
      <c r="B74" s="126">
        <v>5</v>
      </c>
      <c r="C74" s="126">
        <v>32</v>
      </c>
      <c r="D74" s="126" t="str">
        <f t="shared" si="0"/>
        <v>532</v>
      </c>
      <c r="E74" s="101">
        <v>704</v>
      </c>
      <c r="F74" s="101">
        <v>2390</v>
      </c>
      <c r="G74" s="101">
        <v>59016</v>
      </c>
      <c r="H74" s="101">
        <v>689054.69</v>
      </c>
      <c r="I74" s="101">
        <v>310729.261</v>
      </c>
      <c r="J74" s="101">
        <v>488</v>
      </c>
      <c r="K74" s="101">
        <v>1196</v>
      </c>
      <c r="L74" s="101">
        <v>17661</v>
      </c>
      <c r="M74" s="101">
        <v>97139</v>
      </c>
      <c r="N74" s="101">
        <v>82195</v>
      </c>
      <c r="O74" s="101">
        <v>255</v>
      </c>
      <c r="P74" s="101">
        <v>1176</v>
      </c>
      <c r="Q74" s="101">
        <v>26706</v>
      </c>
      <c r="R74" s="101">
        <v>193074.18</v>
      </c>
      <c r="S74" s="101">
        <v>109643.27799999999</v>
      </c>
      <c r="T74" s="133">
        <v>1.02</v>
      </c>
      <c r="U74" s="101">
        <f t="shared" si="11"/>
        <v>260.10000000000002</v>
      </c>
      <c r="V74" s="101">
        <f t="shared" si="12"/>
        <v>1199.52</v>
      </c>
      <c r="W74" s="101">
        <f t="shared" si="13"/>
        <v>27240.12</v>
      </c>
      <c r="X74" s="101">
        <f t="shared" si="14"/>
        <v>196935.6636</v>
      </c>
      <c r="Y74" s="101">
        <f t="shared" si="15"/>
        <v>111836.14356</v>
      </c>
      <c r="AA74" s="101">
        <v>210</v>
      </c>
      <c r="AB74" s="101">
        <v>1077</v>
      </c>
      <c r="AC74" s="101">
        <v>30529</v>
      </c>
      <c r="AD74" s="101">
        <v>149312.39000000001</v>
      </c>
      <c r="AE74" s="101">
        <v>119858.454</v>
      </c>
      <c r="AF74" s="225"/>
      <c r="AG74" s="148"/>
      <c r="AH74" s="101">
        <v>30057</v>
      </c>
      <c r="AI74" s="101">
        <f t="shared" si="6"/>
        <v>24045.599999999999</v>
      </c>
      <c r="AJ74" s="101">
        <f t="shared" si="7"/>
        <v>36068.400000000001</v>
      </c>
    </row>
    <row r="75" spans="1:36" hidden="1" x14ac:dyDescent="0.3">
      <c r="A75" s="126" t="s">
        <v>171</v>
      </c>
      <c r="B75" s="126">
        <v>5</v>
      </c>
      <c r="C75" s="126">
        <v>21</v>
      </c>
      <c r="D75" s="126" t="str">
        <f t="shared" si="0"/>
        <v>521</v>
      </c>
      <c r="E75" s="101">
        <v>1377.5</v>
      </c>
      <c r="F75" s="101">
        <v>8599.5</v>
      </c>
      <c r="G75" s="101">
        <v>41608</v>
      </c>
      <c r="H75" s="101">
        <v>665560.44500000007</v>
      </c>
      <c r="I75" s="101">
        <v>210834.43350000001</v>
      </c>
      <c r="J75" s="101">
        <v>562</v>
      </c>
      <c r="K75" s="101">
        <v>2718</v>
      </c>
      <c r="L75" s="101">
        <v>12036</v>
      </c>
      <c r="M75" s="101">
        <v>187807</v>
      </c>
      <c r="N75" s="101">
        <v>47891</v>
      </c>
      <c r="O75" s="138"/>
      <c r="P75" s="138"/>
      <c r="Q75" s="138"/>
      <c r="R75" s="138"/>
      <c r="S75" s="138"/>
      <c r="T75" s="133">
        <v>1.02</v>
      </c>
      <c r="U75" s="101">
        <f t="shared" si="11"/>
        <v>0</v>
      </c>
      <c r="V75" s="101">
        <f t="shared" si="12"/>
        <v>0</v>
      </c>
      <c r="W75" s="101">
        <f t="shared" si="13"/>
        <v>0</v>
      </c>
      <c r="X75" s="101">
        <f t="shared" si="14"/>
        <v>0</v>
      </c>
      <c r="Y75" s="101">
        <f t="shared" si="15"/>
        <v>0</v>
      </c>
      <c r="AA75" s="101">
        <v>70</v>
      </c>
      <c r="AB75" s="101">
        <v>305</v>
      </c>
      <c r="AC75" s="101">
        <v>922</v>
      </c>
      <c r="AD75" s="101">
        <v>15653.79</v>
      </c>
      <c r="AE75" s="101">
        <v>5659.9359999999997</v>
      </c>
      <c r="AF75" s="225"/>
      <c r="AG75" s="148"/>
      <c r="AH75" s="101">
        <v>30058</v>
      </c>
      <c r="AI75" s="101">
        <f t="shared" si="6"/>
        <v>24046.399999999998</v>
      </c>
      <c r="AJ75" s="101">
        <f t="shared" si="7"/>
        <v>36069.599999999999</v>
      </c>
    </row>
    <row r="76" spans="1:36" hidden="1" x14ac:dyDescent="0.3">
      <c r="A76" s="126" t="s">
        <v>171</v>
      </c>
      <c r="B76" s="126">
        <v>5</v>
      </c>
      <c r="C76" s="126">
        <v>30</v>
      </c>
      <c r="D76" s="126" t="str">
        <f t="shared" si="0"/>
        <v>530</v>
      </c>
      <c r="E76" s="101">
        <v>308.5</v>
      </c>
      <c r="F76" s="101">
        <v>4021.5</v>
      </c>
      <c r="G76" s="101">
        <v>17871.5</v>
      </c>
      <c r="H76" s="101">
        <v>471084.79</v>
      </c>
      <c r="I76" s="101">
        <v>194501.87000000002</v>
      </c>
      <c r="J76" s="101">
        <v>236</v>
      </c>
      <c r="K76" s="101">
        <v>4906</v>
      </c>
      <c r="L76" s="101">
        <v>21855</v>
      </c>
      <c r="M76" s="101">
        <v>317093</v>
      </c>
      <c r="N76" s="101">
        <v>104813</v>
      </c>
      <c r="O76" s="138">
        <v>499</v>
      </c>
      <c r="P76" s="138">
        <v>8555</v>
      </c>
      <c r="Q76" s="138">
        <v>29310</v>
      </c>
      <c r="R76" s="138">
        <v>804935.74</v>
      </c>
      <c r="S76" s="138">
        <v>249828.61</v>
      </c>
      <c r="T76" s="133">
        <v>1.02</v>
      </c>
      <c r="U76" s="101">
        <f t="shared" si="11"/>
        <v>508.98</v>
      </c>
      <c r="V76" s="101">
        <f t="shared" si="12"/>
        <v>8726.1</v>
      </c>
      <c r="W76" s="101">
        <f t="shared" si="13"/>
        <v>29896.2</v>
      </c>
      <c r="X76" s="101">
        <f t="shared" si="14"/>
        <v>821034.45479999995</v>
      </c>
      <c r="Y76" s="101">
        <f t="shared" si="15"/>
        <v>254825.18219999998</v>
      </c>
      <c r="AA76" s="101">
        <v>390</v>
      </c>
      <c r="AB76" s="101">
        <v>9265</v>
      </c>
      <c r="AC76" s="101">
        <v>32400</v>
      </c>
      <c r="AD76" s="101">
        <v>896898.88</v>
      </c>
      <c r="AE76" s="101">
        <v>282228.39199999999</v>
      </c>
      <c r="AF76" s="225"/>
      <c r="AG76" s="148"/>
      <c r="AH76" s="101">
        <v>30059</v>
      </c>
      <c r="AI76" s="101">
        <f t="shared" si="6"/>
        <v>24047.199999999997</v>
      </c>
      <c r="AJ76" s="101">
        <f t="shared" si="7"/>
        <v>36070.799999999996</v>
      </c>
    </row>
    <row r="77" spans="1:36" s="137" customFormat="1" hidden="1" x14ac:dyDescent="0.3">
      <c r="A77" s="126" t="s">
        <v>171</v>
      </c>
      <c r="B77" s="126">
        <v>5</v>
      </c>
      <c r="C77" s="126">
        <v>46</v>
      </c>
      <c r="D77" s="126" t="str">
        <f t="shared" si="0"/>
        <v>546</v>
      </c>
      <c r="E77" s="136"/>
      <c r="F77" s="136">
        <v>0</v>
      </c>
      <c r="G77" s="136">
        <v>0</v>
      </c>
      <c r="H77" s="136"/>
      <c r="I77" s="136"/>
      <c r="J77" s="101">
        <v>28</v>
      </c>
      <c r="K77" s="101">
        <v>41</v>
      </c>
      <c r="L77" s="101">
        <v>1374</v>
      </c>
      <c r="M77" s="101">
        <v>21096</v>
      </c>
      <c r="N77" s="101">
        <v>5620</v>
      </c>
      <c r="O77" s="101">
        <v>9</v>
      </c>
      <c r="P77" s="101">
        <v>13</v>
      </c>
      <c r="Q77" s="101">
        <v>108</v>
      </c>
      <c r="R77" s="101">
        <v>2832.35</v>
      </c>
      <c r="S77" s="101">
        <v>926.904</v>
      </c>
      <c r="T77" s="133">
        <v>1.02</v>
      </c>
      <c r="U77" s="101">
        <f t="shared" si="11"/>
        <v>9.18</v>
      </c>
      <c r="V77" s="101">
        <f t="shared" si="12"/>
        <v>13.26</v>
      </c>
      <c r="W77" s="101">
        <f t="shared" si="13"/>
        <v>110.16</v>
      </c>
      <c r="X77" s="101">
        <f t="shared" si="14"/>
        <v>2888.9969999999998</v>
      </c>
      <c r="Y77" s="101">
        <f t="shared" si="15"/>
        <v>945.44208000000003</v>
      </c>
      <c r="Z77" s="101"/>
      <c r="AA77" s="101">
        <v>10</v>
      </c>
      <c r="AB77" s="101">
        <v>13</v>
      </c>
      <c r="AC77" s="101">
        <v>235</v>
      </c>
      <c r="AD77" s="101">
        <v>1563.02</v>
      </c>
      <c r="AE77" s="101">
        <v>231.83699999999999</v>
      </c>
      <c r="AF77" s="225"/>
      <c r="AG77" s="148"/>
      <c r="AH77" s="101">
        <v>30060</v>
      </c>
      <c r="AI77" s="101">
        <f t="shared" si="6"/>
        <v>24048</v>
      </c>
      <c r="AJ77" s="101">
        <f t="shared" si="7"/>
        <v>36072</v>
      </c>
    </row>
    <row r="78" spans="1:36" s="137" customFormat="1" hidden="1" x14ac:dyDescent="0.3">
      <c r="A78" s="126" t="s">
        <v>171</v>
      </c>
      <c r="B78" s="126">
        <v>5</v>
      </c>
      <c r="C78" s="126">
        <v>66</v>
      </c>
      <c r="D78" s="126" t="str">
        <f t="shared" si="0"/>
        <v>566</v>
      </c>
      <c r="E78" s="136"/>
      <c r="F78" s="136">
        <v>0</v>
      </c>
      <c r="G78" s="136">
        <v>0</v>
      </c>
      <c r="H78" s="136"/>
      <c r="I78" s="136"/>
      <c r="J78" s="101">
        <v>17</v>
      </c>
      <c r="K78" s="101">
        <v>17</v>
      </c>
      <c r="L78" s="101">
        <v>86</v>
      </c>
      <c r="M78" s="101">
        <v>2312</v>
      </c>
      <c r="N78" s="101">
        <v>1312</v>
      </c>
      <c r="O78" s="101">
        <v>12</v>
      </c>
      <c r="P78" s="101">
        <v>68</v>
      </c>
      <c r="Q78" s="101">
        <v>611</v>
      </c>
      <c r="R78" s="101">
        <v>16247</v>
      </c>
      <c r="S78" s="101">
        <v>8006.9560000000001</v>
      </c>
      <c r="T78" s="133">
        <v>1.02</v>
      </c>
      <c r="U78" s="101">
        <f t="shared" si="11"/>
        <v>12.24</v>
      </c>
      <c r="V78" s="101">
        <f t="shared" si="12"/>
        <v>69.36</v>
      </c>
      <c r="W78" s="101">
        <f t="shared" si="13"/>
        <v>623.22</v>
      </c>
      <c r="X78" s="101">
        <f t="shared" si="14"/>
        <v>16571.939999999999</v>
      </c>
      <c r="Y78" s="101">
        <f t="shared" si="15"/>
        <v>8167.09512</v>
      </c>
      <c r="Z78" s="101"/>
      <c r="AA78" s="101">
        <v>28</v>
      </c>
      <c r="AB78" s="101">
        <v>63</v>
      </c>
      <c r="AC78" s="101">
        <v>982</v>
      </c>
      <c r="AD78" s="101">
        <v>13551.79</v>
      </c>
      <c r="AE78" s="101">
        <v>8606.1540000000005</v>
      </c>
      <c r="AF78" s="225"/>
      <c r="AG78" s="148"/>
      <c r="AH78" s="101">
        <v>30061</v>
      </c>
      <c r="AI78" s="101">
        <f t="shared" si="6"/>
        <v>24048.800000000003</v>
      </c>
      <c r="AJ78" s="101">
        <f t="shared" si="7"/>
        <v>36073.200000000004</v>
      </c>
    </row>
    <row r="79" spans="1:36" hidden="1" x14ac:dyDescent="0.3">
      <c r="A79" s="126" t="s">
        <v>171</v>
      </c>
      <c r="B79" s="126">
        <v>5</v>
      </c>
      <c r="C79" s="126">
        <v>71</v>
      </c>
      <c r="D79" s="126" t="str">
        <f t="shared" ref="D79:D179" si="16">CONCATENATE(B79,C79)</f>
        <v>571</v>
      </c>
      <c r="E79" s="101">
        <v>906</v>
      </c>
      <c r="F79" s="101">
        <v>6623.5</v>
      </c>
      <c r="G79" s="101">
        <v>16809.5</v>
      </c>
      <c r="H79" s="101">
        <v>182672.505</v>
      </c>
      <c r="I79" s="101">
        <v>85984.66</v>
      </c>
      <c r="J79" s="101">
        <v>630</v>
      </c>
      <c r="K79" s="101">
        <v>6934</v>
      </c>
      <c r="L79" s="101">
        <v>21409</v>
      </c>
      <c r="M79" s="101">
        <v>252133</v>
      </c>
      <c r="N79" s="101">
        <v>115465</v>
      </c>
      <c r="O79" s="101">
        <v>427</v>
      </c>
      <c r="P79" s="101">
        <v>6976</v>
      </c>
      <c r="Q79" s="101">
        <v>24849</v>
      </c>
      <c r="R79" s="101">
        <v>156962.82999999999</v>
      </c>
      <c r="S79" s="101">
        <v>83654.81</v>
      </c>
      <c r="T79" s="133">
        <v>0.98</v>
      </c>
      <c r="U79" s="101">
        <f t="shared" si="11"/>
        <v>418.46</v>
      </c>
      <c r="V79" s="101">
        <f t="shared" si="12"/>
        <v>6836.48</v>
      </c>
      <c r="W79" s="101">
        <f t="shared" si="13"/>
        <v>24352.02</v>
      </c>
      <c r="X79" s="101">
        <f t="shared" si="14"/>
        <v>153823.57339999999</v>
      </c>
      <c r="Y79" s="101">
        <f t="shared" si="15"/>
        <v>81981.713799999998</v>
      </c>
      <c r="AA79" s="101">
        <v>239</v>
      </c>
      <c r="AB79" s="101">
        <v>7084</v>
      </c>
      <c r="AC79" s="101">
        <v>27843</v>
      </c>
      <c r="AD79" s="101">
        <v>201182.7</v>
      </c>
      <c r="AE79" s="101">
        <v>114659.698</v>
      </c>
      <c r="AF79" s="225"/>
      <c r="AG79" s="148"/>
      <c r="AH79" s="101">
        <v>30062</v>
      </c>
      <c r="AI79" s="101">
        <f t="shared" si="6"/>
        <v>24049.599999999999</v>
      </c>
      <c r="AJ79" s="101">
        <f t="shared" si="7"/>
        <v>36074.400000000001</v>
      </c>
    </row>
    <row r="80" spans="1:36" s="137" customFormat="1" x14ac:dyDescent="0.3">
      <c r="A80" s="126" t="s">
        <v>171</v>
      </c>
      <c r="B80" s="126">
        <v>5</v>
      </c>
      <c r="C80" s="126">
        <v>91</v>
      </c>
      <c r="D80" s="126" t="str">
        <f t="shared" si="16"/>
        <v>591</v>
      </c>
      <c r="E80" s="136"/>
      <c r="F80" s="136">
        <v>0</v>
      </c>
      <c r="G80" s="136">
        <v>0</v>
      </c>
      <c r="H80" s="136"/>
      <c r="I80" s="136"/>
      <c r="J80" s="101">
        <v>6</v>
      </c>
      <c r="K80" s="101">
        <v>10</v>
      </c>
      <c r="L80" s="101">
        <v>434</v>
      </c>
      <c r="M80" s="101">
        <v>495</v>
      </c>
      <c r="N80" s="101">
        <v>175</v>
      </c>
      <c r="O80" s="101">
        <v>4</v>
      </c>
      <c r="P80" s="101">
        <v>5</v>
      </c>
      <c r="Q80" s="101">
        <v>13</v>
      </c>
      <c r="R80" s="101">
        <v>113.33</v>
      </c>
      <c r="S80" s="101">
        <v>254.346</v>
      </c>
      <c r="T80" s="133">
        <v>1.02</v>
      </c>
      <c r="U80" s="101">
        <f t="shared" si="11"/>
        <v>4.08</v>
      </c>
      <c r="V80" s="101">
        <f t="shared" si="12"/>
        <v>5.0999999999999996</v>
      </c>
      <c r="W80" s="101">
        <f t="shared" si="13"/>
        <v>13.26</v>
      </c>
      <c r="X80" s="101">
        <f t="shared" si="14"/>
        <v>115.5966</v>
      </c>
      <c r="Y80" s="101">
        <f t="shared" si="15"/>
        <v>259.43292000000002</v>
      </c>
      <c r="Z80" s="101"/>
      <c r="AA80" s="101">
        <v>7</v>
      </c>
      <c r="AB80" s="101">
        <v>16</v>
      </c>
      <c r="AC80" s="101">
        <v>119</v>
      </c>
      <c r="AD80" s="101">
        <v>1097.03</v>
      </c>
      <c r="AE80" s="101">
        <v>372.34</v>
      </c>
      <c r="AF80" s="225"/>
      <c r="AG80" s="148"/>
      <c r="AH80" s="101">
        <v>30063</v>
      </c>
      <c r="AI80" s="101">
        <f t="shared" si="6"/>
        <v>24050.400000000001</v>
      </c>
      <c r="AJ80" s="101">
        <f t="shared" si="7"/>
        <v>36075.599999999999</v>
      </c>
    </row>
    <row r="81" spans="1:36" s="137" customFormat="1" hidden="1" x14ac:dyDescent="0.3">
      <c r="A81" s="126" t="s">
        <v>171</v>
      </c>
      <c r="B81" s="126">
        <v>5</v>
      </c>
      <c r="C81" s="126">
        <v>41</v>
      </c>
      <c r="D81" s="126" t="str">
        <f t="shared" si="16"/>
        <v>541</v>
      </c>
      <c r="E81" s="136"/>
      <c r="F81" s="136"/>
      <c r="G81" s="136"/>
      <c r="H81" s="136"/>
      <c r="I81" s="136"/>
      <c r="J81" s="101"/>
      <c r="K81" s="101"/>
      <c r="L81" s="101"/>
      <c r="M81" s="101"/>
      <c r="N81" s="101"/>
      <c r="O81" s="101">
        <v>5</v>
      </c>
      <c r="P81" s="101">
        <v>11</v>
      </c>
      <c r="Q81" s="101">
        <v>113</v>
      </c>
      <c r="R81" s="101">
        <v>547.02</v>
      </c>
      <c r="S81" s="101">
        <v>261.66700000000003</v>
      </c>
      <c r="T81" s="133">
        <v>1.02</v>
      </c>
      <c r="U81" s="101">
        <f t="shared" si="11"/>
        <v>5.0999999999999996</v>
      </c>
      <c r="V81" s="101">
        <f t="shared" si="12"/>
        <v>11.22</v>
      </c>
      <c r="W81" s="101">
        <f t="shared" si="13"/>
        <v>115.26</v>
      </c>
      <c r="X81" s="101">
        <f t="shared" si="14"/>
        <v>557.96039999999994</v>
      </c>
      <c r="Y81" s="101">
        <f t="shared" si="15"/>
        <v>266.90034000000003</v>
      </c>
      <c r="Z81" s="101"/>
      <c r="AA81" s="101">
        <v>4</v>
      </c>
      <c r="AB81" s="101">
        <v>4</v>
      </c>
      <c r="AC81" s="101">
        <v>237</v>
      </c>
      <c r="AD81" s="101">
        <v>978.32</v>
      </c>
      <c r="AE81" s="101">
        <v>277.49599999999998</v>
      </c>
      <c r="AF81" s="225"/>
      <c r="AG81" s="148"/>
      <c r="AH81" s="101"/>
      <c r="AI81" s="101"/>
      <c r="AJ81" s="101"/>
    </row>
    <row r="82" spans="1:36" s="137" customFormat="1" hidden="1" x14ac:dyDescent="0.3">
      <c r="A82" s="126" t="s">
        <v>171</v>
      </c>
      <c r="B82" s="126">
        <v>5</v>
      </c>
      <c r="C82" s="126">
        <v>12</v>
      </c>
      <c r="D82" s="126" t="str">
        <f t="shared" si="16"/>
        <v>512</v>
      </c>
      <c r="E82" s="136"/>
      <c r="F82" s="136"/>
      <c r="G82" s="136"/>
      <c r="H82" s="136"/>
      <c r="I82" s="136"/>
      <c r="J82" s="101"/>
      <c r="K82" s="101"/>
      <c r="L82" s="101"/>
      <c r="M82" s="101"/>
      <c r="N82" s="101"/>
      <c r="O82" s="101">
        <v>1</v>
      </c>
      <c r="P82" s="101">
        <v>2</v>
      </c>
      <c r="Q82" s="101">
        <v>3</v>
      </c>
      <c r="R82" s="101">
        <v>40.74</v>
      </c>
      <c r="S82" s="101">
        <v>4.1349999999999998</v>
      </c>
      <c r="T82" s="133">
        <v>1.02</v>
      </c>
      <c r="U82" s="101">
        <f t="shared" si="11"/>
        <v>1.02</v>
      </c>
      <c r="V82" s="101">
        <f t="shared" si="12"/>
        <v>2.04</v>
      </c>
      <c r="W82" s="101">
        <f t="shared" si="13"/>
        <v>3.06</v>
      </c>
      <c r="X82" s="101">
        <f t="shared" si="14"/>
        <v>41.5548</v>
      </c>
      <c r="Y82" s="101">
        <f t="shared" si="15"/>
        <v>4.2176999999999998</v>
      </c>
      <c r="Z82" s="101"/>
      <c r="AA82" s="101">
        <v>0</v>
      </c>
      <c r="AB82" s="101">
        <v>0</v>
      </c>
      <c r="AC82" s="101">
        <v>0</v>
      </c>
      <c r="AD82" s="101">
        <v>0</v>
      </c>
      <c r="AE82" s="101">
        <v>0</v>
      </c>
      <c r="AF82" s="225"/>
      <c r="AG82" s="148"/>
      <c r="AH82" s="101"/>
      <c r="AI82" s="101"/>
      <c r="AJ82" s="101"/>
    </row>
    <row r="83" spans="1:36" s="137" customFormat="1" hidden="1" x14ac:dyDescent="0.3">
      <c r="A83" s="126" t="s">
        <v>171</v>
      </c>
      <c r="B83" s="126">
        <v>5</v>
      </c>
      <c r="C83" s="126">
        <v>1</v>
      </c>
      <c r="D83" s="126" t="str">
        <f t="shared" si="16"/>
        <v>51</v>
      </c>
      <c r="E83" s="136"/>
      <c r="F83" s="136"/>
      <c r="G83" s="136"/>
      <c r="H83" s="136"/>
      <c r="I83" s="136"/>
      <c r="J83" s="101">
        <v>87</v>
      </c>
      <c r="K83" s="101">
        <v>87</v>
      </c>
      <c r="L83" s="101">
        <v>41391</v>
      </c>
      <c r="M83" s="101"/>
      <c r="N83" s="101">
        <v>284476</v>
      </c>
      <c r="O83" s="139">
        <v>117</v>
      </c>
      <c r="P83" s="139">
        <v>145</v>
      </c>
      <c r="Q83" s="139">
        <v>68028</v>
      </c>
      <c r="R83" s="139"/>
      <c r="S83" s="139">
        <v>113614.06999999999</v>
      </c>
      <c r="T83" s="133">
        <v>1.02</v>
      </c>
      <c r="U83" s="101">
        <f t="shared" si="11"/>
        <v>119.34</v>
      </c>
      <c r="V83" s="101">
        <f t="shared" si="12"/>
        <v>147.9</v>
      </c>
      <c r="W83" s="101">
        <f t="shared" si="13"/>
        <v>69388.56</v>
      </c>
      <c r="X83" s="101">
        <f t="shared" si="14"/>
        <v>0</v>
      </c>
      <c r="Y83" s="101">
        <f t="shared" si="15"/>
        <v>115886.3514</v>
      </c>
      <c r="Z83" s="101"/>
      <c r="AA83" s="101">
        <v>114</v>
      </c>
      <c r="AB83" s="101">
        <v>114</v>
      </c>
      <c r="AC83" s="101">
        <v>19982</v>
      </c>
      <c r="AD83" s="101"/>
      <c r="AE83" s="101">
        <v>89989.74</v>
      </c>
      <c r="AF83" s="225"/>
      <c r="AG83" s="148"/>
      <c r="AH83" s="101"/>
      <c r="AI83" s="101"/>
      <c r="AJ83" s="101"/>
    </row>
    <row r="84" spans="1:36" hidden="1" x14ac:dyDescent="0.3">
      <c r="A84" s="126" t="s">
        <v>171</v>
      </c>
      <c r="B84" s="126">
        <v>5</v>
      </c>
      <c r="C84" s="126">
        <v>37</v>
      </c>
      <c r="D84" s="126" t="str">
        <f t="shared" si="16"/>
        <v>537</v>
      </c>
      <c r="E84" s="101">
        <v>13.25</v>
      </c>
      <c r="F84" s="101">
        <v>33</v>
      </c>
      <c r="G84" s="101">
        <v>859.5</v>
      </c>
      <c r="H84" s="101">
        <v>3379.26</v>
      </c>
      <c r="I84" s="101">
        <v>1988.9449999999999</v>
      </c>
      <c r="J84" s="101">
        <v>0</v>
      </c>
      <c r="K84" s="101">
        <v>0</v>
      </c>
      <c r="L84" s="101">
        <v>0</v>
      </c>
      <c r="M84" s="101">
        <v>0</v>
      </c>
      <c r="N84" s="101">
        <v>0</v>
      </c>
      <c r="O84" s="101">
        <v>2</v>
      </c>
      <c r="P84" s="101">
        <v>2</v>
      </c>
      <c r="Q84" s="101">
        <v>340</v>
      </c>
      <c r="R84" s="101">
        <v>451.5</v>
      </c>
      <c r="S84" s="101">
        <v>313.55</v>
      </c>
      <c r="T84" s="133">
        <v>1.02</v>
      </c>
      <c r="U84" s="101">
        <f t="shared" si="11"/>
        <v>2.04</v>
      </c>
      <c r="V84" s="101">
        <f t="shared" si="12"/>
        <v>2.04</v>
      </c>
      <c r="W84" s="101">
        <f t="shared" si="13"/>
        <v>346.8</v>
      </c>
      <c r="X84" s="101">
        <f t="shared" si="14"/>
        <v>460.53000000000003</v>
      </c>
      <c r="Y84" s="101">
        <f t="shared" si="15"/>
        <v>319.82100000000003</v>
      </c>
      <c r="AA84" s="101">
        <v>5</v>
      </c>
      <c r="AB84" s="101">
        <v>8</v>
      </c>
      <c r="AC84" s="101">
        <v>858</v>
      </c>
      <c r="AD84" s="101">
        <v>1012.62</v>
      </c>
      <c r="AE84" s="101">
        <v>798.71400000000006</v>
      </c>
      <c r="AF84" s="225"/>
      <c r="AG84" s="148"/>
      <c r="AH84" s="101">
        <v>30064</v>
      </c>
      <c r="AI84" s="101">
        <f t="shared" si="6"/>
        <v>24051.199999999997</v>
      </c>
      <c r="AJ84" s="101">
        <f t="shared" si="7"/>
        <v>36076.799999999996</v>
      </c>
    </row>
    <row r="85" spans="1:36" hidden="1" x14ac:dyDescent="0.3">
      <c r="A85" s="126" t="s">
        <v>173</v>
      </c>
      <c r="B85" s="126">
        <v>6</v>
      </c>
      <c r="C85" s="126">
        <v>22</v>
      </c>
      <c r="D85" s="126" t="str">
        <f t="shared" si="16"/>
        <v>622</v>
      </c>
      <c r="E85" s="101">
        <v>612</v>
      </c>
      <c r="F85" s="101">
        <v>5861</v>
      </c>
      <c r="G85" s="101">
        <v>56009</v>
      </c>
      <c r="H85" s="101">
        <v>473289.32999999996</v>
      </c>
      <c r="I85" s="101">
        <v>284725.23000000004</v>
      </c>
      <c r="J85" s="101">
        <v>443</v>
      </c>
      <c r="K85" s="101">
        <v>3628</v>
      </c>
      <c r="L85" s="101">
        <v>39246</v>
      </c>
      <c r="M85" s="101">
        <v>189598</v>
      </c>
      <c r="N85" s="101">
        <v>132906</v>
      </c>
      <c r="O85" s="101">
        <v>694</v>
      </c>
      <c r="P85" s="101">
        <v>3618</v>
      </c>
      <c r="Q85" s="101">
        <v>28307</v>
      </c>
      <c r="R85" s="101">
        <v>181292.51</v>
      </c>
      <c r="S85" s="101">
        <v>116797.034</v>
      </c>
      <c r="T85" s="133">
        <v>1.02</v>
      </c>
      <c r="U85" s="101">
        <f t="shared" si="11"/>
        <v>707.88</v>
      </c>
      <c r="V85" s="101">
        <f t="shared" si="12"/>
        <v>3690.36</v>
      </c>
      <c r="W85" s="101">
        <f t="shared" si="13"/>
        <v>28873.14</v>
      </c>
      <c r="X85" s="101">
        <f t="shared" si="14"/>
        <v>184918.36020000002</v>
      </c>
      <c r="Y85" s="101">
        <f t="shared" si="15"/>
        <v>119132.97468</v>
      </c>
      <c r="AA85" s="101">
        <v>378</v>
      </c>
      <c r="AB85" s="101">
        <v>2878</v>
      </c>
      <c r="AC85" s="101">
        <v>25607</v>
      </c>
      <c r="AD85" s="101">
        <v>97364.42</v>
      </c>
      <c r="AE85" s="101">
        <v>70761.138999999996</v>
      </c>
      <c r="AF85" s="225">
        <f>SUM(AB85:AB99)</f>
        <v>22910</v>
      </c>
      <c r="AG85" s="148"/>
      <c r="AH85" s="101">
        <v>30065</v>
      </c>
      <c r="AI85" s="101">
        <f t="shared" ref="AI85:AI124" si="17">(AH85/100)*80</f>
        <v>24052</v>
      </c>
      <c r="AJ85" s="101">
        <f t="shared" ref="AJ85:AJ124" si="18">(AH85/100)*120</f>
        <v>36078</v>
      </c>
    </row>
    <row r="86" spans="1:36" hidden="1" x14ac:dyDescent="0.3">
      <c r="A86" s="126" t="s">
        <v>173</v>
      </c>
      <c r="B86" s="126">
        <v>6</v>
      </c>
      <c r="C86" s="126">
        <v>12</v>
      </c>
      <c r="D86" s="126" t="str">
        <f t="shared" si="16"/>
        <v>612</v>
      </c>
      <c r="F86" s="101">
        <v>0</v>
      </c>
      <c r="G86" s="101">
        <v>0</v>
      </c>
      <c r="J86" s="101">
        <v>1</v>
      </c>
      <c r="K86" s="101">
        <v>2</v>
      </c>
      <c r="L86" s="101">
        <v>4</v>
      </c>
      <c r="M86" s="101">
        <v>86</v>
      </c>
      <c r="N86" s="101">
        <v>14</v>
      </c>
      <c r="O86" s="101">
        <v>0</v>
      </c>
      <c r="P86" s="101">
        <v>0</v>
      </c>
      <c r="Q86" s="101">
        <v>0</v>
      </c>
      <c r="R86" s="101">
        <v>0</v>
      </c>
      <c r="S86" s="101">
        <v>0</v>
      </c>
      <c r="T86" s="133">
        <v>1.02</v>
      </c>
      <c r="U86" s="101">
        <f t="shared" si="11"/>
        <v>0</v>
      </c>
      <c r="V86" s="101">
        <f t="shared" si="12"/>
        <v>0</v>
      </c>
      <c r="W86" s="101">
        <f t="shared" si="13"/>
        <v>0</v>
      </c>
      <c r="X86" s="101">
        <f t="shared" si="14"/>
        <v>0</v>
      </c>
      <c r="Y86" s="101">
        <f t="shared" si="15"/>
        <v>0</v>
      </c>
      <c r="AA86" s="101">
        <v>1</v>
      </c>
      <c r="AB86" s="101">
        <v>1</v>
      </c>
      <c r="AC86" s="101">
        <v>1</v>
      </c>
      <c r="AD86" s="101">
        <v>14.37</v>
      </c>
      <c r="AE86" s="101">
        <v>1.339</v>
      </c>
      <c r="AF86" s="225"/>
      <c r="AG86" s="148"/>
      <c r="AH86" s="101">
        <v>30066</v>
      </c>
      <c r="AI86" s="101">
        <f t="shared" si="17"/>
        <v>24052.800000000003</v>
      </c>
      <c r="AJ86" s="101">
        <f t="shared" si="18"/>
        <v>36079.200000000004</v>
      </c>
    </row>
    <row r="87" spans="1:36" hidden="1" x14ac:dyDescent="0.3">
      <c r="A87" s="126" t="s">
        <v>173</v>
      </c>
      <c r="B87" s="126">
        <v>6</v>
      </c>
      <c r="C87" s="126">
        <v>25</v>
      </c>
      <c r="D87" s="126" t="str">
        <f t="shared" si="16"/>
        <v>625</v>
      </c>
      <c r="E87" s="101">
        <v>529</v>
      </c>
      <c r="F87" s="101">
        <v>2088</v>
      </c>
      <c r="G87" s="101">
        <v>67186</v>
      </c>
      <c r="H87" s="101">
        <v>1046929.9300000002</v>
      </c>
      <c r="I87" s="101">
        <v>475101.95000000013</v>
      </c>
      <c r="J87" s="101">
        <v>260</v>
      </c>
      <c r="K87" s="101">
        <v>2274</v>
      </c>
      <c r="L87" s="101">
        <v>60564</v>
      </c>
      <c r="M87" s="101">
        <v>593663</v>
      </c>
      <c r="N87" s="101">
        <v>275477</v>
      </c>
      <c r="O87" s="101">
        <v>248</v>
      </c>
      <c r="P87" s="101">
        <v>1525</v>
      </c>
      <c r="Q87" s="101">
        <v>33009</v>
      </c>
      <c r="R87" s="101">
        <v>938478.88</v>
      </c>
      <c r="S87" s="101">
        <v>390549.79599999997</v>
      </c>
      <c r="T87" s="133">
        <v>1.02</v>
      </c>
      <c r="U87" s="101">
        <f t="shared" si="11"/>
        <v>252.96</v>
      </c>
      <c r="V87" s="101">
        <f t="shared" si="12"/>
        <v>1555.5</v>
      </c>
      <c r="W87" s="101">
        <f t="shared" si="13"/>
        <v>33669.18</v>
      </c>
      <c r="X87" s="101">
        <f t="shared" si="14"/>
        <v>957248.45759999997</v>
      </c>
      <c r="Y87" s="101">
        <f t="shared" si="15"/>
        <v>398360.79191999999</v>
      </c>
      <c r="AA87" s="101">
        <v>348</v>
      </c>
      <c r="AB87" s="101">
        <v>3489</v>
      </c>
      <c r="AC87" s="101">
        <v>82725</v>
      </c>
      <c r="AD87" s="101">
        <v>812086.04</v>
      </c>
      <c r="AE87" s="101">
        <v>346790.598</v>
      </c>
      <c r="AF87" s="225"/>
      <c r="AG87" s="148"/>
      <c r="AH87" s="101">
        <v>30067</v>
      </c>
      <c r="AI87" s="101">
        <f t="shared" si="17"/>
        <v>24053.600000000002</v>
      </c>
      <c r="AJ87" s="101">
        <f t="shared" si="18"/>
        <v>36080.400000000001</v>
      </c>
    </row>
    <row r="88" spans="1:36" hidden="1" x14ac:dyDescent="0.3">
      <c r="A88" s="126" t="s">
        <v>173</v>
      </c>
      <c r="B88" s="126">
        <v>6</v>
      </c>
      <c r="C88" s="126">
        <v>27</v>
      </c>
      <c r="D88" s="126" t="str">
        <f t="shared" si="16"/>
        <v>627</v>
      </c>
      <c r="E88" s="101">
        <v>31</v>
      </c>
      <c r="F88" s="101">
        <v>389</v>
      </c>
      <c r="G88" s="101">
        <v>2260</v>
      </c>
      <c r="H88" s="101">
        <v>25380.629999999997</v>
      </c>
      <c r="I88" s="101">
        <v>10084.59</v>
      </c>
      <c r="J88" s="101">
        <v>13</v>
      </c>
      <c r="K88" s="101">
        <v>141</v>
      </c>
      <c r="L88" s="101">
        <v>534</v>
      </c>
      <c r="M88" s="101">
        <v>8964</v>
      </c>
      <c r="N88" s="101">
        <v>3669</v>
      </c>
      <c r="O88" s="101">
        <v>8</v>
      </c>
      <c r="P88" s="101">
        <v>24</v>
      </c>
      <c r="Q88" s="101">
        <v>130</v>
      </c>
      <c r="R88" s="101">
        <v>2245.0500000000002</v>
      </c>
      <c r="S88" s="101">
        <v>1162.0550000000001</v>
      </c>
      <c r="T88" s="133">
        <v>1.02</v>
      </c>
      <c r="U88" s="101">
        <f t="shared" si="11"/>
        <v>8.16</v>
      </c>
      <c r="V88" s="101">
        <f t="shared" si="12"/>
        <v>24.48</v>
      </c>
      <c r="W88" s="101">
        <f t="shared" si="13"/>
        <v>132.6</v>
      </c>
      <c r="X88" s="101">
        <f t="shared" si="14"/>
        <v>2289.951</v>
      </c>
      <c r="Y88" s="101">
        <f t="shared" si="15"/>
        <v>1185.2961</v>
      </c>
      <c r="AA88" s="101">
        <v>9</v>
      </c>
      <c r="AB88" s="101">
        <v>44</v>
      </c>
      <c r="AC88" s="101">
        <v>293</v>
      </c>
      <c r="AD88" s="101">
        <v>3118.38</v>
      </c>
      <c r="AE88" s="101">
        <v>1063.2429999999999</v>
      </c>
      <c r="AF88" s="225"/>
      <c r="AG88" s="148"/>
      <c r="AH88" s="101">
        <v>30068</v>
      </c>
      <c r="AI88" s="101">
        <f t="shared" si="17"/>
        <v>24054.400000000001</v>
      </c>
      <c r="AJ88" s="101">
        <f t="shared" si="18"/>
        <v>36081.599999999999</v>
      </c>
    </row>
    <row r="89" spans="1:36" hidden="1" x14ac:dyDescent="0.3">
      <c r="A89" s="126" t="s">
        <v>173</v>
      </c>
      <c r="B89" s="126">
        <v>6</v>
      </c>
      <c r="C89" s="126">
        <v>26</v>
      </c>
      <c r="D89" s="126" t="str">
        <f t="shared" si="16"/>
        <v>626</v>
      </c>
      <c r="E89" s="101">
        <v>131</v>
      </c>
      <c r="F89" s="101">
        <v>1871</v>
      </c>
      <c r="G89" s="101">
        <v>23022</v>
      </c>
      <c r="H89" s="101">
        <v>267117.67</v>
      </c>
      <c r="I89" s="101">
        <v>105252.29000000001</v>
      </c>
      <c r="J89" s="101">
        <v>130</v>
      </c>
      <c r="K89" s="101">
        <v>2077</v>
      </c>
      <c r="L89" s="101">
        <v>34113</v>
      </c>
      <c r="M89" s="101">
        <v>416155</v>
      </c>
      <c r="N89" s="101">
        <v>172272</v>
      </c>
      <c r="O89" s="101">
        <v>63</v>
      </c>
      <c r="P89" s="101">
        <v>1729</v>
      </c>
      <c r="Q89" s="101">
        <v>22965</v>
      </c>
      <c r="R89" s="101">
        <v>345769.71</v>
      </c>
      <c r="S89" s="101">
        <v>95109.592999999993</v>
      </c>
      <c r="T89" s="133">
        <v>1.02</v>
      </c>
      <c r="U89" s="101">
        <f t="shared" si="11"/>
        <v>64.260000000000005</v>
      </c>
      <c r="V89" s="101">
        <f t="shared" si="12"/>
        <v>1763.58</v>
      </c>
      <c r="W89" s="101">
        <f t="shared" si="13"/>
        <v>23424.3</v>
      </c>
      <c r="X89" s="101">
        <f t="shared" si="14"/>
        <v>352685.1042</v>
      </c>
      <c r="Y89" s="101">
        <f t="shared" si="15"/>
        <v>97011.78486</v>
      </c>
      <c r="AA89" s="101">
        <v>11</v>
      </c>
      <c r="AB89" s="101">
        <v>560</v>
      </c>
      <c r="AC89" s="101">
        <v>6628</v>
      </c>
      <c r="AD89" s="101">
        <v>82732.679999999993</v>
      </c>
      <c r="AE89" s="101">
        <v>24329.395</v>
      </c>
      <c r="AF89" s="225"/>
      <c r="AG89" s="148"/>
      <c r="AH89" s="101">
        <v>30069</v>
      </c>
      <c r="AI89" s="101">
        <f t="shared" si="17"/>
        <v>24055.200000000001</v>
      </c>
      <c r="AJ89" s="101">
        <f t="shared" si="18"/>
        <v>36082.800000000003</v>
      </c>
    </row>
    <row r="90" spans="1:36" s="137" customFormat="1" hidden="1" x14ac:dyDescent="0.3">
      <c r="A90" s="126" t="s">
        <v>173</v>
      </c>
      <c r="B90" s="126">
        <v>6</v>
      </c>
      <c r="C90" s="126">
        <v>28</v>
      </c>
      <c r="D90" s="126" t="str">
        <f t="shared" si="16"/>
        <v>628</v>
      </c>
      <c r="E90" s="136"/>
      <c r="F90" s="136">
        <v>0</v>
      </c>
      <c r="G90" s="136">
        <v>0</v>
      </c>
      <c r="H90" s="136"/>
      <c r="I90" s="136"/>
      <c r="J90" s="101">
        <v>43</v>
      </c>
      <c r="K90" s="101">
        <v>78</v>
      </c>
      <c r="L90" s="101">
        <v>1138</v>
      </c>
      <c r="M90" s="101">
        <v>30300</v>
      </c>
      <c r="N90" s="101">
        <v>8102</v>
      </c>
      <c r="O90" s="101">
        <v>78</v>
      </c>
      <c r="P90" s="101">
        <v>165</v>
      </c>
      <c r="Q90" s="101">
        <v>1702</v>
      </c>
      <c r="R90" s="101">
        <v>86440.69</v>
      </c>
      <c r="S90" s="101">
        <v>14865.156999999999</v>
      </c>
      <c r="T90" s="133">
        <v>1.02</v>
      </c>
      <c r="U90" s="101">
        <f t="shared" si="11"/>
        <v>79.56</v>
      </c>
      <c r="V90" s="101">
        <f t="shared" si="12"/>
        <v>168.3</v>
      </c>
      <c r="W90" s="101">
        <f t="shared" si="13"/>
        <v>1736.04</v>
      </c>
      <c r="X90" s="101">
        <f t="shared" si="14"/>
        <v>88169.503800000006</v>
      </c>
      <c r="Y90" s="101">
        <f t="shared" si="15"/>
        <v>15162.460139999999</v>
      </c>
      <c r="Z90" s="101"/>
      <c r="AA90" s="101">
        <v>100</v>
      </c>
      <c r="AB90" s="101">
        <v>675</v>
      </c>
      <c r="AC90" s="101">
        <v>14154</v>
      </c>
      <c r="AD90" s="101">
        <v>208325.02</v>
      </c>
      <c r="AE90" s="101">
        <v>54496.565999999999</v>
      </c>
      <c r="AF90" s="225"/>
      <c r="AG90" s="148"/>
      <c r="AH90" s="101">
        <v>30070</v>
      </c>
      <c r="AI90" s="101">
        <f t="shared" si="17"/>
        <v>24056</v>
      </c>
      <c r="AJ90" s="101">
        <f t="shared" si="18"/>
        <v>36084</v>
      </c>
    </row>
    <row r="91" spans="1:36" hidden="1" x14ac:dyDescent="0.3">
      <c r="A91" s="126" t="s">
        <v>173</v>
      </c>
      <c r="B91" s="126">
        <v>6</v>
      </c>
      <c r="C91" s="126">
        <v>32</v>
      </c>
      <c r="D91" s="126" t="str">
        <f t="shared" si="16"/>
        <v>632</v>
      </c>
      <c r="E91" s="101">
        <v>571</v>
      </c>
      <c r="F91" s="101">
        <v>1483</v>
      </c>
      <c r="G91" s="101">
        <v>29079</v>
      </c>
      <c r="H91" s="101">
        <v>494205.18</v>
      </c>
      <c r="I91" s="101">
        <v>181280.99799999999</v>
      </c>
      <c r="J91" s="101">
        <v>370</v>
      </c>
      <c r="K91" s="101">
        <v>922</v>
      </c>
      <c r="L91" s="101">
        <v>19247</v>
      </c>
      <c r="M91" s="101">
        <v>82995</v>
      </c>
      <c r="N91" s="101">
        <v>93172</v>
      </c>
      <c r="O91" s="101">
        <v>330</v>
      </c>
      <c r="P91" s="101">
        <v>1425</v>
      </c>
      <c r="Q91" s="101">
        <v>32454</v>
      </c>
      <c r="R91" s="101">
        <v>229332.11</v>
      </c>
      <c r="S91" s="101">
        <v>160642.91200000001</v>
      </c>
      <c r="T91" s="133">
        <v>1.02</v>
      </c>
      <c r="U91" s="101">
        <f t="shared" si="11"/>
        <v>336.6</v>
      </c>
      <c r="V91" s="101">
        <f t="shared" si="12"/>
        <v>1453.5</v>
      </c>
      <c r="W91" s="101">
        <f t="shared" si="13"/>
        <v>33103.08</v>
      </c>
      <c r="X91" s="101">
        <f t="shared" si="14"/>
        <v>233918.75219999999</v>
      </c>
      <c r="Y91" s="101">
        <f t="shared" si="15"/>
        <v>163855.77024000001</v>
      </c>
      <c r="AA91" s="101">
        <v>213</v>
      </c>
      <c r="AB91" s="101">
        <v>811</v>
      </c>
      <c r="AC91" s="101">
        <v>14663</v>
      </c>
      <c r="AD91" s="101">
        <v>98228.08</v>
      </c>
      <c r="AE91" s="101">
        <v>66488.303</v>
      </c>
      <c r="AF91" s="225"/>
      <c r="AG91" s="148"/>
      <c r="AH91" s="101">
        <v>30071</v>
      </c>
      <c r="AI91" s="101">
        <f t="shared" si="17"/>
        <v>24056.799999999999</v>
      </c>
      <c r="AJ91" s="101">
        <f t="shared" si="18"/>
        <v>36085.199999999997</v>
      </c>
    </row>
    <row r="92" spans="1:36" hidden="1" x14ac:dyDescent="0.3">
      <c r="A92" s="126" t="s">
        <v>173</v>
      </c>
      <c r="B92" s="126">
        <v>6</v>
      </c>
      <c r="C92" s="126">
        <v>21</v>
      </c>
      <c r="D92" s="126" t="str">
        <f t="shared" si="16"/>
        <v>621</v>
      </c>
      <c r="E92" s="101">
        <v>2377</v>
      </c>
      <c r="F92" s="101">
        <v>9807</v>
      </c>
      <c r="G92" s="101">
        <v>88305</v>
      </c>
      <c r="H92" s="101">
        <v>764473.84500000009</v>
      </c>
      <c r="I92" s="101">
        <v>222078.573</v>
      </c>
      <c r="J92" s="101">
        <v>761</v>
      </c>
      <c r="K92" s="101">
        <v>3500</v>
      </c>
      <c r="L92" s="101">
        <v>16392</v>
      </c>
      <c r="M92" s="101">
        <v>184943</v>
      </c>
      <c r="N92" s="101">
        <v>71020</v>
      </c>
      <c r="O92" s="138"/>
      <c r="P92" s="138"/>
      <c r="Q92" s="138"/>
      <c r="R92" s="138"/>
      <c r="S92" s="138"/>
      <c r="T92" s="133">
        <v>1.02</v>
      </c>
      <c r="U92" s="101">
        <f t="shared" si="11"/>
        <v>0</v>
      </c>
      <c r="V92" s="101">
        <f t="shared" si="12"/>
        <v>0</v>
      </c>
      <c r="W92" s="101">
        <f t="shared" si="13"/>
        <v>0</v>
      </c>
      <c r="X92" s="101">
        <f t="shared" si="14"/>
        <v>0</v>
      </c>
      <c r="Y92" s="101">
        <f t="shared" si="15"/>
        <v>0</v>
      </c>
      <c r="AA92" s="101">
        <v>74</v>
      </c>
      <c r="AB92" s="101">
        <v>340</v>
      </c>
      <c r="AC92" s="101">
        <v>1083</v>
      </c>
      <c r="AD92" s="101">
        <v>17290.22</v>
      </c>
      <c r="AE92" s="101">
        <v>5176.3329999999996</v>
      </c>
      <c r="AF92" s="225"/>
      <c r="AG92" s="148"/>
      <c r="AH92" s="101">
        <v>30072</v>
      </c>
      <c r="AI92" s="101">
        <f t="shared" si="17"/>
        <v>24057.600000000002</v>
      </c>
      <c r="AJ92" s="101">
        <f t="shared" si="18"/>
        <v>36086.400000000001</v>
      </c>
    </row>
    <row r="93" spans="1:36" hidden="1" x14ac:dyDescent="0.3">
      <c r="A93" s="126" t="s">
        <v>173</v>
      </c>
      <c r="B93" s="126">
        <v>6</v>
      </c>
      <c r="C93" s="126">
        <v>30</v>
      </c>
      <c r="D93" s="126" t="str">
        <f t="shared" si="16"/>
        <v>630</v>
      </c>
      <c r="E93" s="101">
        <v>305.5</v>
      </c>
      <c r="F93" s="101">
        <v>3336.5</v>
      </c>
      <c r="G93" s="101">
        <v>15428</v>
      </c>
      <c r="H93" s="101">
        <v>439881.41499999992</v>
      </c>
      <c r="I93" s="101">
        <v>132258.57699999999</v>
      </c>
      <c r="J93" s="101">
        <v>370</v>
      </c>
      <c r="K93" s="101">
        <v>4373</v>
      </c>
      <c r="L93" s="101">
        <v>15500</v>
      </c>
      <c r="M93" s="101">
        <v>369234</v>
      </c>
      <c r="N93" s="101">
        <v>109928</v>
      </c>
      <c r="O93" s="138">
        <v>475</v>
      </c>
      <c r="P93" s="138">
        <v>10635</v>
      </c>
      <c r="Q93" s="138">
        <v>39183</v>
      </c>
      <c r="R93" s="138">
        <v>766714.01</v>
      </c>
      <c r="S93" s="138">
        <v>260940.136</v>
      </c>
      <c r="T93" s="133">
        <v>1.02</v>
      </c>
      <c r="U93" s="101">
        <f t="shared" si="11"/>
        <v>484.5</v>
      </c>
      <c r="V93" s="101">
        <f t="shared" si="12"/>
        <v>10847.7</v>
      </c>
      <c r="W93" s="101">
        <f t="shared" si="13"/>
        <v>39966.660000000003</v>
      </c>
      <c r="X93" s="101">
        <f t="shared" si="14"/>
        <v>782048.29020000005</v>
      </c>
      <c r="Y93" s="101">
        <f t="shared" si="15"/>
        <v>266158.93871999998</v>
      </c>
      <c r="AA93" s="101">
        <v>352</v>
      </c>
      <c r="AB93" s="101">
        <v>7045</v>
      </c>
      <c r="AC93" s="101">
        <v>26513</v>
      </c>
      <c r="AD93" s="101">
        <v>576684.86</v>
      </c>
      <c r="AE93" s="101">
        <v>209015.98</v>
      </c>
      <c r="AF93" s="225"/>
      <c r="AG93" s="148"/>
      <c r="AH93" s="101">
        <v>30073</v>
      </c>
      <c r="AI93" s="101">
        <f t="shared" si="17"/>
        <v>24058.400000000001</v>
      </c>
      <c r="AJ93" s="101">
        <f t="shared" si="18"/>
        <v>36087.600000000006</v>
      </c>
    </row>
    <row r="94" spans="1:36" s="137" customFormat="1" hidden="1" x14ac:dyDescent="0.3">
      <c r="A94" s="126" t="s">
        <v>173</v>
      </c>
      <c r="B94" s="126">
        <v>6</v>
      </c>
      <c r="C94" s="126">
        <v>46</v>
      </c>
      <c r="D94" s="126" t="str">
        <f t="shared" si="16"/>
        <v>646</v>
      </c>
      <c r="E94" s="136"/>
      <c r="F94" s="136">
        <v>0</v>
      </c>
      <c r="G94" s="136">
        <v>0</v>
      </c>
      <c r="H94" s="136"/>
      <c r="I94" s="136"/>
      <c r="J94" s="101">
        <v>24</v>
      </c>
      <c r="K94" s="101">
        <v>28</v>
      </c>
      <c r="L94" s="101">
        <v>561</v>
      </c>
      <c r="M94" s="101">
        <v>9352</v>
      </c>
      <c r="N94" s="101">
        <v>1632</v>
      </c>
      <c r="O94" s="101">
        <v>11</v>
      </c>
      <c r="P94" s="101">
        <v>14</v>
      </c>
      <c r="Q94" s="101">
        <v>35</v>
      </c>
      <c r="R94" s="101">
        <v>2757.22</v>
      </c>
      <c r="S94" s="101">
        <v>441.44099999999997</v>
      </c>
      <c r="T94" s="133">
        <v>1.02</v>
      </c>
      <c r="U94" s="101">
        <f t="shared" si="11"/>
        <v>11.22</v>
      </c>
      <c r="V94" s="101">
        <f t="shared" si="12"/>
        <v>14.280000000000001</v>
      </c>
      <c r="W94" s="101">
        <f t="shared" si="13"/>
        <v>35.700000000000003</v>
      </c>
      <c r="X94" s="101">
        <f t="shared" si="14"/>
        <v>2812.3643999999999</v>
      </c>
      <c r="Y94" s="101">
        <f t="shared" si="15"/>
        <v>450.26981999999998</v>
      </c>
      <c r="Z94" s="101"/>
      <c r="AA94" s="101">
        <v>9</v>
      </c>
      <c r="AB94" s="101">
        <v>15</v>
      </c>
      <c r="AC94" s="101">
        <v>97</v>
      </c>
      <c r="AD94" s="101">
        <v>1310.6099999999999</v>
      </c>
      <c r="AE94" s="101">
        <v>287.87299999999999</v>
      </c>
      <c r="AF94" s="225"/>
      <c r="AG94" s="148"/>
      <c r="AH94" s="101">
        <v>30074</v>
      </c>
      <c r="AI94" s="101">
        <f t="shared" si="17"/>
        <v>24059.200000000001</v>
      </c>
      <c r="AJ94" s="101">
        <f t="shared" si="18"/>
        <v>36088.800000000003</v>
      </c>
    </row>
    <row r="95" spans="1:36" s="137" customFormat="1" hidden="1" x14ac:dyDescent="0.3">
      <c r="A95" s="126" t="s">
        <v>173</v>
      </c>
      <c r="B95" s="126">
        <v>6</v>
      </c>
      <c r="C95" s="126">
        <v>66</v>
      </c>
      <c r="D95" s="126" t="str">
        <f t="shared" si="16"/>
        <v>666</v>
      </c>
      <c r="E95" s="136"/>
      <c r="F95" s="136">
        <v>0</v>
      </c>
      <c r="G95" s="136">
        <v>0</v>
      </c>
      <c r="H95" s="136"/>
      <c r="I95" s="136"/>
      <c r="J95" s="101">
        <v>5</v>
      </c>
      <c r="K95" s="101">
        <v>5</v>
      </c>
      <c r="L95" s="101">
        <v>51</v>
      </c>
      <c r="M95" s="101">
        <v>2210</v>
      </c>
      <c r="N95" s="101">
        <v>2102</v>
      </c>
      <c r="O95" s="101">
        <v>30</v>
      </c>
      <c r="P95" s="101">
        <v>32</v>
      </c>
      <c r="Q95" s="101">
        <v>6833</v>
      </c>
      <c r="R95" s="101">
        <v>23506.52</v>
      </c>
      <c r="S95" s="101">
        <v>9508.9439999999995</v>
      </c>
      <c r="T95" s="133">
        <v>1.02</v>
      </c>
      <c r="U95" s="101">
        <f t="shared" si="11"/>
        <v>30.6</v>
      </c>
      <c r="V95" s="101">
        <f t="shared" si="12"/>
        <v>32.64</v>
      </c>
      <c r="W95" s="101">
        <f t="shared" si="13"/>
        <v>6969.66</v>
      </c>
      <c r="X95" s="101">
        <f t="shared" si="14"/>
        <v>23976.650400000002</v>
      </c>
      <c r="Y95" s="101">
        <f t="shared" si="15"/>
        <v>9699.122879999999</v>
      </c>
      <c r="Z95" s="101"/>
      <c r="AA95" s="101">
        <v>25</v>
      </c>
      <c r="AB95" s="101">
        <v>78</v>
      </c>
      <c r="AC95" s="101">
        <v>1728</v>
      </c>
      <c r="AD95" s="101">
        <v>21225.56</v>
      </c>
      <c r="AE95" s="101">
        <v>6262.0020000000004</v>
      </c>
      <c r="AF95" s="225"/>
      <c r="AG95" s="148"/>
      <c r="AH95" s="101">
        <v>30075</v>
      </c>
      <c r="AI95" s="101">
        <f t="shared" si="17"/>
        <v>24060</v>
      </c>
      <c r="AJ95" s="101">
        <f t="shared" si="18"/>
        <v>36090</v>
      </c>
    </row>
    <row r="96" spans="1:36" hidden="1" x14ac:dyDescent="0.3">
      <c r="A96" s="126" t="s">
        <v>173</v>
      </c>
      <c r="B96" s="126">
        <v>6</v>
      </c>
      <c r="C96" s="126">
        <v>71</v>
      </c>
      <c r="D96" s="126" t="str">
        <f t="shared" si="16"/>
        <v>671</v>
      </c>
      <c r="E96" s="101">
        <v>721</v>
      </c>
      <c r="F96" s="101">
        <v>6055</v>
      </c>
      <c r="G96" s="101">
        <v>15491</v>
      </c>
      <c r="H96" s="101">
        <v>119222.44</v>
      </c>
      <c r="I96" s="101">
        <v>50058.6535</v>
      </c>
      <c r="J96" s="101">
        <v>621</v>
      </c>
      <c r="K96" s="101">
        <v>6174</v>
      </c>
      <c r="L96" s="101">
        <v>21681</v>
      </c>
      <c r="M96" s="101">
        <v>200905</v>
      </c>
      <c r="N96" s="101">
        <v>122796</v>
      </c>
      <c r="O96" s="101">
        <v>501</v>
      </c>
      <c r="P96" s="101">
        <v>8168</v>
      </c>
      <c r="Q96" s="101">
        <v>22703</v>
      </c>
      <c r="R96" s="101">
        <v>204941.03</v>
      </c>
      <c r="S96" s="101">
        <v>81440.608999999997</v>
      </c>
      <c r="T96" s="133">
        <v>0.98</v>
      </c>
      <c r="U96" s="101">
        <f t="shared" si="11"/>
        <v>490.98</v>
      </c>
      <c r="V96" s="101">
        <f t="shared" si="12"/>
        <v>8004.6399999999994</v>
      </c>
      <c r="W96" s="101">
        <f t="shared" si="13"/>
        <v>22248.94</v>
      </c>
      <c r="X96" s="101">
        <f t="shared" si="14"/>
        <v>200842.20939999999</v>
      </c>
      <c r="Y96" s="101">
        <f t="shared" si="15"/>
        <v>79811.796819999989</v>
      </c>
      <c r="AA96" s="101">
        <v>157</v>
      </c>
      <c r="AB96" s="101">
        <v>6806</v>
      </c>
      <c r="AC96" s="101">
        <v>18755</v>
      </c>
      <c r="AD96" s="101">
        <v>152279.48000000001</v>
      </c>
      <c r="AE96" s="101">
        <v>76223.129000000001</v>
      </c>
      <c r="AF96" s="225"/>
      <c r="AG96" s="148"/>
      <c r="AH96" s="101">
        <v>30076</v>
      </c>
      <c r="AI96" s="101">
        <f t="shared" si="17"/>
        <v>24060.799999999999</v>
      </c>
      <c r="AJ96" s="101">
        <f t="shared" si="18"/>
        <v>36091.199999999997</v>
      </c>
    </row>
    <row r="97" spans="1:36" x14ac:dyDescent="0.3">
      <c r="A97" s="126" t="s">
        <v>173</v>
      </c>
      <c r="B97" s="126">
        <v>6</v>
      </c>
      <c r="C97" s="126">
        <v>91</v>
      </c>
      <c r="D97" s="126" t="str">
        <f t="shared" si="16"/>
        <v>691</v>
      </c>
      <c r="F97" s="101">
        <v>0</v>
      </c>
      <c r="G97" s="101">
        <v>0</v>
      </c>
      <c r="J97" s="101">
        <v>2</v>
      </c>
      <c r="K97" s="101">
        <v>4</v>
      </c>
      <c r="L97" s="101">
        <v>4</v>
      </c>
      <c r="M97" s="101">
        <v>12</v>
      </c>
      <c r="N97" s="101">
        <v>11</v>
      </c>
      <c r="O97" s="101">
        <v>2</v>
      </c>
      <c r="P97" s="101">
        <v>3</v>
      </c>
      <c r="Q97" s="101">
        <v>3</v>
      </c>
      <c r="R97" s="101">
        <v>11.24</v>
      </c>
      <c r="S97" s="101">
        <v>7.79</v>
      </c>
      <c r="T97" s="133">
        <v>1.02</v>
      </c>
      <c r="U97" s="101">
        <f t="shared" si="11"/>
        <v>2.04</v>
      </c>
      <c r="V97" s="101">
        <f t="shared" si="12"/>
        <v>3.06</v>
      </c>
      <c r="W97" s="101">
        <f t="shared" si="13"/>
        <v>3.06</v>
      </c>
      <c r="X97" s="101">
        <f t="shared" si="14"/>
        <v>11.4648</v>
      </c>
      <c r="Y97" s="101">
        <f t="shared" si="15"/>
        <v>7.9458000000000002</v>
      </c>
      <c r="AA97" s="101">
        <v>2</v>
      </c>
      <c r="AB97" s="101">
        <v>2</v>
      </c>
      <c r="AC97" s="101">
        <v>2</v>
      </c>
      <c r="AD97" s="101">
        <v>55.6</v>
      </c>
      <c r="AE97" s="101">
        <v>24.827000000000002</v>
      </c>
      <c r="AF97" s="225"/>
      <c r="AG97" s="148"/>
      <c r="AH97" s="101">
        <v>30077</v>
      </c>
      <c r="AI97" s="101">
        <f t="shared" si="17"/>
        <v>24061.599999999999</v>
      </c>
      <c r="AJ97" s="101">
        <f t="shared" si="18"/>
        <v>36092.399999999994</v>
      </c>
    </row>
    <row r="98" spans="1:36" hidden="1" x14ac:dyDescent="0.3">
      <c r="A98" s="126" t="s">
        <v>173</v>
      </c>
      <c r="B98" s="126">
        <v>6</v>
      </c>
      <c r="C98" s="126">
        <v>1</v>
      </c>
      <c r="D98" s="126" t="str">
        <f t="shared" si="16"/>
        <v>61</v>
      </c>
      <c r="J98" s="101">
        <v>125</v>
      </c>
      <c r="K98" s="101">
        <v>125</v>
      </c>
      <c r="L98" s="101">
        <v>47591</v>
      </c>
      <c r="N98" s="101">
        <v>214712</v>
      </c>
      <c r="O98" s="101">
        <v>128</v>
      </c>
      <c r="P98" s="101">
        <v>128</v>
      </c>
      <c r="Q98" s="101">
        <v>46993</v>
      </c>
      <c r="S98" s="101">
        <v>273129</v>
      </c>
      <c r="T98" s="133">
        <v>1.02</v>
      </c>
      <c r="U98" s="101">
        <f t="shared" si="11"/>
        <v>130.56</v>
      </c>
      <c r="V98" s="101">
        <f t="shared" si="12"/>
        <v>130.56</v>
      </c>
      <c r="W98" s="101">
        <f t="shared" si="13"/>
        <v>47932.86</v>
      </c>
      <c r="X98" s="101">
        <f t="shared" si="14"/>
        <v>0</v>
      </c>
      <c r="Y98" s="101">
        <f t="shared" si="15"/>
        <v>278591.58</v>
      </c>
      <c r="AA98" s="101">
        <v>158</v>
      </c>
      <c r="AB98" s="101">
        <v>158</v>
      </c>
      <c r="AC98" s="101">
        <v>34594</v>
      </c>
      <c r="AE98" s="101">
        <v>177560.889</v>
      </c>
      <c r="AF98" s="225"/>
      <c r="AG98" s="148"/>
      <c r="AH98" s="101"/>
      <c r="AI98" s="101"/>
      <c r="AJ98" s="101"/>
    </row>
    <row r="99" spans="1:36" hidden="1" x14ac:dyDescent="0.3">
      <c r="A99" s="126" t="s">
        <v>173</v>
      </c>
      <c r="B99" s="126">
        <v>6</v>
      </c>
      <c r="C99" s="126">
        <v>37</v>
      </c>
      <c r="D99" s="126" t="str">
        <f t="shared" si="16"/>
        <v>637</v>
      </c>
      <c r="E99" s="101">
        <v>9</v>
      </c>
      <c r="F99" s="101">
        <v>17.25</v>
      </c>
      <c r="G99" s="101">
        <v>518.5</v>
      </c>
      <c r="H99" s="101">
        <v>4813.7950000000001</v>
      </c>
      <c r="I99" s="101">
        <v>4000.9372499999999</v>
      </c>
      <c r="J99" s="101">
        <v>0</v>
      </c>
      <c r="K99" s="101">
        <v>0</v>
      </c>
      <c r="L99" s="101">
        <v>0</v>
      </c>
      <c r="M99" s="101">
        <v>0</v>
      </c>
      <c r="N99" s="101">
        <v>0</v>
      </c>
      <c r="O99" s="101">
        <v>0</v>
      </c>
      <c r="P99" s="101">
        <v>0</v>
      </c>
      <c r="Q99" s="101">
        <v>0</v>
      </c>
      <c r="R99" s="101">
        <v>0</v>
      </c>
      <c r="S99" s="101">
        <v>0</v>
      </c>
      <c r="T99" s="133">
        <v>1.02</v>
      </c>
      <c r="U99" s="101">
        <f t="shared" si="11"/>
        <v>0</v>
      </c>
      <c r="V99" s="101">
        <f t="shared" si="12"/>
        <v>0</v>
      </c>
      <c r="W99" s="101">
        <f t="shared" si="13"/>
        <v>0</v>
      </c>
      <c r="X99" s="101">
        <f t="shared" si="14"/>
        <v>0</v>
      </c>
      <c r="Y99" s="101">
        <f t="shared" si="15"/>
        <v>0</v>
      </c>
      <c r="AA99" s="101">
        <v>4</v>
      </c>
      <c r="AB99" s="101">
        <v>8</v>
      </c>
      <c r="AC99" s="101">
        <v>2550</v>
      </c>
      <c r="AD99" s="101">
        <v>70767.600000000006</v>
      </c>
      <c r="AE99" s="101">
        <v>2244.8989999999999</v>
      </c>
      <c r="AF99" s="225"/>
      <c r="AG99" s="148"/>
      <c r="AH99" s="101">
        <v>30078</v>
      </c>
      <c r="AI99" s="101">
        <f t="shared" si="17"/>
        <v>24062.399999999998</v>
      </c>
      <c r="AJ99" s="101">
        <f t="shared" si="18"/>
        <v>36093.599999999999</v>
      </c>
    </row>
    <row r="100" spans="1:36" hidden="1" x14ac:dyDescent="0.3">
      <c r="A100" s="126" t="s">
        <v>173</v>
      </c>
      <c r="B100" s="126">
        <v>7</v>
      </c>
      <c r="C100" s="126">
        <v>22</v>
      </c>
      <c r="D100" s="126" t="str">
        <f t="shared" si="16"/>
        <v>722</v>
      </c>
      <c r="E100" s="101">
        <v>696</v>
      </c>
      <c r="F100" s="101">
        <v>9621</v>
      </c>
      <c r="G100" s="101">
        <v>91983</v>
      </c>
      <c r="H100" s="101">
        <v>260231.65</v>
      </c>
      <c r="I100" s="101">
        <v>218219.27900000001</v>
      </c>
      <c r="J100" s="101">
        <v>415</v>
      </c>
      <c r="K100" s="101">
        <v>3213</v>
      </c>
      <c r="L100" s="101">
        <v>44420</v>
      </c>
      <c r="M100" s="101">
        <v>289186</v>
      </c>
      <c r="N100" s="101">
        <v>179518</v>
      </c>
      <c r="O100" s="101">
        <v>691</v>
      </c>
      <c r="P100" s="101">
        <v>3615</v>
      </c>
      <c r="Q100" s="101">
        <v>28300</v>
      </c>
      <c r="R100" s="101">
        <v>181094.29</v>
      </c>
      <c r="S100" s="101">
        <v>116827.818</v>
      </c>
      <c r="T100" s="133">
        <v>1.02</v>
      </c>
      <c r="U100" s="101">
        <f t="shared" si="11"/>
        <v>704.82</v>
      </c>
      <c r="V100" s="101">
        <f t="shared" si="12"/>
        <v>3687.3</v>
      </c>
      <c r="W100" s="101">
        <f t="shared" si="13"/>
        <v>28866</v>
      </c>
      <c r="X100" s="101">
        <f t="shared" si="14"/>
        <v>184716.1758</v>
      </c>
      <c r="Y100" s="101">
        <f t="shared" si="15"/>
        <v>119164.37436</v>
      </c>
      <c r="AA100" s="101">
        <v>459</v>
      </c>
      <c r="AB100" s="101">
        <v>3582</v>
      </c>
      <c r="AC100" s="101">
        <v>29067</v>
      </c>
      <c r="AD100" s="101">
        <v>158016</v>
      </c>
      <c r="AE100" s="101">
        <v>114835</v>
      </c>
      <c r="AF100" s="225">
        <f>SUM(AB100:AB113)</f>
        <v>22546</v>
      </c>
      <c r="AG100" s="148"/>
      <c r="AH100" s="101">
        <v>30079</v>
      </c>
      <c r="AI100" s="101">
        <f t="shared" si="17"/>
        <v>24063.200000000001</v>
      </c>
      <c r="AJ100" s="101">
        <f t="shared" si="18"/>
        <v>36094.800000000003</v>
      </c>
    </row>
    <row r="101" spans="1:36" hidden="1" x14ac:dyDescent="0.3">
      <c r="A101" s="126" t="s">
        <v>173</v>
      </c>
      <c r="B101" s="126">
        <v>7</v>
      </c>
      <c r="C101" s="126">
        <v>25</v>
      </c>
      <c r="D101" s="126" t="str">
        <f t="shared" si="16"/>
        <v>725</v>
      </c>
      <c r="E101" s="101">
        <v>327</v>
      </c>
      <c r="F101" s="101">
        <v>2454</v>
      </c>
      <c r="G101" s="101">
        <v>47562</v>
      </c>
      <c r="H101" s="101">
        <v>557883.72000000009</v>
      </c>
      <c r="I101" s="101">
        <v>269889.24</v>
      </c>
      <c r="J101" s="101">
        <v>253</v>
      </c>
      <c r="K101" s="101">
        <v>2284</v>
      </c>
      <c r="L101" s="101">
        <v>72298</v>
      </c>
      <c r="M101" s="101">
        <v>738287</v>
      </c>
      <c r="N101" s="101">
        <v>358231</v>
      </c>
      <c r="O101" s="101">
        <v>248</v>
      </c>
      <c r="P101" s="101">
        <v>1525</v>
      </c>
      <c r="Q101" s="101">
        <v>32999</v>
      </c>
      <c r="R101" s="101">
        <v>937331.5</v>
      </c>
      <c r="S101" s="101">
        <v>390136.25599999994</v>
      </c>
      <c r="T101" s="133">
        <v>1.02</v>
      </c>
      <c r="U101" s="101">
        <f t="shared" si="11"/>
        <v>252.96</v>
      </c>
      <c r="V101" s="101">
        <f t="shared" si="12"/>
        <v>1555.5</v>
      </c>
      <c r="W101" s="101">
        <f t="shared" si="13"/>
        <v>33658.980000000003</v>
      </c>
      <c r="X101" s="101">
        <f t="shared" si="14"/>
        <v>956078.13</v>
      </c>
      <c r="Y101" s="101">
        <f t="shared" si="15"/>
        <v>397938.98111999995</v>
      </c>
      <c r="AA101" s="101">
        <v>288</v>
      </c>
      <c r="AB101" s="101">
        <v>1980</v>
      </c>
      <c r="AC101" s="101">
        <v>43337</v>
      </c>
      <c r="AD101" s="101">
        <v>518006</v>
      </c>
      <c r="AE101" s="101">
        <v>207533</v>
      </c>
      <c r="AF101" s="225"/>
      <c r="AG101" s="148"/>
      <c r="AH101" s="101">
        <v>30080</v>
      </c>
      <c r="AI101" s="101">
        <f t="shared" si="17"/>
        <v>24064</v>
      </c>
      <c r="AJ101" s="101">
        <f t="shared" si="18"/>
        <v>36096</v>
      </c>
    </row>
    <row r="102" spans="1:36" hidden="1" x14ac:dyDescent="0.3">
      <c r="A102" s="126" t="s">
        <v>173</v>
      </c>
      <c r="B102" s="126">
        <v>7</v>
      </c>
      <c r="C102" s="126">
        <v>27</v>
      </c>
      <c r="D102" s="126" t="str">
        <f t="shared" si="16"/>
        <v>727</v>
      </c>
      <c r="E102" s="101">
        <v>56</v>
      </c>
      <c r="F102" s="101">
        <v>789</v>
      </c>
      <c r="G102" s="101">
        <v>5369</v>
      </c>
      <c r="H102" s="101">
        <v>79168.140000000014</v>
      </c>
      <c r="I102" s="101">
        <v>28979.656999999999</v>
      </c>
      <c r="J102" s="101">
        <v>14</v>
      </c>
      <c r="K102" s="101">
        <v>162</v>
      </c>
      <c r="L102" s="101">
        <v>798</v>
      </c>
      <c r="M102" s="101">
        <v>8515</v>
      </c>
      <c r="N102" s="101">
        <v>5764</v>
      </c>
      <c r="O102" s="101">
        <v>8</v>
      </c>
      <c r="P102" s="101">
        <v>24</v>
      </c>
      <c r="Q102" s="101">
        <v>130</v>
      </c>
      <c r="R102" s="101">
        <v>2245.0500000000002</v>
      </c>
      <c r="S102" s="101">
        <v>1162.0550000000001</v>
      </c>
      <c r="T102" s="133">
        <v>1.02</v>
      </c>
      <c r="U102" s="101">
        <f t="shared" si="11"/>
        <v>8.16</v>
      </c>
      <c r="V102" s="101">
        <f t="shared" si="12"/>
        <v>24.48</v>
      </c>
      <c r="W102" s="101">
        <f t="shared" si="13"/>
        <v>132.6</v>
      </c>
      <c r="X102" s="101">
        <f t="shared" si="14"/>
        <v>2289.951</v>
      </c>
      <c r="Y102" s="101">
        <f t="shared" si="15"/>
        <v>1185.2961</v>
      </c>
      <c r="AA102" s="101">
        <v>11</v>
      </c>
      <c r="AB102" s="101">
        <v>17</v>
      </c>
      <c r="AC102" s="101">
        <v>212</v>
      </c>
      <c r="AD102" s="101">
        <v>7422</v>
      </c>
      <c r="AE102" s="101">
        <v>5033</v>
      </c>
      <c r="AF102" s="225"/>
      <c r="AG102" s="148"/>
      <c r="AH102" s="101">
        <v>30081</v>
      </c>
      <c r="AI102" s="101">
        <f t="shared" si="17"/>
        <v>24064.799999999999</v>
      </c>
      <c r="AJ102" s="101">
        <f t="shared" si="18"/>
        <v>36097.199999999997</v>
      </c>
    </row>
    <row r="103" spans="1:36" hidden="1" x14ac:dyDescent="0.3">
      <c r="A103" s="126" t="s">
        <v>173</v>
      </c>
      <c r="B103" s="126">
        <v>7</v>
      </c>
      <c r="C103" s="126">
        <v>26</v>
      </c>
      <c r="D103" s="126" t="str">
        <f t="shared" si="16"/>
        <v>726</v>
      </c>
      <c r="E103" s="101">
        <v>104</v>
      </c>
      <c r="F103" s="101">
        <v>2653</v>
      </c>
      <c r="G103" s="101">
        <v>32967</v>
      </c>
      <c r="H103" s="101">
        <v>320579.42</v>
      </c>
      <c r="I103" s="101">
        <v>121064.605</v>
      </c>
      <c r="J103" s="101">
        <v>58</v>
      </c>
      <c r="K103" s="101">
        <v>1292</v>
      </c>
      <c r="L103" s="101">
        <v>12428</v>
      </c>
      <c r="M103" s="101">
        <v>175832</v>
      </c>
      <c r="N103" s="101">
        <v>64313</v>
      </c>
      <c r="O103" s="101">
        <v>63</v>
      </c>
      <c r="P103" s="101">
        <v>1729</v>
      </c>
      <c r="Q103" s="101">
        <v>22965</v>
      </c>
      <c r="R103" s="101">
        <v>345769.71</v>
      </c>
      <c r="S103" s="101">
        <v>95109.593000000008</v>
      </c>
      <c r="T103" s="133">
        <v>1.02</v>
      </c>
      <c r="U103" s="101">
        <f t="shared" si="11"/>
        <v>64.260000000000005</v>
      </c>
      <c r="V103" s="101">
        <f t="shared" si="12"/>
        <v>1763.58</v>
      </c>
      <c r="W103" s="101">
        <f t="shared" si="13"/>
        <v>23424.3</v>
      </c>
      <c r="X103" s="101">
        <f t="shared" si="14"/>
        <v>352685.1042</v>
      </c>
      <c r="Y103" s="101">
        <f t="shared" si="15"/>
        <v>97011.784860000014</v>
      </c>
      <c r="AA103" s="101">
        <v>10</v>
      </c>
      <c r="AB103" s="101">
        <v>82</v>
      </c>
      <c r="AC103" s="101">
        <v>3466</v>
      </c>
      <c r="AD103" s="101">
        <v>28003</v>
      </c>
      <c r="AE103" s="101">
        <v>15840</v>
      </c>
      <c r="AF103" s="225"/>
      <c r="AG103" s="148"/>
      <c r="AH103" s="101">
        <v>30082</v>
      </c>
      <c r="AI103" s="101">
        <f t="shared" si="17"/>
        <v>24065.599999999999</v>
      </c>
      <c r="AJ103" s="101">
        <f t="shared" si="18"/>
        <v>36098.400000000001</v>
      </c>
    </row>
    <row r="104" spans="1:36" hidden="1" x14ac:dyDescent="0.3">
      <c r="A104" s="126" t="s">
        <v>173</v>
      </c>
      <c r="B104" s="126">
        <v>7</v>
      </c>
      <c r="C104" s="126">
        <v>32</v>
      </c>
      <c r="D104" s="126" t="str">
        <f t="shared" si="16"/>
        <v>732</v>
      </c>
      <c r="E104" s="101">
        <v>608</v>
      </c>
      <c r="F104" s="101">
        <v>1904</v>
      </c>
      <c r="G104" s="101">
        <v>42468</v>
      </c>
      <c r="H104" s="101">
        <v>424054.56</v>
      </c>
      <c r="I104" s="101">
        <v>128755.20599999999</v>
      </c>
      <c r="J104" s="101">
        <v>342</v>
      </c>
      <c r="K104" s="101">
        <v>1280</v>
      </c>
      <c r="L104" s="101">
        <v>30561</v>
      </c>
      <c r="M104" s="101">
        <v>126680</v>
      </c>
      <c r="N104" s="101">
        <v>94503</v>
      </c>
      <c r="O104" s="101">
        <v>330</v>
      </c>
      <c r="P104" s="101">
        <v>1425</v>
      </c>
      <c r="Q104" s="101">
        <v>32454</v>
      </c>
      <c r="R104" s="101">
        <v>229332.11</v>
      </c>
      <c r="S104" s="101">
        <v>160642.91199999998</v>
      </c>
      <c r="T104" s="133">
        <v>1.02</v>
      </c>
      <c r="U104" s="101">
        <f t="shared" si="11"/>
        <v>336.6</v>
      </c>
      <c r="V104" s="101">
        <f t="shared" si="12"/>
        <v>1453.5</v>
      </c>
      <c r="W104" s="101">
        <f t="shared" si="13"/>
        <v>33103.08</v>
      </c>
      <c r="X104" s="101">
        <f t="shared" si="14"/>
        <v>233918.75219999999</v>
      </c>
      <c r="Y104" s="101">
        <f t="shared" si="15"/>
        <v>163855.77023999998</v>
      </c>
      <c r="AA104" s="101">
        <v>233</v>
      </c>
      <c r="AB104" s="101">
        <v>1168</v>
      </c>
      <c r="AC104" s="101">
        <v>28288</v>
      </c>
      <c r="AD104" s="101">
        <v>145905</v>
      </c>
      <c r="AE104" s="101">
        <v>108157</v>
      </c>
      <c r="AF104" s="225"/>
      <c r="AG104" s="148"/>
      <c r="AH104" s="101">
        <v>30083</v>
      </c>
      <c r="AI104" s="101">
        <f t="shared" si="17"/>
        <v>24066.399999999998</v>
      </c>
      <c r="AJ104" s="101">
        <f t="shared" si="18"/>
        <v>36099.599999999999</v>
      </c>
    </row>
    <row r="105" spans="1:36" hidden="1" x14ac:dyDescent="0.3">
      <c r="A105" s="126" t="s">
        <v>173</v>
      </c>
      <c r="B105" s="126">
        <v>7</v>
      </c>
      <c r="C105" s="126">
        <v>21</v>
      </c>
      <c r="D105" s="126" t="str">
        <f t="shared" si="16"/>
        <v>721</v>
      </c>
      <c r="E105" s="101">
        <v>2034.5</v>
      </c>
      <c r="F105" s="101">
        <v>7391.5</v>
      </c>
      <c r="G105" s="101">
        <v>61194.5</v>
      </c>
      <c r="H105" s="101">
        <v>722167</v>
      </c>
      <c r="I105" s="101">
        <v>235450.14799999999</v>
      </c>
      <c r="J105" s="101">
        <v>524</v>
      </c>
      <c r="K105" s="101">
        <v>4757</v>
      </c>
      <c r="L105" s="101">
        <v>23134</v>
      </c>
      <c r="M105" s="101">
        <v>390056</v>
      </c>
      <c r="N105" s="101">
        <v>143412</v>
      </c>
      <c r="O105" s="138"/>
      <c r="P105" s="138"/>
      <c r="Q105" s="138"/>
      <c r="R105" s="138"/>
      <c r="S105" s="138"/>
      <c r="T105" s="133">
        <v>1.02</v>
      </c>
      <c r="U105" s="101">
        <f t="shared" si="11"/>
        <v>0</v>
      </c>
      <c r="V105" s="101">
        <f t="shared" si="12"/>
        <v>0</v>
      </c>
      <c r="W105" s="101">
        <f t="shared" si="13"/>
        <v>0</v>
      </c>
      <c r="X105" s="101">
        <f t="shared" si="14"/>
        <v>0</v>
      </c>
      <c r="Y105" s="101">
        <f t="shared" si="15"/>
        <v>0</v>
      </c>
      <c r="AA105" s="101">
        <v>86</v>
      </c>
      <c r="AB105" s="101">
        <v>291</v>
      </c>
      <c r="AC105" s="101">
        <v>1299</v>
      </c>
      <c r="AD105" s="101">
        <v>21000</v>
      </c>
      <c r="AE105" s="101">
        <v>9062</v>
      </c>
      <c r="AF105" s="225"/>
      <c r="AG105" s="148"/>
      <c r="AH105" s="101">
        <v>30084</v>
      </c>
      <c r="AI105" s="101">
        <f t="shared" si="17"/>
        <v>24067.199999999997</v>
      </c>
      <c r="AJ105" s="101">
        <f t="shared" si="18"/>
        <v>36100.799999999996</v>
      </c>
    </row>
    <row r="106" spans="1:36" hidden="1" x14ac:dyDescent="0.3">
      <c r="A106" s="126" t="s">
        <v>173</v>
      </c>
      <c r="B106" s="126">
        <v>7</v>
      </c>
      <c r="C106" s="126">
        <v>71</v>
      </c>
      <c r="D106" s="126" t="str">
        <f t="shared" si="16"/>
        <v>771</v>
      </c>
      <c r="E106" s="101">
        <v>875</v>
      </c>
      <c r="F106" s="101">
        <v>6106.5</v>
      </c>
      <c r="G106" s="101">
        <v>19877</v>
      </c>
      <c r="H106" s="101">
        <v>149079.99</v>
      </c>
      <c r="I106" s="101">
        <v>89834.8505</v>
      </c>
      <c r="J106" s="101">
        <v>540</v>
      </c>
      <c r="K106" s="101">
        <v>5478</v>
      </c>
      <c r="L106" s="101">
        <v>15328</v>
      </c>
      <c r="M106" s="101">
        <v>95707</v>
      </c>
      <c r="N106" s="101">
        <v>54214</v>
      </c>
      <c r="O106" s="101">
        <v>501</v>
      </c>
      <c r="P106" s="101">
        <v>8168</v>
      </c>
      <c r="Q106" s="101">
        <v>22703</v>
      </c>
      <c r="R106" s="101">
        <v>204941.03</v>
      </c>
      <c r="S106" s="101">
        <v>81440.608999999997</v>
      </c>
      <c r="T106" s="133">
        <v>0.98</v>
      </c>
      <c r="U106" s="101">
        <f t="shared" si="11"/>
        <v>490.98</v>
      </c>
      <c r="V106" s="101">
        <f t="shared" si="12"/>
        <v>8004.6399999999994</v>
      </c>
      <c r="W106" s="101">
        <f t="shared" si="13"/>
        <v>22248.94</v>
      </c>
      <c r="X106" s="101">
        <f t="shared" si="14"/>
        <v>200842.20939999999</v>
      </c>
      <c r="Y106" s="101">
        <f t="shared" si="15"/>
        <v>79811.796819999989</v>
      </c>
      <c r="AA106" s="101">
        <v>184</v>
      </c>
      <c r="AB106" s="101">
        <v>6586</v>
      </c>
      <c r="AC106" s="101">
        <v>18267</v>
      </c>
      <c r="AD106" s="101">
        <v>118037</v>
      </c>
      <c r="AE106" s="101">
        <v>61328</v>
      </c>
      <c r="AF106" s="225"/>
      <c r="AG106" s="148"/>
      <c r="AH106" s="101">
        <v>30085</v>
      </c>
      <c r="AI106" s="101">
        <f t="shared" si="17"/>
        <v>24068</v>
      </c>
      <c r="AJ106" s="101">
        <f t="shared" si="18"/>
        <v>36102</v>
      </c>
    </row>
    <row r="107" spans="1:36" hidden="1" x14ac:dyDescent="0.3">
      <c r="A107" s="126" t="s">
        <v>173</v>
      </c>
      <c r="B107" s="126">
        <v>7</v>
      </c>
      <c r="C107" s="126">
        <v>28</v>
      </c>
      <c r="D107" s="126" t="str">
        <f t="shared" si="16"/>
        <v>728</v>
      </c>
      <c r="J107" s="101">
        <v>98</v>
      </c>
      <c r="K107" s="101">
        <v>266</v>
      </c>
      <c r="L107" s="101">
        <v>4122</v>
      </c>
      <c r="M107" s="101">
        <v>65290</v>
      </c>
      <c r="N107" s="101">
        <v>19523</v>
      </c>
      <c r="O107" s="101">
        <v>78</v>
      </c>
      <c r="P107" s="101">
        <v>165</v>
      </c>
      <c r="Q107" s="101">
        <v>1700</v>
      </c>
      <c r="R107" s="101">
        <v>85883.75</v>
      </c>
      <c r="S107" s="101">
        <v>14836.11</v>
      </c>
      <c r="T107" s="133">
        <v>1.02</v>
      </c>
      <c r="U107" s="101">
        <f t="shared" si="11"/>
        <v>79.56</v>
      </c>
      <c r="V107" s="101">
        <f t="shared" si="12"/>
        <v>168.3</v>
      </c>
      <c r="W107" s="101">
        <f t="shared" si="13"/>
        <v>1734</v>
      </c>
      <c r="X107" s="101">
        <f t="shared" si="14"/>
        <v>87601.425000000003</v>
      </c>
      <c r="Y107" s="101">
        <f t="shared" si="15"/>
        <v>15132.832200000001</v>
      </c>
      <c r="AA107" s="101">
        <v>59</v>
      </c>
      <c r="AB107" s="101">
        <v>161</v>
      </c>
      <c r="AC107" s="101">
        <v>933</v>
      </c>
      <c r="AD107" s="101">
        <v>22542</v>
      </c>
      <c r="AE107" s="101">
        <v>8219</v>
      </c>
      <c r="AF107" s="225"/>
      <c r="AG107" s="148"/>
      <c r="AH107" s="101">
        <v>30086</v>
      </c>
      <c r="AI107" s="101">
        <f t="shared" si="17"/>
        <v>24068.800000000003</v>
      </c>
      <c r="AJ107" s="101">
        <f t="shared" si="18"/>
        <v>36103.200000000004</v>
      </c>
    </row>
    <row r="108" spans="1:36" hidden="1" x14ac:dyDescent="0.3">
      <c r="A108" s="126" t="s">
        <v>173</v>
      </c>
      <c r="B108" s="126">
        <v>7</v>
      </c>
      <c r="C108" s="126">
        <v>46</v>
      </c>
      <c r="D108" s="126" t="str">
        <f t="shared" si="16"/>
        <v>746</v>
      </c>
      <c r="J108" s="101">
        <v>29</v>
      </c>
      <c r="K108" s="101">
        <v>41</v>
      </c>
      <c r="L108" s="101">
        <v>401</v>
      </c>
      <c r="M108" s="101">
        <v>10666</v>
      </c>
      <c r="N108" s="101">
        <v>2401</v>
      </c>
      <c r="O108" s="101">
        <v>11</v>
      </c>
      <c r="P108" s="101">
        <v>14</v>
      </c>
      <c r="Q108" s="101">
        <v>35</v>
      </c>
      <c r="R108" s="101">
        <v>2757.2200000000003</v>
      </c>
      <c r="S108" s="101">
        <v>441.44100000000003</v>
      </c>
      <c r="T108" s="133">
        <v>1.02</v>
      </c>
      <c r="U108" s="101">
        <f t="shared" si="11"/>
        <v>11.22</v>
      </c>
      <c r="V108" s="101">
        <f t="shared" si="12"/>
        <v>14.280000000000001</v>
      </c>
      <c r="W108" s="101">
        <f t="shared" si="13"/>
        <v>35.700000000000003</v>
      </c>
      <c r="X108" s="101">
        <f t="shared" si="14"/>
        <v>2812.3644000000004</v>
      </c>
      <c r="Y108" s="101">
        <f t="shared" si="15"/>
        <v>450.26982000000004</v>
      </c>
      <c r="AA108" s="101">
        <v>7</v>
      </c>
      <c r="AB108" s="101">
        <v>8</v>
      </c>
      <c r="AC108" s="101">
        <v>552</v>
      </c>
      <c r="AD108" s="101">
        <v>8637</v>
      </c>
      <c r="AE108" s="101">
        <v>2659</v>
      </c>
      <c r="AF108" s="225"/>
      <c r="AG108" s="148"/>
      <c r="AH108" s="101">
        <v>30087</v>
      </c>
      <c r="AI108" s="101">
        <f t="shared" si="17"/>
        <v>24069.599999999999</v>
      </c>
      <c r="AJ108" s="101">
        <f t="shared" si="18"/>
        <v>36104.400000000001</v>
      </c>
    </row>
    <row r="109" spans="1:36" hidden="1" x14ac:dyDescent="0.3">
      <c r="A109" s="126" t="s">
        <v>173</v>
      </c>
      <c r="B109" s="126">
        <v>7</v>
      </c>
      <c r="C109" s="126">
        <v>66</v>
      </c>
      <c r="D109" s="126" t="str">
        <f t="shared" si="16"/>
        <v>766</v>
      </c>
      <c r="J109" s="101">
        <v>5</v>
      </c>
      <c r="K109" s="101">
        <v>8</v>
      </c>
      <c r="L109" s="101">
        <v>63</v>
      </c>
      <c r="M109" s="101">
        <v>3277</v>
      </c>
      <c r="N109" s="101">
        <v>987</v>
      </c>
      <c r="O109" s="101">
        <v>30</v>
      </c>
      <c r="P109" s="101">
        <v>32</v>
      </c>
      <c r="Q109" s="101">
        <v>6175</v>
      </c>
      <c r="R109" s="101">
        <v>22170.78</v>
      </c>
      <c r="S109" s="101">
        <v>9423.43</v>
      </c>
      <c r="T109" s="133">
        <v>1.02</v>
      </c>
      <c r="U109" s="101">
        <f t="shared" si="11"/>
        <v>30.6</v>
      </c>
      <c r="V109" s="101">
        <f t="shared" si="12"/>
        <v>32.64</v>
      </c>
      <c r="W109" s="101">
        <f t="shared" si="13"/>
        <v>6298.5</v>
      </c>
      <c r="X109" s="101">
        <f t="shared" si="14"/>
        <v>22614.195599999999</v>
      </c>
      <c r="Y109" s="101">
        <f t="shared" si="15"/>
        <v>9611.8986000000004</v>
      </c>
      <c r="AA109" s="101">
        <v>26</v>
      </c>
      <c r="AB109" s="101">
        <v>52</v>
      </c>
      <c r="AC109" s="101">
        <v>1204</v>
      </c>
      <c r="AD109" s="101">
        <v>13961</v>
      </c>
      <c r="AE109" s="101">
        <v>13137</v>
      </c>
      <c r="AF109" s="225"/>
      <c r="AG109" s="148"/>
      <c r="AH109" s="101">
        <v>30088</v>
      </c>
      <c r="AI109" s="101">
        <f t="shared" si="17"/>
        <v>24070.400000000001</v>
      </c>
      <c r="AJ109" s="101">
        <f t="shared" si="18"/>
        <v>36105.599999999999</v>
      </c>
    </row>
    <row r="110" spans="1:36" x14ac:dyDescent="0.3">
      <c r="A110" s="126" t="s">
        <v>173</v>
      </c>
      <c r="B110" s="126">
        <v>7</v>
      </c>
      <c r="C110" s="126">
        <v>91</v>
      </c>
      <c r="D110" s="126" t="str">
        <f t="shared" si="16"/>
        <v>791</v>
      </c>
      <c r="J110" s="101">
        <v>4</v>
      </c>
      <c r="K110" s="101">
        <v>13</v>
      </c>
      <c r="L110" s="101">
        <v>57</v>
      </c>
      <c r="M110" s="101">
        <v>236</v>
      </c>
      <c r="N110" s="101">
        <v>208</v>
      </c>
      <c r="O110" s="101">
        <v>2</v>
      </c>
      <c r="P110" s="101">
        <v>3</v>
      </c>
      <c r="Q110" s="101">
        <v>3</v>
      </c>
      <c r="R110" s="101">
        <v>11.24</v>
      </c>
      <c r="S110" s="101">
        <v>7.79</v>
      </c>
      <c r="T110" s="133">
        <v>1.02</v>
      </c>
      <c r="U110" s="101">
        <f t="shared" si="11"/>
        <v>2.04</v>
      </c>
      <c r="V110" s="101">
        <f t="shared" si="12"/>
        <v>3.06</v>
      </c>
      <c r="W110" s="101">
        <f t="shared" si="13"/>
        <v>3.06</v>
      </c>
      <c r="X110" s="101">
        <f t="shared" si="14"/>
        <v>11.4648</v>
      </c>
      <c r="Y110" s="101">
        <f t="shared" si="15"/>
        <v>7.9458000000000002</v>
      </c>
      <c r="AA110" s="101">
        <v>5</v>
      </c>
      <c r="AB110" s="101">
        <v>7</v>
      </c>
      <c r="AC110" s="101">
        <v>37</v>
      </c>
      <c r="AD110" s="101">
        <v>167</v>
      </c>
      <c r="AE110" s="101">
        <v>203</v>
      </c>
      <c r="AF110" s="225"/>
      <c r="AG110" s="148"/>
      <c r="AH110" s="101">
        <v>30089</v>
      </c>
      <c r="AI110" s="101">
        <f t="shared" si="17"/>
        <v>24071.199999999997</v>
      </c>
      <c r="AJ110" s="101">
        <f t="shared" si="18"/>
        <v>36106.799999999996</v>
      </c>
    </row>
    <row r="111" spans="1:36" hidden="1" x14ac:dyDescent="0.3">
      <c r="A111" s="126" t="s">
        <v>173</v>
      </c>
      <c r="B111" s="126">
        <v>7</v>
      </c>
      <c r="C111" s="126">
        <v>30</v>
      </c>
      <c r="D111" s="126" t="str">
        <f t="shared" si="16"/>
        <v>730</v>
      </c>
      <c r="E111" s="101">
        <v>329</v>
      </c>
      <c r="F111" s="101">
        <v>3297.5</v>
      </c>
      <c r="G111" s="101">
        <v>17286.5</v>
      </c>
      <c r="H111" s="101">
        <v>555922.32500000007</v>
      </c>
      <c r="I111" s="101">
        <v>209328</v>
      </c>
      <c r="J111" s="101">
        <v>230</v>
      </c>
      <c r="K111" s="101">
        <v>4545</v>
      </c>
      <c r="L111" s="101">
        <v>15943</v>
      </c>
      <c r="M111" s="101">
        <v>368233</v>
      </c>
      <c r="N111" s="101">
        <v>100002</v>
      </c>
      <c r="O111" s="138">
        <v>639</v>
      </c>
      <c r="P111" s="138">
        <v>9429</v>
      </c>
      <c r="Q111" s="138">
        <v>34398</v>
      </c>
      <c r="R111" s="138">
        <v>736840.90999999992</v>
      </c>
      <c r="S111" s="138">
        <v>249120.33799999999</v>
      </c>
      <c r="T111" s="133">
        <v>1.02</v>
      </c>
      <c r="U111" s="101">
        <f t="shared" si="11"/>
        <v>651.78</v>
      </c>
      <c r="V111" s="101">
        <f t="shared" si="12"/>
        <v>9617.58</v>
      </c>
      <c r="W111" s="101">
        <f t="shared" si="13"/>
        <v>35085.96</v>
      </c>
      <c r="X111" s="101">
        <f t="shared" si="14"/>
        <v>751577.7281999999</v>
      </c>
      <c r="Y111" s="101">
        <f t="shared" si="15"/>
        <v>254102.74476</v>
      </c>
      <c r="AA111" s="101">
        <v>385</v>
      </c>
      <c r="AB111" s="101">
        <v>8396</v>
      </c>
      <c r="AC111" s="101">
        <v>27818</v>
      </c>
      <c r="AD111" s="101">
        <v>463769</v>
      </c>
      <c r="AE111" s="101">
        <v>145313</v>
      </c>
      <c r="AF111" s="225"/>
      <c r="AG111" s="148"/>
      <c r="AH111" s="101">
        <v>30090</v>
      </c>
      <c r="AI111" s="101">
        <f t="shared" si="17"/>
        <v>24072</v>
      </c>
      <c r="AJ111" s="101">
        <f t="shared" si="18"/>
        <v>36108</v>
      </c>
    </row>
    <row r="112" spans="1:36" hidden="1" x14ac:dyDescent="0.3">
      <c r="A112" s="126" t="s">
        <v>173</v>
      </c>
      <c r="B112" s="126">
        <v>7</v>
      </c>
      <c r="C112" s="126">
        <v>1</v>
      </c>
      <c r="D112" s="126" t="str">
        <f t="shared" si="16"/>
        <v>71</v>
      </c>
      <c r="J112" s="101">
        <v>186</v>
      </c>
      <c r="K112" s="101">
        <v>186</v>
      </c>
      <c r="L112" s="101">
        <v>93595</v>
      </c>
      <c r="N112" s="101">
        <v>502563</v>
      </c>
      <c r="O112" s="101">
        <v>100</v>
      </c>
      <c r="P112" s="101">
        <v>100</v>
      </c>
      <c r="Q112" s="101">
        <v>41216</v>
      </c>
      <c r="R112" s="101">
        <v>204833.85</v>
      </c>
      <c r="S112" s="101">
        <v>158444.85</v>
      </c>
      <c r="T112" s="133">
        <v>1.02</v>
      </c>
      <c r="U112" s="101">
        <f t="shared" si="11"/>
        <v>102</v>
      </c>
      <c r="V112" s="101">
        <f t="shared" si="12"/>
        <v>102</v>
      </c>
      <c r="W112" s="101">
        <f t="shared" si="13"/>
        <v>42040.32</v>
      </c>
      <c r="X112" s="101">
        <f t="shared" si="14"/>
        <v>208930.527</v>
      </c>
      <c r="Y112" s="101">
        <f t="shared" si="15"/>
        <v>161613.747</v>
      </c>
      <c r="AA112" s="101">
        <v>216</v>
      </c>
      <c r="AB112" s="101">
        <v>216</v>
      </c>
      <c r="AC112" s="101">
        <v>48152</v>
      </c>
      <c r="AE112" s="101">
        <v>236511.671</v>
      </c>
      <c r="AF112" s="225"/>
      <c r="AG112" s="148"/>
      <c r="AH112" s="101"/>
      <c r="AI112" s="101"/>
      <c r="AJ112" s="101"/>
    </row>
    <row r="113" spans="1:36" hidden="1" x14ac:dyDescent="0.3">
      <c r="A113" s="126" t="s">
        <v>173</v>
      </c>
      <c r="B113" s="126">
        <v>7</v>
      </c>
      <c r="C113" s="126">
        <v>37</v>
      </c>
      <c r="D113" s="126" t="str">
        <f t="shared" si="16"/>
        <v>737</v>
      </c>
      <c r="E113" s="101">
        <v>10.5</v>
      </c>
      <c r="F113" s="101">
        <v>24.5</v>
      </c>
      <c r="G113" s="101">
        <v>708.25</v>
      </c>
      <c r="H113" s="101">
        <v>4429.8425000000007</v>
      </c>
      <c r="I113" s="101">
        <v>2340.9135000000001</v>
      </c>
      <c r="J113" s="101">
        <v>5</v>
      </c>
      <c r="K113" s="101">
        <v>34</v>
      </c>
      <c r="L113" s="101">
        <v>35183</v>
      </c>
      <c r="M113" s="101">
        <v>13461</v>
      </c>
      <c r="N113" s="101">
        <v>14000</v>
      </c>
      <c r="O113" s="101">
        <v>0</v>
      </c>
      <c r="P113" s="101">
        <v>0</v>
      </c>
      <c r="Q113" s="101">
        <v>0</v>
      </c>
      <c r="R113" s="101">
        <v>0</v>
      </c>
      <c r="S113" s="101">
        <v>0</v>
      </c>
      <c r="T113" s="133">
        <v>1.02</v>
      </c>
      <c r="U113" s="101">
        <f t="shared" si="11"/>
        <v>0</v>
      </c>
      <c r="V113" s="101">
        <f t="shared" si="12"/>
        <v>0</v>
      </c>
      <c r="W113" s="101">
        <f t="shared" si="13"/>
        <v>0</v>
      </c>
      <c r="X113" s="101">
        <f t="shared" si="14"/>
        <v>0</v>
      </c>
      <c r="Y113" s="101">
        <f t="shared" si="15"/>
        <v>0</v>
      </c>
      <c r="AA113" s="101">
        <v>0</v>
      </c>
      <c r="AB113" s="101">
        <v>0</v>
      </c>
      <c r="AC113" s="101">
        <v>0</v>
      </c>
      <c r="AD113" s="101">
        <v>0</v>
      </c>
      <c r="AE113" s="101">
        <v>0</v>
      </c>
      <c r="AF113" s="225"/>
      <c r="AG113" s="148"/>
      <c r="AH113" s="101">
        <v>30091</v>
      </c>
      <c r="AI113" s="101">
        <f t="shared" si="17"/>
        <v>24072.800000000003</v>
      </c>
      <c r="AJ113" s="101">
        <f t="shared" si="18"/>
        <v>36109.200000000004</v>
      </c>
    </row>
    <row r="114" spans="1:36" hidden="1" x14ac:dyDescent="0.3">
      <c r="A114" s="126" t="s">
        <v>173</v>
      </c>
      <c r="B114" s="126">
        <v>8</v>
      </c>
      <c r="C114" s="126">
        <v>22</v>
      </c>
      <c r="D114" s="126" t="str">
        <f t="shared" si="16"/>
        <v>822</v>
      </c>
      <c r="E114" s="101">
        <v>645</v>
      </c>
      <c r="F114" s="101">
        <v>6425</v>
      </c>
      <c r="G114" s="101">
        <v>47483</v>
      </c>
      <c r="H114" s="101">
        <v>262527.40999999997</v>
      </c>
      <c r="I114" s="101">
        <v>146633.649</v>
      </c>
      <c r="J114" s="101">
        <v>489</v>
      </c>
      <c r="K114" s="101">
        <v>3893</v>
      </c>
      <c r="L114" s="101">
        <v>34675</v>
      </c>
      <c r="M114" s="101">
        <v>219531.73</v>
      </c>
      <c r="N114" s="101">
        <v>150199.62600000002</v>
      </c>
      <c r="O114" s="101">
        <v>628</v>
      </c>
      <c r="P114" s="101">
        <v>4079</v>
      </c>
      <c r="Q114" s="101">
        <v>68124</v>
      </c>
      <c r="R114" s="101">
        <v>248796.59000000003</v>
      </c>
      <c r="S114" s="101">
        <v>184636.31200000001</v>
      </c>
      <c r="T114" s="133">
        <v>1.02</v>
      </c>
      <c r="U114" s="101">
        <f t="shared" si="11"/>
        <v>640.56000000000006</v>
      </c>
      <c r="V114" s="101">
        <f t="shared" si="12"/>
        <v>4160.58</v>
      </c>
      <c r="W114" s="101">
        <f t="shared" si="13"/>
        <v>69486.48</v>
      </c>
      <c r="X114" s="101">
        <f t="shared" si="14"/>
        <v>253772.52180000002</v>
      </c>
      <c r="Y114" s="101">
        <f t="shared" si="15"/>
        <v>188329.03823999999</v>
      </c>
      <c r="AA114" s="101">
        <v>457</v>
      </c>
      <c r="AB114" s="101">
        <v>2968</v>
      </c>
      <c r="AC114" s="101">
        <v>32050</v>
      </c>
      <c r="AD114" s="101">
        <v>142816</v>
      </c>
      <c r="AE114" s="101">
        <v>112940</v>
      </c>
      <c r="AF114" s="225">
        <f>SUM(AB114:AB129)</f>
        <v>28656</v>
      </c>
      <c r="AG114" s="148"/>
      <c r="AH114" s="101">
        <v>30092</v>
      </c>
      <c r="AI114" s="101">
        <f t="shared" si="17"/>
        <v>24073.600000000002</v>
      </c>
      <c r="AJ114" s="101">
        <f t="shared" si="18"/>
        <v>36110.400000000001</v>
      </c>
    </row>
    <row r="115" spans="1:36" hidden="1" x14ac:dyDescent="0.3">
      <c r="A115" s="126" t="s">
        <v>173</v>
      </c>
      <c r="B115" s="126">
        <v>8</v>
      </c>
      <c r="C115" s="126">
        <v>25</v>
      </c>
      <c r="D115" s="126" t="str">
        <f t="shared" si="16"/>
        <v>825</v>
      </c>
      <c r="E115" s="101">
        <v>316</v>
      </c>
      <c r="F115" s="101">
        <v>2396</v>
      </c>
      <c r="G115" s="101">
        <v>126922</v>
      </c>
      <c r="H115" s="101">
        <v>562370.30999999994</v>
      </c>
      <c r="I115" s="101">
        <v>261450.29600000003</v>
      </c>
      <c r="J115" s="101">
        <v>262</v>
      </c>
      <c r="K115" s="101">
        <v>2096</v>
      </c>
      <c r="L115" s="101">
        <v>43497</v>
      </c>
      <c r="M115" s="101">
        <v>287988</v>
      </c>
      <c r="N115" s="101">
        <v>145370.78100000002</v>
      </c>
      <c r="O115" s="101">
        <v>205</v>
      </c>
      <c r="P115" s="101">
        <v>1296</v>
      </c>
      <c r="Q115" s="101">
        <v>39652</v>
      </c>
      <c r="R115" s="101">
        <v>623118.18999999994</v>
      </c>
      <c r="S115" s="101">
        <v>376046.12899999996</v>
      </c>
      <c r="T115" s="133">
        <v>1.02</v>
      </c>
      <c r="U115" s="101">
        <f t="shared" si="11"/>
        <v>209.1</v>
      </c>
      <c r="V115" s="101">
        <f t="shared" si="12"/>
        <v>1321.92</v>
      </c>
      <c r="W115" s="101">
        <f t="shared" si="13"/>
        <v>40445.040000000001</v>
      </c>
      <c r="X115" s="101">
        <f t="shared" si="14"/>
        <v>635580.55379999999</v>
      </c>
      <c r="Y115" s="101">
        <f t="shared" si="15"/>
        <v>383567.05157999997</v>
      </c>
      <c r="AA115" s="101">
        <v>346</v>
      </c>
      <c r="AB115" s="101">
        <v>3346</v>
      </c>
      <c r="AC115" s="101">
        <v>73797</v>
      </c>
      <c r="AD115" s="101">
        <v>1132203</v>
      </c>
      <c r="AE115" s="101">
        <v>499768</v>
      </c>
      <c r="AF115" s="225"/>
      <c r="AG115" s="148"/>
      <c r="AH115" s="101">
        <v>30093</v>
      </c>
      <c r="AI115" s="101">
        <f t="shared" si="17"/>
        <v>24074.400000000001</v>
      </c>
      <c r="AJ115" s="101">
        <f t="shared" si="18"/>
        <v>36111.599999999999</v>
      </c>
    </row>
    <row r="116" spans="1:36" hidden="1" x14ac:dyDescent="0.3">
      <c r="A116" s="126" t="s">
        <v>173</v>
      </c>
      <c r="B116" s="126">
        <v>8</v>
      </c>
      <c r="C116" s="126">
        <v>27</v>
      </c>
      <c r="D116" s="126" t="str">
        <f t="shared" si="16"/>
        <v>827</v>
      </c>
      <c r="E116" s="101">
        <v>24</v>
      </c>
      <c r="F116" s="101">
        <v>441.5</v>
      </c>
      <c r="G116" s="101">
        <v>3132</v>
      </c>
      <c r="H116" s="101">
        <v>50672.14</v>
      </c>
      <c r="I116" s="101">
        <v>19226.455999999998</v>
      </c>
      <c r="J116" s="101">
        <v>22</v>
      </c>
      <c r="K116" s="101">
        <v>619</v>
      </c>
      <c r="L116" s="101">
        <v>1780</v>
      </c>
      <c r="M116" s="101">
        <v>22802.07</v>
      </c>
      <c r="N116" s="101">
        <v>9810.4069999999992</v>
      </c>
      <c r="O116" s="101">
        <v>6</v>
      </c>
      <c r="P116" s="101">
        <v>8</v>
      </c>
      <c r="Q116" s="101">
        <v>404</v>
      </c>
      <c r="R116" s="101">
        <v>7597.14</v>
      </c>
      <c r="S116" s="101">
        <v>3420.7929999999997</v>
      </c>
      <c r="T116" s="133">
        <v>1.02</v>
      </c>
      <c r="U116" s="101">
        <f t="shared" si="11"/>
        <v>6.12</v>
      </c>
      <c r="V116" s="101">
        <f t="shared" si="12"/>
        <v>8.16</v>
      </c>
      <c r="W116" s="101">
        <f t="shared" si="13"/>
        <v>412.08</v>
      </c>
      <c r="X116" s="101">
        <f t="shared" si="14"/>
        <v>7749.0828000000001</v>
      </c>
      <c r="Y116" s="101">
        <f t="shared" si="15"/>
        <v>3489.2088599999997</v>
      </c>
      <c r="AA116" s="101">
        <v>4</v>
      </c>
      <c r="AB116" s="101">
        <v>100</v>
      </c>
      <c r="AC116" s="101">
        <v>941</v>
      </c>
      <c r="AD116" s="101">
        <v>6750</v>
      </c>
      <c r="AE116" s="101">
        <v>3381</v>
      </c>
      <c r="AF116" s="225"/>
      <c r="AG116" s="148"/>
      <c r="AH116" s="101">
        <v>30094</v>
      </c>
      <c r="AI116" s="101">
        <f t="shared" si="17"/>
        <v>24075.200000000001</v>
      </c>
      <c r="AJ116" s="101">
        <f t="shared" si="18"/>
        <v>36112.800000000003</v>
      </c>
    </row>
    <row r="117" spans="1:36" hidden="1" x14ac:dyDescent="0.3">
      <c r="A117" s="126" t="s">
        <v>173</v>
      </c>
      <c r="B117" s="126">
        <v>8</v>
      </c>
      <c r="C117" s="126">
        <v>26</v>
      </c>
      <c r="D117" s="126" t="str">
        <f t="shared" si="16"/>
        <v>826</v>
      </c>
      <c r="E117" s="101">
        <v>95</v>
      </c>
      <c r="F117" s="101">
        <v>1828</v>
      </c>
      <c r="G117" s="101">
        <v>20758</v>
      </c>
      <c r="H117" s="101">
        <v>462142.71999999997</v>
      </c>
      <c r="I117" s="101">
        <v>277936</v>
      </c>
      <c r="J117" s="101">
        <v>88</v>
      </c>
      <c r="K117" s="101">
        <v>2666</v>
      </c>
      <c r="L117" s="101">
        <v>33669</v>
      </c>
      <c r="M117" s="101">
        <v>338591.17</v>
      </c>
      <c r="N117" s="101">
        <v>148455.943</v>
      </c>
      <c r="O117" s="101">
        <v>23</v>
      </c>
      <c r="P117" s="101">
        <v>986</v>
      </c>
      <c r="Q117" s="101">
        <v>9903</v>
      </c>
      <c r="R117" s="101">
        <v>120441.17000000001</v>
      </c>
      <c r="S117" s="101">
        <v>57681.416999999994</v>
      </c>
      <c r="T117" s="133">
        <v>1.02</v>
      </c>
      <c r="U117" s="101">
        <f t="shared" si="11"/>
        <v>23.46</v>
      </c>
      <c r="V117" s="101">
        <f t="shared" si="12"/>
        <v>1005.72</v>
      </c>
      <c r="W117" s="101">
        <f t="shared" si="13"/>
        <v>10101.06</v>
      </c>
      <c r="X117" s="101">
        <f t="shared" si="14"/>
        <v>122849.99340000002</v>
      </c>
      <c r="Y117" s="101">
        <f t="shared" si="15"/>
        <v>58835.045339999997</v>
      </c>
      <c r="AA117" s="101">
        <v>16</v>
      </c>
      <c r="AB117" s="101">
        <v>404</v>
      </c>
      <c r="AC117" s="101">
        <v>17186</v>
      </c>
      <c r="AD117" s="101">
        <v>78584</v>
      </c>
      <c r="AE117" s="101">
        <v>72170</v>
      </c>
      <c r="AF117" s="225"/>
      <c r="AG117" s="148"/>
      <c r="AH117" s="101">
        <v>30095</v>
      </c>
      <c r="AI117" s="101">
        <f t="shared" si="17"/>
        <v>24076</v>
      </c>
      <c r="AJ117" s="101">
        <f t="shared" si="18"/>
        <v>36114</v>
      </c>
    </row>
    <row r="118" spans="1:36" hidden="1" x14ac:dyDescent="0.3">
      <c r="A118" s="126" t="s">
        <v>173</v>
      </c>
      <c r="B118" s="126">
        <v>8</v>
      </c>
      <c r="C118" s="126">
        <v>32</v>
      </c>
      <c r="D118" s="126" t="str">
        <f t="shared" si="16"/>
        <v>832</v>
      </c>
      <c r="E118" s="101">
        <v>586</v>
      </c>
      <c r="F118" s="101">
        <v>2224</v>
      </c>
      <c r="G118" s="101">
        <v>50462</v>
      </c>
      <c r="H118" s="101">
        <v>725674.09000000008</v>
      </c>
      <c r="I118" s="101">
        <v>356769.62300000002</v>
      </c>
      <c r="J118" s="101">
        <v>339</v>
      </c>
      <c r="K118" s="101">
        <v>1070</v>
      </c>
      <c r="L118" s="101">
        <v>33536</v>
      </c>
      <c r="M118" s="101">
        <v>111037.66</v>
      </c>
      <c r="N118" s="101">
        <v>128662.69500000001</v>
      </c>
      <c r="O118" s="101">
        <v>231</v>
      </c>
      <c r="P118" s="101">
        <v>886</v>
      </c>
      <c r="Q118" s="101">
        <v>26725</v>
      </c>
      <c r="R118" s="101">
        <v>77236.040000000008</v>
      </c>
      <c r="S118" s="101">
        <v>118059.857</v>
      </c>
      <c r="T118" s="133">
        <v>1.02</v>
      </c>
      <c r="U118" s="101">
        <f t="shared" si="11"/>
        <v>235.62</v>
      </c>
      <c r="V118" s="101">
        <f t="shared" si="12"/>
        <v>903.72</v>
      </c>
      <c r="W118" s="101">
        <f t="shared" si="13"/>
        <v>27259.5</v>
      </c>
      <c r="X118" s="101">
        <f t="shared" si="14"/>
        <v>78780.760800000004</v>
      </c>
      <c r="Y118" s="101">
        <f t="shared" si="15"/>
        <v>120421.05414000001</v>
      </c>
      <c r="AA118" s="101">
        <v>395</v>
      </c>
      <c r="AB118" s="101">
        <v>1432</v>
      </c>
      <c r="AC118" s="101">
        <v>44268</v>
      </c>
      <c r="AD118" s="101">
        <v>116654</v>
      </c>
      <c r="AE118" s="101">
        <v>138843</v>
      </c>
      <c r="AF118" s="225"/>
      <c r="AG118" s="148"/>
      <c r="AH118" s="101">
        <v>30096</v>
      </c>
      <c r="AI118" s="101">
        <f t="shared" si="17"/>
        <v>24076.799999999999</v>
      </c>
      <c r="AJ118" s="101">
        <f t="shared" si="18"/>
        <v>36115.199999999997</v>
      </c>
    </row>
    <row r="119" spans="1:36" hidden="1" x14ac:dyDescent="0.3">
      <c r="A119" s="126" t="s">
        <v>173</v>
      </c>
      <c r="B119" s="126">
        <v>8</v>
      </c>
      <c r="C119" s="126">
        <v>21</v>
      </c>
      <c r="D119" s="126" t="str">
        <f t="shared" si="16"/>
        <v>821</v>
      </c>
      <c r="E119" s="101">
        <v>1833</v>
      </c>
      <c r="F119" s="101">
        <v>5927.5</v>
      </c>
      <c r="G119" s="101">
        <v>44590</v>
      </c>
      <c r="H119" s="101">
        <v>525956.38500000001</v>
      </c>
      <c r="I119" s="101">
        <v>161812.1525</v>
      </c>
      <c r="J119" s="101">
        <v>553</v>
      </c>
      <c r="K119" s="101">
        <v>3568</v>
      </c>
      <c r="L119" s="101">
        <v>25861</v>
      </c>
      <c r="M119" s="101">
        <v>420451.08</v>
      </c>
      <c r="N119" s="101">
        <v>178363.26800000001</v>
      </c>
      <c r="O119" s="138"/>
      <c r="P119" s="138"/>
      <c r="Q119" s="138"/>
      <c r="R119" s="138"/>
      <c r="S119" s="138"/>
      <c r="T119" s="133">
        <v>1.02</v>
      </c>
      <c r="U119" s="101">
        <f>O119*T119</f>
        <v>0</v>
      </c>
      <c r="V119" s="101">
        <f>P119*T119</f>
        <v>0</v>
      </c>
      <c r="W119" s="101">
        <f>Q119*T119</f>
        <v>0</v>
      </c>
      <c r="X119" s="101">
        <f t="shared" si="14"/>
        <v>0</v>
      </c>
      <c r="Y119" s="101">
        <f>S119*T119</f>
        <v>0</v>
      </c>
      <c r="AA119" s="101">
        <v>137</v>
      </c>
      <c r="AB119" s="101">
        <v>362</v>
      </c>
      <c r="AC119" s="101">
        <v>1981</v>
      </c>
      <c r="AD119" s="101">
        <v>39514</v>
      </c>
      <c r="AE119" s="101">
        <v>16022</v>
      </c>
      <c r="AF119" s="225"/>
      <c r="AG119" s="148"/>
      <c r="AH119" s="101">
        <v>30097</v>
      </c>
      <c r="AI119" s="101">
        <f t="shared" si="17"/>
        <v>24077.600000000002</v>
      </c>
      <c r="AJ119" s="101">
        <f t="shared" si="18"/>
        <v>36116.400000000001</v>
      </c>
    </row>
    <row r="120" spans="1:36" hidden="1" x14ac:dyDescent="0.3">
      <c r="A120" s="126" t="s">
        <v>173</v>
      </c>
      <c r="B120" s="126">
        <v>8</v>
      </c>
      <c r="C120" s="126">
        <v>71</v>
      </c>
      <c r="D120" s="126" t="str">
        <f t="shared" si="16"/>
        <v>871</v>
      </c>
      <c r="E120" s="101">
        <v>850.5</v>
      </c>
      <c r="F120" s="101">
        <v>5279</v>
      </c>
      <c r="G120" s="101">
        <v>19176.5</v>
      </c>
      <c r="H120" s="101">
        <v>128105.91</v>
      </c>
      <c r="I120" s="101">
        <v>85812.986000000004</v>
      </c>
      <c r="J120" s="101">
        <v>521</v>
      </c>
      <c r="K120" s="101">
        <v>6587</v>
      </c>
      <c r="L120" s="101">
        <v>13060</v>
      </c>
      <c r="M120" s="101">
        <v>109842.54000000001</v>
      </c>
      <c r="N120" s="101">
        <v>49499.197</v>
      </c>
      <c r="O120" s="101">
        <v>465</v>
      </c>
      <c r="P120" s="101">
        <v>7573</v>
      </c>
      <c r="Q120" s="101">
        <v>18634</v>
      </c>
      <c r="R120" s="101">
        <v>147898.26999999999</v>
      </c>
      <c r="S120" s="101">
        <v>59123.171999999999</v>
      </c>
      <c r="T120" s="133">
        <v>0.98</v>
      </c>
      <c r="U120" s="101">
        <f>O120*T120+82</f>
        <v>537.70000000000005</v>
      </c>
      <c r="V120" s="101">
        <f>P120*T120+1187</f>
        <v>8608.5400000000009</v>
      </c>
      <c r="W120" s="101">
        <f>Q120*T120+17750</f>
        <v>36011.32</v>
      </c>
      <c r="X120" s="101">
        <f t="shared" si="14"/>
        <v>144940.30459999997</v>
      </c>
      <c r="Y120" s="101">
        <f>S120*T120+80320</f>
        <v>138260.70856</v>
      </c>
      <c r="AA120" s="101">
        <v>184</v>
      </c>
      <c r="AB120" s="101">
        <v>7844</v>
      </c>
      <c r="AC120" s="101">
        <v>21289</v>
      </c>
      <c r="AD120" s="101">
        <v>161430</v>
      </c>
      <c r="AE120" s="101">
        <v>99270</v>
      </c>
      <c r="AF120" s="225"/>
      <c r="AG120" s="148"/>
      <c r="AH120" s="101">
        <v>30098</v>
      </c>
      <c r="AI120" s="101">
        <f t="shared" si="17"/>
        <v>24078.400000000001</v>
      </c>
      <c r="AJ120" s="101">
        <f t="shared" si="18"/>
        <v>36117.600000000006</v>
      </c>
    </row>
    <row r="121" spans="1:36" hidden="1" x14ac:dyDescent="0.3">
      <c r="A121" s="126" t="s">
        <v>173</v>
      </c>
      <c r="B121" s="126">
        <v>8</v>
      </c>
      <c r="C121" s="126">
        <v>12</v>
      </c>
      <c r="D121" s="126" t="str">
        <f t="shared" si="16"/>
        <v>812</v>
      </c>
      <c r="J121" s="101">
        <v>3</v>
      </c>
      <c r="K121" s="101">
        <v>3</v>
      </c>
      <c r="L121" s="101">
        <v>3</v>
      </c>
      <c r="M121" s="101">
        <v>22.97</v>
      </c>
      <c r="N121" s="101">
        <v>9.5410000000000004</v>
      </c>
      <c r="O121" s="101">
        <v>1</v>
      </c>
      <c r="P121" s="101">
        <v>1</v>
      </c>
      <c r="Q121" s="101">
        <v>1</v>
      </c>
      <c r="R121" s="101">
        <v>13.2</v>
      </c>
      <c r="S121" s="101">
        <v>2.8079999999999998</v>
      </c>
      <c r="T121" s="133">
        <v>1.02</v>
      </c>
      <c r="U121" s="101">
        <f t="shared" si="11"/>
        <v>1.02</v>
      </c>
      <c r="V121" s="101">
        <f t="shared" si="12"/>
        <v>1.02</v>
      </c>
      <c r="W121" s="101">
        <f t="shared" si="13"/>
        <v>1.02</v>
      </c>
      <c r="X121" s="101">
        <f t="shared" si="14"/>
        <v>13.463999999999999</v>
      </c>
      <c r="Y121" s="101">
        <f t="shared" si="15"/>
        <v>2.86416</v>
      </c>
      <c r="AA121" s="101">
        <v>1</v>
      </c>
      <c r="AB121" s="101">
        <v>2</v>
      </c>
      <c r="AC121" s="101">
        <v>2</v>
      </c>
      <c r="AD121" s="101">
        <v>341</v>
      </c>
      <c r="AE121" s="101">
        <v>52</v>
      </c>
      <c r="AF121" s="225"/>
      <c r="AG121" s="148"/>
      <c r="AH121" s="101">
        <v>30099</v>
      </c>
      <c r="AI121" s="101">
        <f t="shared" si="17"/>
        <v>24079.200000000001</v>
      </c>
      <c r="AJ121" s="101">
        <f t="shared" si="18"/>
        <v>36118.800000000003</v>
      </c>
    </row>
    <row r="122" spans="1:36" hidden="1" x14ac:dyDescent="0.3">
      <c r="A122" s="126" t="s">
        <v>173</v>
      </c>
      <c r="B122" s="126">
        <v>8</v>
      </c>
      <c r="C122" s="126">
        <v>28</v>
      </c>
      <c r="D122" s="126" t="str">
        <f t="shared" si="16"/>
        <v>828</v>
      </c>
      <c r="J122" s="101">
        <v>42</v>
      </c>
      <c r="K122" s="101">
        <v>88</v>
      </c>
      <c r="L122" s="101">
        <v>915</v>
      </c>
      <c r="M122" s="101">
        <v>29873.31</v>
      </c>
      <c r="N122" s="101">
        <v>8330.0169999999998</v>
      </c>
      <c r="O122" s="101">
        <v>136</v>
      </c>
      <c r="P122" s="101">
        <v>1176</v>
      </c>
      <c r="Q122" s="101">
        <v>7746</v>
      </c>
      <c r="R122" s="101">
        <v>156122.38</v>
      </c>
      <c r="S122" s="101">
        <v>41335.466</v>
      </c>
      <c r="T122" s="133">
        <v>1.02</v>
      </c>
      <c r="U122" s="101">
        <f t="shared" si="11"/>
        <v>138.72</v>
      </c>
      <c r="V122" s="101">
        <f t="shared" si="12"/>
        <v>1199.52</v>
      </c>
      <c r="W122" s="101">
        <f t="shared" si="13"/>
        <v>7900.92</v>
      </c>
      <c r="X122" s="101">
        <f t="shared" si="14"/>
        <v>159244.82760000002</v>
      </c>
      <c r="Y122" s="101">
        <f t="shared" si="15"/>
        <v>42162.175320000002</v>
      </c>
      <c r="AA122" s="101">
        <v>134</v>
      </c>
      <c r="AB122" s="101">
        <v>697</v>
      </c>
      <c r="AC122" s="101">
        <v>12757</v>
      </c>
      <c r="AD122" s="101">
        <v>179634</v>
      </c>
      <c r="AE122" s="101">
        <v>56293</v>
      </c>
      <c r="AF122" s="225"/>
      <c r="AG122" s="148"/>
      <c r="AH122" s="101">
        <v>30100</v>
      </c>
      <c r="AI122" s="101">
        <f t="shared" si="17"/>
        <v>24080</v>
      </c>
      <c r="AJ122" s="101">
        <f t="shared" si="18"/>
        <v>36120</v>
      </c>
    </row>
    <row r="123" spans="1:36" hidden="1" x14ac:dyDescent="0.3">
      <c r="A123" s="126" t="s">
        <v>173</v>
      </c>
      <c r="B123" s="126">
        <v>8</v>
      </c>
      <c r="C123" s="126">
        <v>46</v>
      </c>
      <c r="D123" s="126" t="str">
        <f t="shared" si="16"/>
        <v>846</v>
      </c>
      <c r="J123" s="101">
        <v>17</v>
      </c>
      <c r="K123" s="101">
        <v>22</v>
      </c>
      <c r="L123" s="101">
        <v>325</v>
      </c>
      <c r="M123" s="101">
        <v>13894.78</v>
      </c>
      <c r="N123" s="101">
        <v>4811.4470000000001</v>
      </c>
      <c r="O123" s="101">
        <v>12</v>
      </c>
      <c r="P123" s="101">
        <v>16</v>
      </c>
      <c r="Q123" s="101">
        <v>316</v>
      </c>
      <c r="R123" s="101">
        <v>5045.47</v>
      </c>
      <c r="S123" s="101">
        <v>2066.38</v>
      </c>
      <c r="T123" s="133">
        <v>1.02</v>
      </c>
      <c r="U123" s="101">
        <f t="shared" si="11"/>
        <v>12.24</v>
      </c>
      <c r="V123" s="101">
        <f t="shared" si="12"/>
        <v>16.32</v>
      </c>
      <c r="W123" s="101">
        <f t="shared" si="13"/>
        <v>322.32</v>
      </c>
      <c r="X123" s="101">
        <f t="shared" si="14"/>
        <v>5146.3794000000007</v>
      </c>
      <c r="Y123" s="101">
        <f t="shared" si="15"/>
        <v>2107.7076000000002</v>
      </c>
      <c r="AA123" s="101">
        <v>18</v>
      </c>
      <c r="AB123" s="101">
        <v>22</v>
      </c>
      <c r="AC123" s="101">
        <v>1988</v>
      </c>
      <c r="AD123" s="101">
        <v>8011</v>
      </c>
      <c r="AE123" s="101">
        <v>954</v>
      </c>
      <c r="AF123" s="225"/>
      <c r="AG123" s="148"/>
      <c r="AH123" s="101">
        <v>30101</v>
      </c>
      <c r="AI123" s="101">
        <f t="shared" si="17"/>
        <v>24080.799999999999</v>
      </c>
      <c r="AJ123" s="101">
        <f t="shared" si="18"/>
        <v>36121.199999999997</v>
      </c>
    </row>
    <row r="124" spans="1:36" hidden="1" x14ac:dyDescent="0.3">
      <c r="A124" s="126" t="s">
        <v>173</v>
      </c>
      <c r="B124" s="126">
        <v>8</v>
      </c>
      <c r="C124" s="126">
        <v>66</v>
      </c>
      <c r="D124" s="126" t="str">
        <f t="shared" si="16"/>
        <v>866</v>
      </c>
      <c r="J124" s="101">
        <v>4</v>
      </c>
      <c r="K124" s="101">
        <v>4</v>
      </c>
      <c r="L124" s="101">
        <v>5</v>
      </c>
      <c r="M124" s="101">
        <v>52.99</v>
      </c>
      <c r="N124" s="101">
        <v>102.06699999999999</v>
      </c>
      <c r="O124" s="101">
        <v>14</v>
      </c>
      <c r="P124" s="101">
        <v>15</v>
      </c>
      <c r="Q124" s="101">
        <v>230</v>
      </c>
      <c r="R124" s="101">
        <v>4960.5599999999995</v>
      </c>
      <c r="S124" s="101">
        <v>2134.2689999999998</v>
      </c>
      <c r="T124" s="133">
        <v>1.02</v>
      </c>
      <c r="U124" s="101">
        <f t="shared" si="11"/>
        <v>14.280000000000001</v>
      </c>
      <c r="V124" s="101">
        <f t="shared" si="12"/>
        <v>15.3</v>
      </c>
      <c r="W124" s="101">
        <f t="shared" si="13"/>
        <v>234.6</v>
      </c>
      <c r="X124" s="101">
        <f t="shared" si="14"/>
        <v>5059.7711999999992</v>
      </c>
      <c r="Y124" s="101">
        <f t="shared" si="15"/>
        <v>2176.9543799999997</v>
      </c>
      <c r="AA124" s="101">
        <v>9</v>
      </c>
      <c r="AB124" s="101">
        <v>16</v>
      </c>
      <c r="AC124" s="101">
        <v>376</v>
      </c>
      <c r="AD124" s="101">
        <v>3361</v>
      </c>
      <c r="AE124" s="101">
        <v>1508</v>
      </c>
      <c r="AF124" s="225"/>
      <c r="AG124" s="148"/>
      <c r="AH124" s="101">
        <v>30102</v>
      </c>
      <c r="AI124" s="101">
        <f t="shared" si="17"/>
        <v>24081.599999999999</v>
      </c>
      <c r="AJ124" s="101">
        <f t="shared" si="18"/>
        <v>36122.399999999994</v>
      </c>
    </row>
    <row r="125" spans="1:36" x14ac:dyDescent="0.3">
      <c r="A125" s="126" t="s">
        <v>173</v>
      </c>
      <c r="B125" s="126">
        <v>8</v>
      </c>
      <c r="C125" s="126">
        <v>91</v>
      </c>
      <c r="D125" s="126" t="str">
        <f t="shared" si="16"/>
        <v>891</v>
      </c>
      <c r="J125" s="101">
        <v>6</v>
      </c>
      <c r="K125" s="101">
        <v>11</v>
      </c>
      <c r="L125" s="101">
        <v>22</v>
      </c>
      <c r="M125" s="101">
        <v>69.460000000000008</v>
      </c>
      <c r="N125" s="101">
        <v>33.646000000000001</v>
      </c>
      <c r="O125" s="101">
        <v>7</v>
      </c>
      <c r="P125" s="101">
        <v>14</v>
      </c>
      <c r="Q125" s="101">
        <v>47</v>
      </c>
      <c r="R125" s="101">
        <v>234.94</v>
      </c>
      <c r="S125" s="101">
        <v>286.54399999999998</v>
      </c>
      <c r="T125" s="133">
        <v>1.02</v>
      </c>
      <c r="U125" s="101">
        <f t="shared" si="11"/>
        <v>7.1400000000000006</v>
      </c>
      <c r="V125" s="101">
        <f t="shared" si="12"/>
        <v>14.280000000000001</v>
      </c>
      <c r="W125" s="101">
        <f t="shared" si="13"/>
        <v>47.94</v>
      </c>
      <c r="X125" s="101">
        <f t="shared" si="14"/>
        <v>239.6388</v>
      </c>
      <c r="Y125" s="101">
        <f t="shared" si="15"/>
        <v>292.27488</v>
      </c>
      <c r="AA125" s="101">
        <v>6</v>
      </c>
      <c r="AB125" s="101">
        <v>9</v>
      </c>
      <c r="AC125" s="101">
        <v>10</v>
      </c>
      <c r="AD125" s="101">
        <v>209</v>
      </c>
      <c r="AE125" s="101">
        <v>115</v>
      </c>
      <c r="AF125" s="225"/>
      <c r="AG125" s="148"/>
      <c r="AH125" s="101">
        <v>30000</v>
      </c>
      <c r="AI125" s="101">
        <f>(AH125/100)*80</f>
        <v>24000</v>
      </c>
      <c r="AJ125" s="101">
        <f>(AH125/100)*120</f>
        <v>36000</v>
      </c>
    </row>
    <row r="126" spans="1:36" hidden="1" x14ac:dyDescent="0.3">
      <c r="A126" s="126" t="s">
        <v>173</v>
      </c>
      <c r="B126" s="126">
        <v>8</v>
      </c>
      <c r="C126" s="126">
        <v>30</v>
      </c>
      <c r="D126" s="126" t="str">
        <f t="shared" si="16"/>
        <v>830</v>
      </c>
      <c r="E126" s="101">
        <v>458.5</v>
      </c>
      <c r="F126" s="101">
        <v>3433.5</v>
      </c>
      <c r="G126" s="101">
        <v>14528.5</v>
      </c>
      <c r="H126" s="101">
        <v>384878.87999999995</v>
      </c>
      <c r="I126" s="101">
        <v>115368.538</v>
      </c>
      <c r="J126" s="101">
        <v>234</v>
      </c>
      <c r="K126" s="101">
        <v>3939</v>
      </c>
      <c r="L126" s="101">
        <v>17599</v>
      </c>
      <c r="M126" s="101">
        <v>336269.24</v>
      </c>
      <c r="N126" s="101">
        <v>105057.189</v>
      </c>
      <c r="O126" s="138">
        <v>586</v>
      </c>
      <c r="P126" s="138">
        <v>9224</v>
      </c>
      <c r="Q126" s="138">
        <v>39707</v>
      </c>
      <c r="R126" s="138">
        <v>1020995.9199999999</v>
      </c>
      <c r="S126" s="138">
        <v>325844.26799999998</v>
      </c>
      <c r="T126" s="133">
        <v>1.02</v>
      </c>
      <c r="U126" s="101">
        <f>O126*T126+20</f>
        <v>617.72</v>
      </c>
      <c r="V126" s="101">
        <f>P126*T126+146</f>
        <v>9554.48</v>
      </c>
      <c r="W126" s="101">
        <f>Q126*T126+790</f>
        <v>41291.14</v>
      </c>
      <c r="X126" s="101">
        <f t="shared" si="14"/>
        <v>1041415.8383999999</v>
      </c>
      <c r="Y126" s="101">
        <f>S126*T126+6903</f>
        <v>339264.15336</v>
      </c>
      <c r="AA126" s="101">
        <v>760</v>
      </c>
      <c r="AB126" s="101">
        <v>11328</v>
      </c>
      <c r="AC126" s="101">
        <v>40789</v>
      </c>
      <c r="AD126" s="101">
        <v>784785</v>
      </c>
      <c r="AE126" s="101">
        <v>298193</v>
      </c>
      <c r="AF126" s="225"/>
      <c r="AG126" s="148"/>
      <c r="AH126" s="101">
        <v>30000</v>
      </c>
      <c r="AI126" s="101">
        <f>(AH126/100)*80</f>
        <v>24000</v>
      </c>
      <c r="AJ126" s="101">
        <f>(AH126/100)*120</f>
        <v>36000</v>
      </c>
    </row>
    <row r="127" spans="1:36" hidden="1" x14ac:dyDescent="0.3">
      <c r="A127" s="126" t="s">
        <v>173</v>
      </c>
      <c r="B127" s="126">
        <v>8</v>
      </c>
      <c r="C127" s="126">
        <v>34</v>
      </c>
      <c r="D127" s="126" t="str">
        <f t="shared" si="16"/>
        <v>834</v>
      </c>
      <c r="O127" s="101">
        <v>1</v>
      </c>
      <c r="P127" s="101">
        <v>1</v>
      </c>
      <c r="Q127" s="101">
        <v>4</v>
      </c>
      <c r="R127" s="101">
        <v>34.479999999999997</v>
      </c>
      <c r="S127" s="101">
        <v>2.355</v>
      </c>
      <c r="T127" s="133">
        <v>1.02</v>
      </c>
      <c r="U127" s="101">
        <f t="shared" si="11"/>
        <v>1.02</v>
      </c>
      <c r="V127" s="101">
        <f t="shared" si="12"/>
        <v>1.02</v>
      </c>
      <c r="W127" s="101">
        <f t="shared" si="13"/>
        <v>4.08</v>
      </c>
      <c r="X127" s="101">
        <f t="shared" si="14"/>
        <v>35.169599999999996</v>
      </c>
      <c r="Y127" s="101">
        <f t="shared" si="15"/>
        <v>2.4020999999999999</v>
      </c>
      <c r="AA127" s="101">
        <v>0</v>
      </c>
      <c r="AB127" s="101">
        <v>0</v>
      </c>
      <c r="AC127" s="101">
        <v>0</v>
      </c>
      <c r="AD127" s="101">
        <v>0</v>
      </c>
      <c r="AE127" s="101">
        <v>0</v>
      </c>
      <c r="AF127" s="225"/>
      <c r="AG127" s="148"/>
      <c r="AH127" s="101"/>
      <c r="AI127" s="101"/>
      <c r="AJ127" s="101"/>
    </row>
    <row r="128" spans="1:36" hidden="1" x14ac:dyDescent="0.3">
      <c r="A128" s="126" t="s">
        <v>173</v>
      </c>
      <c r="B128" s="126">
        <v>8</v>
      </c>
      <c r="C128" s="126">
        <v>41</v>
      </c>
      <c r="D128" s="126" t="str">
        <f t="shared" si="16"/>
        <v>841</v>
      </c>
      <c r="O128" s="101">
        <v>9</v>
      </c>
      <c r="P128" s="101">
        <v>25</v>
      </c>
      <c r="Q128" s="101">
        <v>144</v>
      </c>
      <c r="R128" s="101">
        <v>840.85</v>
      </c>
      <c r="S128" s="101">
        <v>178.35599999999999</v>
      </c>
      <c r="T128" s="133">
        <v>1.02</v>
      </c>
      <c r="U128" s="101">
        <f t="shared" si="11"/>
        <v>9.18</v>
      </c>
      <c r="V128" s="101">
        <f t="shared" si="12"/>
        <v>25.5</v>
      </c>
      <c r="W128" s="101">
        <f t="shared" si="13"/>
        <v>146.88</v>
      </c>
      <c r="X128" s="101">
        <f t="shared" si="14"/>
        <v>857.66700000000003</v>
      </c>
      <c r="Y128" s="101">
        <f t="shared" si="15"/>
        <v>181.92312000000001</v>
      </c>
      <c r="AA128" s="101">
        <v>1</v>
      </c>
      <c r="AB128" s="101">
        <v>2</v>
      </c>
      <c r="AC128" s="101">
        <v>2</v>
      </c>
      <c r="AD128" s="101">
        <v>67</v>
      </c>
      <c r="AE128" s="101">
        <v>15</v>
      </c>
      <c r="AF128" s="225"/>
      <c r="AG128" s="148"/>
      <c r="AH128" s="101"/>
      <c r="AI128" s="101"/>
      <c r="AJ128" s="101"/>
    </row>
    <row r="129" spans="1:36" hidden="1" x14ac:dyDescent="0.3">
      <c r="A129" s="126" t="s">
        <v>173</v>
      </c>
      <c r="B129" s="126">
        <v>8</v>
      </c>
      <c r="C129" s="126">
        <v>1</v>
      </c>
      <c r="D129" s="126" t="str">
        <f t="shared" si="16"/>
        <v>81</v>
      </c>
      <c r="J129" s="101">
        <v>182</v>
      </c>
      <c r="K129" s="101">
        <v>182</v>
      </c>
      <c r="L129" s="101">
        <v>61885</v>
      </c>
      <c r="N129" s="101">
        <v>433881</v>
      </c>
      <c r="O129" s="101">
        <v>164</v>
      </c>
      <c r="P129" s="101">
        <v>200</v>
      </c>
      <c r="Q129" s="101">
        <v>104006</v>
      </c>
      <c r="S129" s="101">
        <v>452978</v>
      </c>
      <c r="T129" s="133">
        <v>1.02</v>
      </c>
      <c r="U129" s="101">
        <f t="shared" si="11"/>
        <v>167.28</v>
      </c>
      <c r="V129" s="101">
        <f t="shared" si="12"/>
        <v>204</v>
      </c>
      <c r="W129" s="101">
        <f t="shared" si="13"/>
        <v>106086.12</v>
      </c>
      <c r="X129" s="101">
        <f t="shared" si="14"/>
        <v>0</v>
      </c>
      <c r="Y129" s="101">
        <f t="shared" si="15"/>
        <v>462037.56</v>
      </c>
      <c r="AA129" s="101">
        <v>124</v>
      </c>
      <c r="AB129" s="101">
        <v>124</v>
      </c>
      <c r="AC129" s="101">
        <v>36572</v>
      </c>
      <c r="AE129" s="101">
        <v>145023.65900000001</v>
      </c>
      <c r="AF129" s="225"/>
      <c r="AG129" s="148"/>
      <c r="AH129" s="101"/>
      <c r="AI129" s="101"/>
      <c r="AJ129" s="101"/>
    </row>
    <row r="130" spans="1:36" hidden="1" x14ac:dyDescent="0.3">
      <c r="A130" s="126" t="s">
        <v>173</v>
      </c>
      <c r="B130" s="126">
        <v>8</v>
      </c>
      <c r="C130" s="126">
        <v>37</v>
      </c>
      <c r="D130" s="126" t="str">
        <f t="shared" si="16"/>
        <v>837</v>
      </c>
      <c r="E130" s="101">
        <v>8.5</v>
      </c>
      <c r="F130" s="101">
        <v>28</v>
      </c>
      <c r="G130" s="101">
        <v>3355.75</v>
      </c>
      <c r="H130" s="101">
        <v>37741.735000000001</v>
      </c>
      <c r="I130" s="101">
        <v>6497.8895000000002</v>
      </c>
      <c r="J130" s="101">
        <v>1</v>
      </c>
      <c r="K130" s="101">
        <v>3</v>
      </c>
      <c r="L130" s="101">
        <v>17800</v>
      </c>
      <c r="M130" s="101">
        <v>331837</v>
      </c>
      <c r="N130" s="101">
        <v>249.13499999999999</v>
      </c>
      <c r="O130" s="101">
        <v>3</v>
      </c>
      <c r="P130" s="101">
        <v>6</v>
      </c>
      <c r="Q130" s="101">
        <v>2411</v>
      </c>
      <c r="R130" s="101">
        <v>5031.47</v>
      </c>
      <c r="S130" s="101">
        <v>1274.8909999999998</v>
      </c>
      <c r="T130" s="133">
        <v>1.02</v>
      </c>
      <c r="U130" s="101">
        <f t="shared" si="11"/>
        <v>3.06</v>
      </c>
      <c r="V130" s="101">
        <f t="shared" si="12"/>
        <v>6.12</v>
      </c>
      <c r="W130" s="101">
        <f t="shared" si="13"/>
        <v>2459.2200000000003</v>
      </c>
      <c r="X130" s="101">
        <f t="shared" si="14"/>
        <v>5132.0994000000001</v>
      </c>
      <c r="Y130" s="101">
        <f t="shared" si="15"/>
        <v>1300.3888199999999</v>
      </c>
      <c r="AA130" s="101">
        <v>6</v>
      </c>
      <c r="AB130" s="101">
        <v>27</v>
      </c>
      <c r="AC130" s="101">
        <v>50229</v>
      </c>
      <c r="AD130" s="101">
        <v>46262</v>
      </c>
      <c r="AE130" s="101">
        <v>24471</v>
      </c>
      <c r="AF130" s="225">
        <f>SUM(AB130:AB145)</f>
        <v>25258</v>
      </c>
      <c r="AG130" s="148"/>
      <c r="AH130" s="101">
        <v>30000</v>
      </c>
      <c r="AI130" s="101">
        <f t="shared" ref="AI130:AI135" si="19">(AH130/100)*80</f>
        <v>24000</v>
      </c>
      <c r="AJ130" s="101">
        <f t="shared" ref="AJ130:AJ135" si="20">(AH130/100)*120</f>
        <v>36000</v>
      </c>
    </row>
    <row r="131" spans="1:36" hidden="1" x14ac:dyDescent="0.3">
      <c r="A131" s="126" t="s">
        <v>173</v>
      </c>
      <c r="B131" s="126">
        <v>9</v>
      </c>
      <c r="C131" s="126">
        <v>22</v>
      </c>
      <c r="D131" s="126" t="str">
        <f t="shared" si="16"/>
        <v>922</v>
      </c>
      <c r="E131" s="101">
        <v>1094</v>
      </c>
      <c r="F131" s="101">
        <v>6649</v>
      </c>
      <c r="G131" s="101">
        <v>61848</v>
      </c>
      <c r="H131" s="101">
        <v>410497.16000000003</v>
      </c>
      <c r="I131" s="101">
        <v>236554.467</v>
      </c>
      <c r="J131" s="101">
        <v>378</v>
      </c>
      <c r="K131" s="101">
        <v>3458</v>
      </c>
      <c r="L131" s="101">
        <v>31927</v>
      </c>
      <c r="M131" s="101">
        <v>158595.04999999999</v>
      </c>
      <c r="N131" s="101">
        <v>113446.274</v>
      </c>
      <c r="O131" s="101">
        <v>982</v>
      </c>
      <c r="P131" s="101">
        <v>4710</v>
      </c>
      <c r="Q131" s="101">
        <v>47620</v>
      </c>
      <c r="R131" s="101">
        <v>395306.86</v>
      </c>
      <c r="S131" s="101">
        <v>319328.95799999998</v>
      </c>
      <c r="T131" s="133">
        <v>1.02</v>
      </c>
      <c r="U131" s="101">
        <f t="shared" si="11"/>
        <v>1001.64</v>
      </c>
      <c r="V131" s="101">
        <f t="shared" si="12"/>
        <v>4804.2</v>
      </c>
      <c r="W131" s="101">
        <f t="shared" si="13"/>
        <v>48572.4</v>
      </c>
      <c r="X131" s="101">
        <f t="shared" si="14"/>
        <v>403212.99719999998</v>
      </c>
      <c r="Y131" s="101">
        <f t="shared" si="15"/>
        <v>325715.53716000001</v>
      </c>
      <c r="AA131" s="101">
        <v>483</v>
      </c>
      <c r="AB131" s="101">
        <v>3949</v>
      </c>
      <c r="AC131" s="101">
        <v>43124</v>
      </c>
      <c r="AD131" s="101">
        <v>146111</v>
      </c>
      <c r="AE131" s="101">
        <v>120722</v>
      </c>
      <c r="AF131" s="225"/>
      <c r="AG131" s="148"/>
      <c r="AH131" s="101">
        <v>30000</v>
      </c>
      <c r="AI131" s="101">
        <f t="shared" si="19"/>
        <v>24000</v>
      </c>
      <c r="AJ131" s="101">
        <f t="shared" si="20"/>
        <v>36000</v>
      </c>
    </row>
    <row r="132" spans="1:36" hidden="1" x14ac:dyDescent="0.3">
      <c r="A132" s="126" t="s">
        <v>173</v>
      </c>
      <c r="B132" s="126">
        <v>9</v>
      </c>
      <c r="C132" s="126">
        <v>25</v>
      </c>
      <c r="D132" s="126" t="str">
        <f t="shared" si="16"/>
        <v>925</v>
      </c>
      <c r="E132" s="101">
        <v>346</v>
      </c>
      <c r="F132" s="101">
        <v>2395</v>
      </c>
      <c r="G132" s="101">
        <v>76530</v>
      </c>
      <c r="H132" s="101">
        <v>609796.51</v>
      </c>
      <c r="I132" s="101">
        <v>320653.73800000001</v>
      </c>
      <c r="J132" s="101">
        <v>256</v>
      </c>
      <c r="K132" s="101">
        <v>2240</v>
      </c>
      <c r="L132" s="101">
        <v>34191</v>
      </c>
      <c r="M132" s="101">
        <v>557545.6399999999</v>
      </c>
      <c r="N132" s="101">
        <v>280145.89600000007</v>
      </c>
      <c r="O132" s="101">
        <v>164</v>
      </c>
      <c r="P132" s="101">
        <v>2663</v>
      </c>
      <c r="Q132" s="101">
        <v>68645</v>
      </c>
      <c r="R132" s="101">
        <v>885204.00000000012</v>
      </c>
      <c r="S132" s="101">
        <v>505321.70400000003</v>
      </c>
      <c r="T132" s="133">
        <v>1.02</v>
      </c>
      <c r="U132" s="101">
        <f t="shared" si="11"/>
        <v>167.28</v>
      </c>
      <c r="V132" s="101">
        <f t="shared" si="12"/>
        <v>2716.26</v>
      </c>
      <c r="W132" s="101">
        <f t="shared" si="13"/>
        <v>70017.899999999994</v>
      </c>
      <c r="X132" s="101">
        <f t="shared" si="14"/>
        <v>902908.08000000019</v>
      </c>
      <c r="Y132" s="101">
        <f t="shared" si="15"/>
        <v>515428.13808000006</v>
      </c>
      <c r="AA132" s="101">
        <v>290</v>
      </c>
      <c r="AB132" s="101">
        <v>3014</v>
      </c>
      <c r="AC132" s="101">
        <v>71809</v>
      </c>
      <c r="AD132" s="101">
        <v>645279</v>
      </c>
      <c r="AE132" s="101">
        <v>295157</v>
      </c>
      <c r="AF132" s="225"/>
      <c r="AG132" s="148"/>
      <c r="AH132" s="101">
        <v>30000</v>
      </c>
      <c r="AI132" s="101">
        <f t="shared" si="19"/>
        <v>24000</v>
      </c>
      <c r="AJ132" s="101">
        <f t="shared" si="20"/>
        <v>36000</v>
      </c>
    </row>
    <row r="133" spans="1:36" hidden="1" x14ac:dyDescent="0.3">
      <c r="A133" s="126" t="s">
        <v>173</v>
      </c>
      <c r="B133" s="126">
        <v>9</v>
      </c>
      <c r="C133" s="126">
        <v>27</v>
      </c>
      <c r="D133" s="126" t="str">
        <f t="shared" si="16"/>
        <v>927</v>
      </c>
      <c r="E133" s="101">
        <v>48</v>
      </c>
      <c r="F133" s="101">
        <v>626</v>
      </c>
      <c r="G133" s="101">
        <v>4840</v>
      </c>
      <c r="H133" s="101">
        <v>75821.03</v>
      </c>
      <c r="I133" s="101">
        <v>26661.338999999996</v>
      </c>
      <c r="J133" s="101">
        <v>15</v>
      </c>
      <c r="K133" s="101">
        <v>245</v>
      </c>
      <c r="L133" s="101">
        <v>536</v>
      </c>
      <c r="M133" s="101">
        <v>7081.2999999999993</v>
      </c>
      <c r="N133" s="101">
        <v>3008.444</v>
      </c>
      <c r="O133" s="101">
        <v>8</v>
      </c>
      <c r="P133" s="101">
        <v>64</v>
      </c>
      <c r="Q133" s="101">
        <v>745</v>
      </c>
      <c r="R133" s="101">
        <v>11683.76</v>
      </c>
      <c r="S133" s="101">
        <v>7227.74</v>
      </c>
      <c r="T133" s="133">
        <v>1.02</v>
      </c>
      <c r="U133" s="101">
        <f t="shared" si="11"/>
        <v>8.16</v>
      </c>
      <c r="V133" s="101">
        <f t="shared" si="12"/>
        <v>65.28</v>
      </c>
      <c r="W133" s="101">
        <f t="shared" si="13"/>
        <v>759.9</v>
      </c>
      <c r="X133" s="101">
        <f t="shared" si="14"/>
        <v>11917.4352</v>
      </c>
      <c r="Y133" s="101">
        <f t="shared" si="15"/>
        <v>7372.2947999999997</v>
      </c>
      <c r="AA133" s="101">
        <v>7</v>
      </c>
      <c r="AB133" s="101">
        <v>10</v>
      </c>
      <c r="AC133" s="101">
        <v>60</v>
      </c>
      <c r="AD133" s="101">
        <v>400</v>
      </c>
      <c r="AE133" s="101">
        <v>226</v>
      </c>
      <c r="AF133" s="225"/>
      <c r="AG133" s="148"/>
      <c r="AH133" s="101">
        <v>30000</v>
      </c>
      <c r="AI133" s="101">
        <f t="shared" si="19"/>
        <v>24000</v>
      </c>
      <c r="AJ133" s="101">
        <f t="shared" si="20"/>
        <v>36000</v>
      </c>
    </row>
    <row r="134" spans="1:36" hidden="1" x14ac:dyDescent="0.3">
      <c r="A134" s="126" t="s">
        <v>173</v>
      </c>
      <c r="B134" s="126">
        <v>9</v>
      </c>
      <c r="C134" s="126">
        <v>26</v>
      </c>
      <c r="D134" s="126" t="str">
        <f t="shared" si="16"/>
        <v>926</v>
      </c>
      <c r="E134" s="101">
        <v>110</v>
      </c>
      <c r="F134" s="101">
        <v>1521</v>
      </c>
      <c r="G134" s="101">
        <v>28428</v>
      </c>
      <c r="H134" s="101">
        <v>300737.09999999998</v>
      </c>
      <c r="I134" s="101">
        <v>142934.36199999996</v>
      </c>
      <c r="J134" s="101">
        <v>51</v>
      </c>
      <c r="K134" s="101">
        <v>1425</v>
      </c>
      <c r="L134" s="101">
        <v>9785</v>
      </c>
      <c r="M134" s="101">
        <v>159984.6</v>
      </c>
      <c r="N134" s="101">
        <v>52289.138000000006</v>
      </c>
      <c r="O134" s="101">
        <v>57</v>
      </c>
      <c r="P134" s="101">
        <v>1098</v>
      </c>
      <c r="Q134" s="101">
        <v>18453</v>
      </c>
      <c r="R134" s="101">
        <v>271302.58999999997</v>
      </c>
      <c r="S134" s="101">
        <v>116804.75499999999</v>
      </c>
      <c r="T134" s="133">
        <v>1.02</v>
      </c>
      <c r="U134" s="101">
        <f t="shared" ref="U134:U197" si="21">O134*T134</f>
        <v>58.14</v>
      </c>
      <c r="V134" s="101">
        <f t="shared" ref="V134:V197" si="22">P134*T134</f>
        <v>1119.96</v>
      </c>
      <c r="W134" s="101">
        <f t="shared" ref="W134:W197" si="23">Q134*T134</f>
        <v>18822.060000000001</v>
      </c>
      <c r="X134" s="101">
        <f t="shared" ref="X134:X197" si="24">R134*T134</f>
        <v>276728.64179999998</v>
      </c>
      <c r="Y134" s="101">
        <f t="shared" ref="Y134:Y197" si="25">S134*T134</f>
        <v>119140.8501</v>
      </c>
      <c r="AA134" s="101">
        <v>21</v>
      </c>
      <c r="AB134" s="101">
        <v>646</v>
      </c>
      <c r="AC134" s="101">
        <v>10307</v>
      </c>
      <c r="AD134" s="101">
        <v>166936</v>
      </c>
      <c r="AE134" s="101">
        <v>52962</v>
      </c>
      <c r="AF134" s="225"/>
      <c r="AG134" s="148"/>
      <c r="AH134" s="101">
        <v>30000</v>
      </c>
      <c r="AI134" s="101">
        <f t="shared" si="19"/>
        <v>24000</v>
      </c>
      <c r="AJ134" s="101">
        <f t="shared" si="20"/>
        <v>36000</v>
      </c>
    </row>
    <row r="135" spans="1:36" hidden="1" x14ac:dyDescent="0.3">
      <c r="A135" s="126" t="s">
        <v>173</v>
      </c>
      <c r="B135" s="126">
        <v>9</v>
      </c>
      <c r="C135" s="126">
        <v>32</v>
      </c>
      <c r="D135" s="126" t="str">
        <f t="shared" si="16"/>
        <v>932</v>
      </c>
      <c r="E135" s="101">
        <v>540</v>
      </c>
      <c r="F135" s="101">
        <v>1204</v>
      </c>
      <c r="G135" s="101">
        <v>24759</v>
      </c>
      <c r="H135" s="101">
        <v>176402.22999999998</v>
      </c>
      <c r="I135" s="101">
        <v>119866.01000000001</v>
      </c>
      <c r="J135" s="101">
        <v>284</v>
      </c>
      <c r="K135" s="101">
        <v>774</v>
      </c>
      <c r="L135" s="101">
        <v>14923</v>
      </c>
      <c r="M135" s="101">
        <v>174906.88</v>
      </c>
      <c r="N135" s="101">
        <v>50420.75</v>
      </c>
      <c r="O135" s="101">
        <v>252</v>
      </c>
      <c r="P135" s="101">
        <v>1473</v>
      </c>
      <c r="Q135" s="101">
        <v>41158</v>
      </c>
      <c r="R135" s="101">
        <v>134440.34</v>
      </c>
      <c r="S135" s="101">
        <v>143338.788</v>
      </c>
      <c r="T135" s="133">
        <v>1.02</v>
      </c>
      <c r="U135" s="101">
        <f t="shared" si="21"/>
        <v>257.04000000000002</v>
      </c>
      <c r="V135" s="101">
        <f t="shared" si="22"/>
        <v>1502.46</v>
      </c>
      <c r="W135" s="101">
        <f t="shared" si="23"/>
        <v>41981.16</v>
      </c>
      <c r="X135" s="101">
        <f t="shared" si="24"/>
        <v>137129.14679999999</v>
      </c>
      <c r="Y135" s="101">
        <f t="shared" si="25"/>
        <v>146205.56375999999</v>
      </c>
      <c r="AA135" s="101">
        <v>206</v>
      </c>
      <c r="AB135" s="101">
        <v>842</v>
      </c>
      <c r="AC135" s="101">
        <v>17685</v>
      </c>
      <c r="AD135" s="101">
        <v>99747</v>
      </c>
      <c r="AE135" s="101">
        <v>63736</v>
      </c>
      <c r="AF135" s="225"/>
      <c r="AG135" s="148"/>
      <c r="AH135" s="101">
        <v>30000</v>
      </c>
      <c r="AI135" s="101">
        <f t="shared" si="19"/>
        <v>24000</v>
      </c>
      <c r="AJ135" s="101">
        <f t="shared" si="20"/>
        <v>36000</v>
      </c>
    </row>
    <row r="136" spans="1:36" hidden="1" x14ac:dyDescent="0.3">
      <c r="A136" s="126" t="s">
        <v>173</v>
      </c>
      <c r="B136" s="126">
        <v>9</v>
      </c>
      <c r="C136" s="126">
        <v>28</v>
      </c>
      <c r="D136" s="126" t="str">
        <f t="shared" si="16"/>
        <v>928</v>
      </c>
      <c r="J136" s="101">
        <v>32</v>
      </c>
      <c r="K136" s="101">
        <v>61</v>
      </c>
      <c r="L136" s="101">
        <v>996</v>
      </c>
      <c r="M136" s="101">
        <v>26271.84</v>
      </c>
      <c r="N136" s="101">
        <v>6997.6599999999989</v>
      </c>
      <c r="O136" s="101">
        <v>61</v>
      </c>
      <c r="P136" s="101">
        <v>580</v>
      </c>
      <c r="Q136" s="101">
        <v>2330</v>
      </c>
      <c r="R136" s="101">
        <v>94300.470000000016</v>
      </c>
      <c r="S136" s="101">
        <v>24219.98</v>
      </c>
      <c r="T136" s="133">
        <v>1.02</v>
      </c>
      <c r="U136" s="101">
        <f t="shared" si="21"/>
        <v>62.22</v>
      </c>
      <c r="V136" s="101">
        <f t="shared" si="22"/>
        <v>591.6</v>
      </c>
      <c r="W136" s="101">
        <f t="shared" si="23"/>
        <v>2376.6</v>
      </c>
      <c r="X136" s="101">
        <f t="shared" si="24"/>
        <v>96186.479400000011</v>
      </c>
      <c r="Y136" s="101">
        <f t="shared" si="25"/>
        <v>24704.3796</v>
      </c>
      <c r="AA136" s="101">
        <v>60</v>
      </c>
      <c r="AB136" s="101">
        <v>219</v>
      </c>
      <c r="AC136" s="101">
        <v>1721</v>
      </c>
      <c r="AD136" s="101">
        <v>29087</v>
      </c>
      <c r="AE136" s="101">
        <v>5326</v>
      </c>
      <c r="AF136" s="225"/>
      <c r="AG136" s="148"/>
      <c r="AH136" s="101"/>
      <c r="AI136" s="101"/>
      <c r="AJ136" s="101"/>
    </row>
    <row r="137" spans="1:36" hidden="1" x14ac:dyDescent="0.3">
      <c r="A137" s="126" t="s">
        <v>173</v>
      </c>
      <c r="B137" s="126">
        <v>9</v>
      </c>
      <c r="C137" s="126">
        <v>46</v>
      </c>
      <c r="D137" s="126" t="str">
        <f t="shared" si="16"/>
        <v>946</v>
      </c>
      <c r="J137" s="101">
        <v>24</v>
      </c>
      <c r="K137" s="101">
        <v>31</v>
      </c>
      <c r="L137" s="101">
        <v>155</v>
      </c>
      <c r="M137" s="101">
        <v>16673.86</v>
      </c>
      <c r="N137" s="101">
        <v>5239.8490000000002</v>
      </c>
      <c r="O137" s="101">
        <v>8</v>
      </c>
      <c r="P137" s="101">
        <v>13</v>
      </c>
      <c r="Q137" s="101">
        <v>190</v>
      </c>
      <c r="R137" s="101">
        <v>1685.1399999999999</v>
      </c>
      <c r="S137" s="101">
        <v>350.43099999999998</v>
      </c>
      <c r="T137" s="133">
        <v>1.02</v>
      </c>
      <c r="U137" s="101">
        <f t="shared" si="21"/>
        <v>8.16</v>
      </c>
      <c r="V137" s="101">
        <f t="shared" si="22"/>
        <v>13.26</v>
      </c>
      <c r="W137" s="101">
        <f t="shared" si="23"/>
        <v>193.8</v>
      </c>
      <c r="X137" s="101">
        <f t="shared" si="24"/>
        <v>1718.8427999999999</v>
      </c>
      <c r="Y137" s="101">
        <f t="shared" si="25"/>
        <v>357.43961999999999</v>
      </c>
      <c r="AA137" s="101">
        <v>16</v>
      </c>
      <c r="AB137" s="101">
        <v>16</v>
      </c>
      <c r="AC137" s="101">
        <v>74</v>
      </c>
      <c r="AD137" s="101">
        <v>4371</v>
      </c>
      <c r="AE137" s="101">
        <v>734</v>
      </c>
      <c r="AF137" s="225"/>
      <c r="AG137" s="148"/>
      <c r="AH137" s="101"/>
      <c r="AI137" s="101"/>
      <c r="AJ137" s="101"/>
    </row>
    <row r="138" spans="1:36" hidden="1" x14ac:dyDescent="0.3">
      <c r="A138" s="126" t="s">
        <v>173</v>
      </c>
      <c r="B138" s="126">
        <v>9</v>
      </c>
      <c r="C138" s="126">
        <v>66</v>
      </c>
      <c r="D138" s="126" t="str">
        <f t="shared" si="16"/>
        <v>966</v>
      </c>
      <c r="J138" s="101">
        <v>15</v>
      </c>
      <c r="K138" s="101">
        <v>15</v>
      </c>
      <c r="L138" s="101">
        <v>320</v>
      </c>
      <c r="M138" s="101">
        <v>14298.25</v>
      </c>
      <c r="N138" s="101">
        <v>12768.062</v>
      </c>
      <c r="O138" s="101">
        <v>23</v>
      </c>
      <c r="P138" s="101">
        <v>34</v>
      </c>
      <c r="Q138" s="101">
        <v>1583</v>
      </c>
      <c r="R138" s="101">
        <v>35001.85</v>
      </c>
      <c r="S138" s="101">
        <v>18345.297999999999</v>
      </c>
      <c r="T138" s="133">
        <v>1.02</v>
      </c>
      <c r="U138" s="101">
        <f t="shared" si="21"/>
        <v>23.46</v>
      </c>
      <c r="V138" s="101">
        <f t="shared" si="22"/>
        <v>34.68</v>
      </c>
      <c r="W138" s="101">
        <f t="shared" si="23"/>
        <v>1614.66</v>
      </c>
      <c r="X138" s="101">
        <f t="shared" si="24"/>
        <v>35701.887000000002</v>
      </c>
      <c r="Y138" s="101">
        <f t="shared" si="25"/>
        <v>18712.203959999999</v>
      </c>
      <c r="AA138" s="101">
        <v>24</v>
      </c>
      <c r="AB138" s="101">
        <v>50</v>
      </c>
      <c r="AC138" s="101">
        <v>1824</v>
      </c>
      <c r="AD138" s="101">
        <v>14973</v>
      </c>
      <c r="AE138" s="101">
        <v>10432</v>
      </c>
      <c r="AF138" s="225"/>
      <c r="AG138" s="148"/>
      <c r="AH138" s="101"/>
      <c r="AI138" s="101"/>
      <c r="AJ138" s="101"/>
    </row>
    <row r="139" spans="1:36" x14ac:dyDescent="0.3">
      <c r="A139" s="126" t="s">
        <v>173</v>
      </c>
      <c r="B139" s="126">
        <v>9</v>
      </c>
      <c r="C139" s="126">
        <v>91</v>
      </c>
      <c r="D139" s="126" t="str">
        <f t="shared" si="16"/>
        <v>991</v>
      </c>
      <c r="J139" s="101">
        <v>11</v>
      </c>
      <c r="K139" s="101">
        <v>47</v>
      </c>
      <c r="L139" s="101">
        <v>278</v>
      </c>
      <c r="M139" s="101">
        <v>2360.34</v>
      </c>
      <c r="N139" s="101">
        <v>698.56</v>
      </c>
      <c r="O139" s="101">
        <v>6</v>
      </c>
      <c r="P139" s="101">
        <v>12</v>
      </c>
      <c r="Q139" s="101">
        <v>12</v>
      </c>
      <c r="R139" s="101">
        <v>142.67000000000002</v>
      </c>
      <c r="S139" s="101">
        <v>97.462999999999994</v>
      </c>
      <c r="T139" s="133">
        <v>1.02</v>
      </c>
      <c r="U139" s="101">
        <f t="shared" si="21"/>
        <v>6.12</v>
      </c>
      <c r="V139" s="101">
        <f t="shared" si="22"/>
        <v>12.24</v>
      </c>
      <c r="W139" s="101">
        <f t="shared" si="23"/>
        <v>12.24</v>
      </c>
      <c r="X139" s="101">
        <f t="shared" si="24"/>
        <v>145.52340000000001</v>
      </c>
      <c r="Y139" s="101">
        <f t="shared" si="25"/>
        <v>99.412259999999989</v>
      </c>
      <c r="AA139" s="101">
        <v>4</v>
      </c>
      <c r="AB139" s="101">
        <v>82</v>
      </c>
      <c r="AC139" s="101">
        <v>192</v>
      </c>
      <c r="AD139" s="101">
        <v>163</v>
      </c>
      <c r="AE139" s="101">
        <v>2267</v>
      </c>
      <c r="AF139" s="225"/>
      <c r="AG139" s="148"/>
      <c r="AH139" s="101"/>
      <c r="AI139" s="101"/>
      <c r="AJ139" s="101"/>
    </row>
    <row r="140" spans="1:36" hidden="1" x14ac:dyDescent="0.3">
      <c r="A140" s="126" t="s">
        <v>173</v>
      </c>
      <c r="B140" s="126">
        <v>9</v>
      </c>
      <c r="C140" s="126">
        <v>21</v>
      </c>
      <c r="D140" s="126" t="str">
        <f t="shared" si="16"/>
        <v>921</v>
      </c>
      <c r="E140" s="101">
        <v>1850</v>
      </c>
      <c r="F140" s="101">
        <v>6274</v>
      </c>
      <c r="G140" s="101">
        <v>34717.5</v>
      </c>
      <c r="H140" s="101">
        <v>557822.41</v>
      </c>
      <c r="I140" s="101">
        <v>130821.069</v>
      </c>
      <c r="J140" s="101">
        <v>502</v>
      </c>
      <c r="K140" s="101">
        <v>3263</v>
      </c>
      <c r="L140" s="101">
        <v>23260</v>
      </c>
      <c r="M140" s="101">
        <v>391015.64999999997</v>
      </c>
      <c r="N140" s="101">
        <v>97139.475000000006</v>
      </c>
      <c r="O140" s="138"/>
      <c r="P140" s="138"/>
      <c r="Q140" s="138"/>
      <c r="R140" s="138"/>
      <c r="S140" s="138"/>
      <c r="T140" s="133">
        <v>1.02</v>
      </c>
      <c r="U140" s="101">
        <f t="shared" si="21"/>
        <v>0</v>
      </c>
      <c r="V140" s="101">
        <f t="shared" si="22"/>
        <v>0</v>
      </c>
      <c r="W140" s="101">
        <f t="shared" si="23"/>
        <v>0</v>
      </c>
      <c r="X140" s="101">
        <f t="shared" si="24"/>
        <v>0</v>
      </c>
      <c r="Y140" s="101">
        <f t="shared" si="25"/>
        <v>0</v>
      </c>
      <c r="AA140" s="101">
        <v>90</v>
      </c>
      <c r="AB140" s="101">
        <v>340</v>
      </c>
      <c r="AC140" s="101">
        <v>1053</v>
      </c>
      <c r="AD140" s="101">
        <v>12242</v>
      </c>
      <c r="AE140" s="101">
        <v>5988</v>
      </c>
      <c r="AF140" s="225"/>
      <c r="AG140" s="148"/>
      <c r="AH140" s="101">
        <v>30000</v>
      </c>
      <c r="AI140" s="101">
        <f>(AH140/100)*80</f>
        <v>24000</v>
      </c>
      <c r="AJ140" s="101">
        <f>(AH140/100)*120</f>
        <v>36000</v>
      </c>
    </row>
    <row r="141" spans="1:36" hidden="1" x14ac:dyDescent="0.3">
      <c r="A141" s="126" t="s">
        <v>173</v>
      </c>
      <c r="B141" s="126">
        <v>9</v>
      </c>
      <c r="C141" s="126">
        <v>71</v>
      </c>
      <c r="D141" s="126" t="str">
        <f t="shared" si="16"/>
        <v>971</v>
      </c>
      <c r="E141" s="101">
        <v>939.5</v>
      </c>
      <c r="F141" s="101">
        <v>6274</v>
      </c>
      <c r="G141" s="101">
        <v>19619.5</v>
      </c>
      <c r="H141" s="101">
        <v>134762.55499999999</v>
      </c>
      <c r="I141" s="101">
        <v>74004.531499999997</v>
      </c>
      <c r="J141" s="101">
        <v>479</v>
      </c>
      <c r="K141" s="101">
        <v>4985</v>
      </c>
      <c r="L141" s="101">
        <v>17093</v>
      </c>
      <c r="M141" s="101">
        <v>107664.21</v>
      </c>
      <c r="N141" s="101">
        <v>68784.046999999991</v>
      </c>
      <c r="O141" s="101">
        <v>553</v>
      </c>
      <c r="P141" s="101">
        <v>8274</v>
      </c>
      <c r="Q141" s="101">
        <v>35690</v>
      </c>
      <c r="R141" s="101">
        <v>205250.91999999998</v>
      </c>
      <c r="S141" s="101">
        <v>101923.4</v>
      </c>
      <c r="T141" s="133">
        <v>0.98</v>
      </c>
      <c r="U141" s="101">
        <f>O141*T141-82</f>
        <v>459.93999999999994</v>
      </c>
      <c r="V141" s="101">
        <f>P141*T141-1187</f>
        <v>6921.5199999999995</v>
      </c>
      <c r="W141" s="101">
        <f>Q141*T141-17750</f>
        <v>17226.199999999997</v>
      </c>
      <c r="X141" s="101">
        <f t="shared" si="24"/>
        <v>201145.90159999998</v>
      </c>
      <c r="Y141" s="101">
        <f>S141*T141-80320</f>
        <v>19564.931999999986</v>
      </c>
      <c r="AA141" s="101">
        <v>331</v>
      </c>
      <c r="AB141" s="101">
        <v>7908</v>
      </c>
      <c r="AC141" s="101">
        <v>33917</v>
      </c>
      <c r="AD141" s="101">
        <v>298042</v>
      </c>
      <c r="AE141" s="101">
        <v>147968</v>
      </c>
      <c r="AF141" s="225"/>
      <c r="AG141" s="148"/>
      <c r="AH141" s="101">
        <v>30000</v>
      </c>
      <c r="AI141" s="101">
        <f>(AH141/100)*80</f>
        <v>24000</v>
      </c>
      <c r="AJ141" s="101">
        <f>(AH141/100)*120</f>
        <v>36000</v>
      </c>
    </row>
    <row r="142" spans="1:36" hidden="1" x14ac:dyDescent="0.3">
      <c r="A142" s="126" t="s">
        <v>173</v>
      </c>
      <c r="B142" s="126">
        <v>9</v>
      </c>
      <c r="C142" s="126">
        <v>30</v>
      </c>
      <c r="D142" s="126" t="str">
        <f t="shared" si="16"/>
        <v>930</v>
      </c>
      <c r="E142" s="101">
        <v>742</v>
      </c>
      <c r="F142" s="101">
        <v>7542</v>
      </c>
      <c r="G142" s="101">
        <v>31994.5</v>
      </c>
      <c r="H142" s="101">
        <v>639973.26500000001</v>
      </c>
      <c r="I142" s="101">
        <v>197307.13150000002</v>
      </c>
      <c r="J142" s="101">
        <v>172</v>
      </c>
      <c r="K142" s="101">
        <v>3455</v>
      </c>
      <c r="L142" s="101">
        <v>16757</v>
      </c>
      <c r="M142" s="101">
        <v>283132.81</v>
      </c>
      <c r="N142" s="101">
        <v>85442.884999999995</v>
      </c>
      <c r="O142" s="138">
        <v>806</v>
      </c>
      <c r="P142" s="138">
        <v>13399</v>
      </c>
      <c r="Q142" s="138">
        <v>56815</v>
      </c>
      <c r="R142" s="138">
        <v>1318008.55</v>
      </c>
      <c r="S142" s="138">
        <v>493750.96600000001</v>
      </c>
      <c r="T142" s="133">
        <v>1.02</v>
      </c>
      <c r="U142" s="101">
        <f t="shared" si="21"/>
        <v>822.12</v>
      </c>
      <c r="V142" s="101">
        <f t="shared" si="22"/>
        <v>13666.98</v>
      </c>
      <c r="W142" s="101">
        <f t="shared" si="23"/>
        <v>57951.3</v>
      </c>
      <c r="X142" s="101">
        <f t="shared" si="24"/>
        <v>1344368.7210000001</v>
      </c>
      <c r="Y142" s="101">
        <f t="shared" si="25"/>
        <v>503625.98532000004</v>
      </c>
      <c r="AA142" s="101">
        <v>434</v>
      </c>
      <c r="AB142" s="101">
        <v>8003</v>
      </c>
      <c r="AC142" s="101">
        <v>34939</v>
      </c>
      <c r="AD142" s="101">
        <v>729796</v>
      </c>
      <c r="AE142" s="101">
        <v>277705</v>
      </c>
      <c r="AF142" s="225"/>
      <c r="AG142" s="148"/>
      <c r="AH142" s="101">
        <v>30000</v>
      </c>
      <c r="AI142" s="101">
        <f>(AH142/100)*80</f>
        <v>24000</v>
      </c>
      <c r="AJ142" s="101">
        <f>(AH142/100)*120</f>
        <v>36000</v>
      </c>
    </row>
    <row r="143" spans="1:36" hidden="1" x14ac:dyDescent="0.3">
      <c r="A143" s="126" t="s">
        <v>173</v>
      </c>
      <c r="B143" s="126">
        <v>9</v>
      </c>
      <c r="C143" s="126">
        <v>41</v>
      </c>
      <c r="D143" s="126" t="str">
        <f t="shared" si="16"/>
        <v>941</v>
      </c>
      <c r="O143" s="101">
        <v>4</v>
      </c>
      <c r="P143" s="101">
        <v>10</v>
      </c>
      <c r="Q143" s="101">
        <v>74</v>
      </c>
      <c r="R143" s="101">
        <v>836.65</v>
      </c>
      <c r="S143" s="101">
        <v>193.84500000000003</v>
      </c>
      <c r="T143" s="133">
        <v>1.02</v>
      </c>
      <c r="U143" s="101">
        <f t="shared" si="21"/>
        <v>4.08</v>
      </c>
      <c r="V143" s="101">
        <f t="shared" si="22"/>
        <v>10.199999999999999</v>
      </c>
      <c r="W143" s="101">
        <f t="shared" si="23"/>
        <v>75.48</v>
      </c>
      <c r="X143" s="101">
        <f t="shared" si="24"/>
        <v>853.38300000000004</v>
      </c>
      <c r="Y143" s="101">
        <f t="shared" si="25"/>
        <v>197.72190000000003</v>
      </c>
      <c r="AA143" s="101">
        <v>2</v>
      </c>
      <c r="AB143" s="101">
        <v>4</v>
      </c>
      <c r="AC143" s="101">
        <v>6</v>
      </c>
      <c r="AD143" s="101">
        <v>80</v>
      </c>
      <c r="AE143" s="101">
        <v>15</v>
      </c>
      <c r="AF143" s="225"/>
      <c r="AG143" s="148"/>
      <c r="AH143" s="101"/>
      <c r="AI143" s="101"/>
      <c r="AJ143" s="101"/>
    </row>
    <row r="144" spans="1:36" hidden="1" x14ac:dyDescent="0.3">
      <c r="A144" s="126" t="s">
        <v>173</v>
      </c>
      <c r="B144" s="126">
        <v>9</v>
      </c>
      <c r="C144" s="126">
        <v>1</v>
      </c>
      <c r="D144" s="126" t="str">
        <f t="shared" si="16"/>
        <v>91</v>
      </c>
      <c r="J144" s="101">
        <v>438</v>
      </c>
      <c r="K144" s="101">
        <v>438</v>
      </c>
      <c r="L144" s="101">
        <v>55839</v>
      </c>
      <c r="M144" s="101">
        <v>0</v>
      </c>
      <c r="N144" s="101">
        <v>280018</v>
      </c>
      <c r="O144" s="101">
        <v>118</v>
      </c>
      <c r="P144" s="101">
        <v>118</v>
      </c>
      <c r="Q144" s="101">
        <v>61155</v>
      </c>
      <c r="S144" s="101">
        <v>250059.375</v>
      </c>
      <c r="T144" s="133">
        <v>1.02</v>
      </c>
      <c r="U144" s="101">
        <f t="shared" si="21"/>
        <v>120.36</v>
      </c>
      <c r="V144" s="101">
        <f t="shared" si="22"/>
        <v>120.36</v>
      </c>
      <c r="W144" s="101">
        <f t="shared" si="23"/>
        <v>62378.1</v>
      </c>
      <c r="X144" s="101">
        <f t="shared" si="24"/>
        <v>0</v>
      </c>
      <c r="Y144" s="101">
        <f t="shared" si="25"/>
        <v>255060.5625</v>
      </c>
      <c r="AA144" s="101">
        <v>139</v>
      </c>
      <c r="AB144" s="101">
        <v>139</v>
      </c>
      <c r="AC144" s="101">
        <v>39815</v>
      </c>
      <c r="AE144" s="101">
        <v>165517.55900000001</v>
      </c>
      <c r="AF144" s="225"/>
      <c r="AG144" s="148"/>
      <c r="AH144" s="101"/>
      <c r="AI144" s="101"/>
      <c r="AJ144" s="101"/>
    </row>
    <row r="145" spans="1:36" hidden="1" x14ac:dyDescent="0.3">
      <c r="A145" s="126" t="s">
        <v>173</v>
      </c>
      <c r="B145" s="126">
        <v>9</v>
      </c>
      <c r="C145" s="126">
        <v>37</v>
      </c>
      <c r="D145" s="126" t="str">
        <f t="shared" si="16"/>
        <v>937</v>
      </c>
      <c r="E145" s="101">
        <v>9.5</v>
      </c>
      <c r="F145" s="101">
        <v>44.75</v>
      </c>
      <c r="G145" s="101">
        <v>1027.5</v>
      </c>
      <c r="H145" s="101">
        <v>5752.6774999999998</v>
      </c>
      <c r="I145" s="101">
        <v>3533.0162500000001</v>
      </c>
      <c r="J145" s="101">
        <v>2</v>
      </c>
      <c r="K145" s="101">
        <v>2</v>
      </c>
      <c r="L145" s="101">
        <v>4000</v>
      </c>
      <c r="M145" s="101">
        <v>3430</v>
      </c>
      <c r="N145" s="101">
        <v>909.9</v>
      </c>
      <c r="O145" s="101">
        <v>2</v>
      </c>
      <c r="P145" s="101">
        <v>4</v>
      </c>
      <c r="Q145" s="101">
        <v>18200</v>
      </c>
      <c r="R145" s="101">
        <v>11192</v>
      </c>
      <c r="S145" s="101">
        <v>1251</v>
      </c>
      <c r="T145" s="133">
        <v>1.02</v>
      </c>
      <c r="U145" s="101">
        <f t="shared" si="21"/>
        <v>2.04</v>
      </c>
      <c r="V145" s="101">
        <f t="shared" si="22"/>
        <v>4.08</v>
      </c>
      <c r="W145" s="101">
        <f t="shared" si="23"/>
        <v>18564</v>
      </c>
      <c r="X145" s="101">
        <f t="shared" si="24"/>
        <v>11415.84</v>
      </c>
      <c r="Y145" s="101">
        <f t="shared" si="25"/>
        <v>1276.02</v>
      </c>
      <c r="AA145" s="101">
        <v>4</v>
      </c>
      <c r="AB145" s="101">
        <v>9</v>
      </c>
      <c r="AC145" s="101">
        <v>6093</v>
      </c>
      <c r="AD145" s="101">
        <v>6170</v>
      </c>
      <c r="AE145" s="101">
        <v>3091</v>
      </c>
      <c r="AF145" s="225"/>
      <c r="AG145" s="148"/>
      <c r="AH145" s="101">
        <v>30000</v>
      </c>
      <c r="AI145" s="101">
        <f t="shared" ref="AI145:AI160" si="26">(AH145/100)*80</f>
        <v>24000</v>
      </c>
      <c r="AJ145" s="101">
        <f t="shared" ref="AJ145:AJ160" si="27">(AH145/100)*120</f>
        <v>36000</v>
      </c>
    </row>
    <row r="146" spans="1:36" hidden="1" x14ac:dyDescent="0.3">
      <c r="A146" s="126" t="s">
        <v>174</v>
      </c>
      <c r="B146" s="126">
        <v>10</v>
      </c>
      <c r="C146" s="126">
        <v>22</v>
      </c>
      <c r="D146" s="126" t="str">
        <f t="shared" si="16"/>
        <v>1022</v>
      </c>
      <c r="E146" s="101">
        <v>896</v>
      </c>
      <c r="F146" s="101">
        <v>6423</v>
      </c>
      <c r="G146" s="101">
        <v>57909</v>
      </c>
      <c r="H146" s="101">
        <v>328061.24</v>
      </c>
      <c r="I146" s="101">
        <v>201908.57499999998</v>
      </c>
      <c r="J146" s="101">
        <v>527</v>
      </c>
      <c r="K146" s="101">
        <v>4523</v>
      </c>
      <c r="L146" s="101">
        <v>55212</v>
      </c>
      <c r="M146" s="101">
        <v>409524.56</v>
      </c>
      <c r="N146" s="101">
        <v>264223.60399999993</v>
      </c>
      <c r="O146" s="101">
        <v>614</v>
      </c>
      <c r="P146" s="101">
        <v>3692</v>
      </c>
      <c r="Q146" s="101">
        <v>34240</v>
      </c>
      <c r="R146" s="101">
        <v>154309.34</v>
      </c>
      <c r="S146" s="101">
        <v>117164.23500000002</v>
      </c>
      <c r="T146" s="133">
        <v>1.02</v>
      </c>
      <c r="U146" s="101">
        <f t="shared" si="21"/>
        <v>626.28</v>
      </c>
      <c r="V146" s="101">
        <f t="shared" si="22"/>
        <v>3765.84</v>
      </c>
      <c r="W146" s="101">
        <f t="shared" si="23"/>
        <v>34924.800000000003</v>
      </c>
      <c r="X146" s="101">
        <f t="shared" si="24"/>
        <v>157395.52679999999</v>
      </c>
      <c r="Y146" s="101">
        <f t="shared" si="25"/>
        <v>119507.51970000002</v>
      </c>
      <c r="AA146" s="101">
        <v>441</v>
      </c>
      <c r="AB146" s="101">
        <v>3734</v>
      </c>
      <c r="AC146" s="101">
        <v>43051</v>
      </c>
      <c r="AD146" s="101">
        <v>146259.12</v>
      </c>
      <c r="AE146" s="101">
        <v>109299.143</v>
      </c>
      <c r="AF146" s="225">
        <f t="shared" ref="AF146" si="28">SUM(AB146:AB161)</f>
        <v>24358</v>
      </c>
      <c r="AG146" s="148"/>
      <c r="AH146" s="101">
        <v>30000</v>
      </c>
      <c r="AI146" s="101">
        <f t="shared" si="26"/>
        <v>24000</v>
      </c>
      <c r="AJ146" s="101">
        <f t="shared" si="27"/>
        <v>36000</v>
      </c>
    </row>
    <row r="147" spans="1:36" hidden="1" x14ac:dyDescent="0.3">
      <c r="A147" s="126" t="s">
        <v>174</v>
      </c>
      <c r="B147" s="126">
        <v>10</v>
      </c>
      <c r="C147" s="126">
        <v>25</v>
      </c>
      <c r="D147" s="126" t="str">
        <f t="shared" si="16"/>
        <v>1025</v>
      </c>
      <c r="E147" s="101">
        <v>377</v>
      </c>
      <c r="F147" s="101">
        <v>2102</v>
      </c>
      <c r="G147" s="101">
        <v>90477</v>
      </c>
      <c r="H147" s="101">
        <v>1131445.7099999997</v>
      </c>
      <c r="I147" s="101">
        <v>501714.19399999996</v>
      </c>
      <c r="J147" s="101">
        <v>260</v>
      </c>
      <c r="K147" s="101">
        <v>2144</v>
      </c>
      <c r="L147" s="101">
        <v>71356</v>
      </c>
      <c r="M147" s="101">
        <v>779083.62000000011</v>
      </c>
      <c r="N147" s="101">
        <v>363798.58799999999</v>
      </c>
      <c r="O147" s="101">
        <v>192</v>
      </c>
      <c r="P147" s="101">
        <v>1710</v>
      </c>
      <c r="Q147" s="101">
        <v>33469</v>
      </c>
      <c r="R147" s="101">
        <v>684054.25999999989</v>
      </c>
      <c r="S147" s="101">
        <v>289758.42</v>
      </c>
      <c r="T147" s="133">
        <v>1.02</v>
      </c>
      <c r="U147" s="101">
        <f t="shared" si="21"/>
        <v>195.84</v>
      </c>
      <c r="V147" s="101">
        <f t="shared" si="22"/>
        <v>1744.2</v>
      </c>
      <c r="W147" s="101">
        <f t="shared" si="23"/>
        <v>34138.379999999997</v>
      </c>
      <c r="X147" s="101">
        <f t="shared" si="24"/>
        <v>697735.34519999987</v>
      </c>
      <c r="Y147" s="101">
        <f t="shared" si="25"/>
        <v>295553.58840000001</v>
      </c>
      <c r="AA147" s="101">
        <v>292</v>
      </c>
      <c r="AB147" s="101">
        <v>2327</v>
      </c>
      <c r="AC147" s="101">
        <v>67886</v>
      </c>
      <c r="AD147" s="101">
        <v>782545.27</v>
      </c>
      <c r="AE147" s="101">
        <v>306315.51400000002</v>
      </c>
      <c r="AF147" s="225"/>
      <c r="AG147" s="148"/>
      <c r="AH147" s="101">
        <v>30000</v>
      </c>
      <c r="AI147" s="101">
        <f t="shared" si="26"/>
        <v>24000</v>
      </c>
      <c r="AJ147" s="101">
        <f t="shared" si="27"/>
        <v>36000</v>
      </c>
    </row>
    <row r="148" spans="1:36" hidden="1" x14ac:dyDescent="0.3">
      <c r="A148" s="126" t="s">
        <v>174</v>
      </c>
      <c r="B148" s="126">
        <v>10</v>
      </c>
      <c r="C148" s="126">
        <v>27</v>
      </c>
      <c r="D148" s="126" t="str">
        <f t="shared" si="16"/>
        <v>1027</v>
      </c>
      <c r="E148" s="101">
        <v>50</v>
      </c>
      <c r="F148" s="101">
        <v>476</v>
      </c>
      <c r="G148" s="101">
        <v>3156</v>
      </c>
      <c r="H148" s="101">
        <v>36474.25</v>
      </c>
      <c r="I148" s="101">
        <v>16349.08</v>
      </c>
      <c r="J148" s="101">
        <v>30</v>
      </c>
      <c r="K148" s="101">
        <v>339</v>
      </c>
      <c r="L148" s="101">
        <v>2059</v>
      </c>
      <c r="M148" s="101">
        <v>19751.25</v>
      </c>
      <c r="N148" s="101">
        <v>9606.15</v>
      </c>
      <c r="O148" s="101">
        <v>14</v>
      </c>
      <c r="P148" s="101">
        <v>33</v>
      </c>
      <c r="Q148" s="101">
        <v>320</v>
      </c>
      <c r="R148" s="101">
        <v>4217.78</v>
      </c>
      <c r="S148" s="101">
        <v>2193.9390000000003</v>
      </c>
      <c r="T148" s="133">
        <v>1.02</v>
      </c>
      <c r="U148" s="101">
        <f t="shared" si="21"/>
        <v>14.280000000000001</v>
      </c>
      <c r="V148" s="101">
        <f t="shared" si="22"/>
        <v>33.660000000000004</v>
      </c>
      <c r="W148" s="101">
        <f t="shared" si="23"/>
        <v>326.39999999999998</v>
      </c>
      <c r="X148" s="101">
        <f t="shared" si="24"/>
        <v>4302.1355999999996</v>
      </c>
      <c r="Y148" s="101">
        <f t="shared" si="25"/>
        <v>2237.8177800000003</v>
      </c>
      <c r="AA148" s="101">
        <v>13</v>
      </c>
      <c r="AB148" s="101">
        <v>54</v>
      </c>
      <c r="AC148" s="101">
        <v>789</v>
      </c>
      <c r="AD148" s="101">
        <v>4257.7700000000004</v>
      </c>
      <c r="AE148" s="101">
        <v>1819.434</v>
      </c>
      <c r="AF148" s="225"/>
      <c r="AG148" s="148"/>
      <c r="AH148" s="101">
        <v>30000</v>
      </c>
      <c r="AI148" s="101">
        <f t="shared" si="26"/>
        <v>24000</v>
      </c>
      <c r="AJ148" s="101">
        <f t="shared" si="27"/>
        <v>36000</v>
      </c>
    </row>
    <row r="149" spans="1:36" hidden="1" x14ac:dyDescent="0.3">
      <c r="A149" s="126" t="s">
        <v>174</v>
      </c>
      <c r="B149" s="126">
        <v>10</v>
      </c>
      <c r="C149" s="126">
        <v>26</v>
      </c>
      <c r="D149" s="126" t="str">
        <f t="shared" si="16"/>
        <v>1026</v>
      </c>
      <c r="E149" s="101">
        <v>106</v>
      </c>
      <c r="F149" s="101">
        <v>1956</v>
      </c>
      <c r="G149" s="101">
        <v>58864</v>
      </c>
      <c r="H149" s="101">
        <v>765242.53000000014</v>
      </c>
      <c r="I149" s="101">
        <v>220858.40700000004</v>
      </c>
      <c r="J149" s="101">
        <v>81</v>
      </c>
      <c r="K149" s="101">
        <v>2382</v>
      </c>
      <c r="L149" s="101">
        <v>32987</v>
      </c>
      <c r="M149" s="101">
        <v>492862.56</v>
      </c>
      <c r="N149" s="101">
        <v>141579.158</v>
      </c>
      <c r="O149" s="101">
        <v>44</v>
      </c>
      <c r="P149" s="101">
        <v>981</v>
      </c>
      <c r="Q149" s="101">
        <v>48180</v>
      </c>
      <c r="R149" s="101">
        <v>297789.98000000004</v>
      </c>
      <c r="S149" s="101">
        <v>254650.55700000003</v>
      </c>
      <c r="T149" s="133">
        <v>1.02</v>
      </c>
      <c r="U149" s="101">
        <f t="shared" si="21"/>
        <v>44.88</v>
      </c>
      <c r="V149" s="101">
        <f t="shared" si="22"/>
        <v>1000.62</v>
      </c>
      <c r="W149" s="101">
        <f t="shared" si="23"/>
        <v>49143.6</v>
      </c>
      <c r="X149" s="101">
        <f t="shared" si="24"/>
        <v>303745.77960000007</v>
      </c>
      <c r="Y149" s="101">
        <f t="shared" si="25"/>
        <v>259743.56814000005</v>
      </c>
      <c r="AA149" s="101">
        <v>11</v>
      </c>
      <c r="AB149" s="101">
        <v>280</v>
      </c>
      <c r="AC149" s="101">
        <v>5717</v>
      </c>
      <c r="AD149" s="101">
        <v>40843.449999999997</v>
      </c>
      <c r="AE149" s="101">
        <v>22206.652999999998</v>
      </c>
      <c r="AF149" s="225"/>
      <c r="AG149" s="148"/>
      <c r="AH149" s="101">
        <v>30000</v>
      </c>
      <c r="AI149" s="101">
        <f t="shared" si="26"/>
        <v>24000</v>
      </c>
      <c r="AJ149" s="101">
        <f t="shared" si="27"/>
        <v>36000</v>
      </c>
    </row>
    <row r="150" spans="1:36" hidden="1" x14ac:dyDescent="0.3">
      <c r="A150" s="126" t="s">
        <v>174</v>
      </c>
      <c r="B150" s="126">
        <v>10</v>
      </c>
      <c r="C150" s="126">
        <v>32</v>
      </c>
      <c r="D150" s="126" t="str">
        <f t="shared" si="16"/>
        <v>1032</v>
      </c>
      <c r="E150" s="101">
        <v>699</v>
      </c>
      <c r="F150" s="101">
        <v>2352</v>
      </c>
      <c r="G150" s="101">
        <v>56800</v>
      </c>
      <c r="H150" s="101">
        <v>422403.94</v>
      </c>
      <c r="I150" s="101">
        <v>318364.64</v>
      </c>
      <c r="J150" s="101">
        <v>361</v>
      </c>
      <c r="K150" s="101">
        <v>1082</v>
      </c>
      <c r="L150" s="101">
        <v>18562</v>
      </c>
      <c r="M150" s="101">
        <v>318104.89</v>
      </c>
      <c r="N150" s="101">
        <v>225249.209</v>
      </c>
      <c r="O150" s="101">
        <v>458</v>
      </c>
      <c r="P150" s="101">
        <v>1256</v>
      </c>
      <c r="Q150" s="101">
        <v>27952</v>
      </c>
      <c r="R150" s="101">
        <v>95259.199999999997</v>
      </c>
      <c r="S150" s="101">
        <v>306011.103</v>
      </c>
      <c r="T150" s="133">
        <v>1.02</v>
      </c>
      <c r="U150" s="101">
        <f t="shared" si="21"/>
        <v>467.16</v>
      </c>
      <c r="V150" s="101">
        <f t="shared" si="22"/>
        <v>1281.1200000000001</v>
      </c>
      <c r="W150" s="101">
        <f t="shared" si="23"/>
        <v>28511.040000000001</v>
      </c>
      <c r="X150" s="101">
        <f t="shared" si="24"/>
        <v>97164.384000000005</v>
      </c>
      <c r="Y150" s="101">
        <f t="shared" si="25"/>
        <v>312131.32506</v>
      </c>
      <c r="AA150" s="101">
        <v>357</v>
      </c>
      <c r="AB150" s="101">
        <v>1013</v>
      </c>
      <c r="AC150" s="101">
        <v>13811</v>
      </c>
      <c r="AD150" s="101">
        <v>65953.13</v>
      </c>
      <c r="AE150" s="101">
        <v>104372.061</v>
      </c>
      <c r="AF150" s="225"/>
      <c r="AG150" s="148"/>
      <c r="AH150" s="101">
        <v>30000</v>
      </c>
      <c r="AI150" s="101">
        <f t="shared" si="26"/>
        <v>24000</v>
      </c>
      <c r="AJ150" s="101">
        <f t="shared" si="27"/>
        <v>36000</v>
      </c>
    </row>
    <row r="151" spans="1:36" hidden="1" x14ac:dyDescent="0.3">
      <c r="A151" s="126" t="s">
        <v>174</v>
      </c>
      <c r="B151" s="126">
        <v>10</v>
      </c>
      <c r="C151" s="126">
        <v>21</v>
      </c>
      <c r="D151" s="126" t="str">
        <f t="shared" si="16"/>
        <v>1021</v>
      </c>
      <c r="E151" s="101">
        <v>2159.5</v>
      </c>
      <c r="F151" s="101">
        <v>7817</v>
      </c>
      <c r="G151" s="101">
        <v>32919</v>
      </c>
      <c r="H151" s="101">
        <v>428791.64</v>
      </c>
      <c r="I151" s="101">
        <v>130144.519</v>
      </c>
      <c r="J151" s="101">
        <v>567</v>
      </c>
      <c r="K151" s="101">
        <v>5603</v>
      </c>
      <c r="L151" s="101">
        <v>37041</v>
      </c>
      <c r="M151" s="101">
        <v>551053.79</v>
      </c>
      <c r="N151" s="101">
        <v>217877.85399999996</v>
      </c>
      <c r="O151" s="138"/>
      <c r="P151" s="138"/>
      <c r="Q151" s="138"/>
      <c r="R151" s="138"/>
      <c r="S151" s="138"/>
      <c r="T151" s="133">
        <v>1.02</v>
      </c>
      <c r="U151" s="101">
        <f t="shared" si="21"/>
        <v>0</v>
      </c>
      <c r="V151" s="101">
        <f t="shared" si="22"/>
        <v>0</v>
      </c>
      <c r="W151" s="101">
        <f t="shared" si="23"/>
        <v>0</v>
      </c>
      <c r="X151" s="101">
        <f t="shared" si="24"/>
        <v>0</v>
      </c>
      <c r="Y151" s="101">
        <f t="shared" si="25"/>
        <v>0</v>
      </c>
      <c r="AA151" s="101">
        <v>101</v>
      </c>
      <c r="AB151" s="101">
        <v>245</v>
      </c>
      <c r="AC151" s="101">
        <v>1155</v>
      </c>
      <c r="AD151" s="101">
        <v>22048.46</v>
      </c>
      <c r="AE151" s="101">
        <v>9873.5390000000007</v>
      </c>
      <c r="AF151" s="225"/>
      <c r="AG151" s="148"/>
      <c r="AH151" s="101">
        <v>30000</v>
      </c>
      <c r="AI151" s="101">
        <f t="shared" si="26"/>
        <v>24000</v>
      </c>
      <c r="AJ151" s="101">
        <f t="shared" si="27"/>
        <v>36000</v>
      </c>
    </row>
    <row r="152" spans="1:36" hidden="1" x14ac:dyDescent="0.3">
      <c r="A152" s="126" t="s">
        <v>174</v>
      </c>
      <c r="B152" s="126">
        <v>10</v>
      </c>
      <c r="C152" s="126">
        <v>71</v>
      </c>
      <c r="D152" s="126" t="str">
        <f t="shared" si="16"/>
        <v>1071</v>
      </c>
      <c r="E152" s="101">
        <v>917</v>
      </c>
      <c r="F152" s="101">
        <v>6547.5</v>
      </c>
      <c r="G152" s="101">
        <v>19810.5</v>
      </c>
      <c r="H152" s="101">
        <v>136216.74</v>
      </c>
      <c r="I152" s="101">
        <v>77228.577999999994</v>
      </c>
      <c r="J152" s="101">
        <v>765</v>
      </c>
      <c r="K152" s="101">
        <v>9788</v>
      </c>
      <c r="L152" s="101">
        <v>44995</v>
      </c>
      <c r="M152" s="101">
        <v>371210.74</v>
      </c>
      <c r="N152" s="101">
        <v>220729.804</v>
      </c>
      <c r="O152" s="101">
        <v>506</v>
      </c>
      <c r="P152" s="101">
        <v>9847</v>
      </c>
      <c r="Q152" s="101">
        <v>26076</v>
      </c>
      <c r="R152" s="101">
        <v>185132.47999999998</v>
      </c>
      <c r="S152" s="101">
        <v>93222.578999999998</v>
      </c>
      <c r="T152" s="140">
        <v>1.5</v>
      </c>
      <c r="U152" s="101">
        <f t="shared" si="21"/>
        <v>759</v>
      </c>
      <c r="V152" s="101">
        <f t="shared" si="22"/>
        <v>14770.5</v>
      </c>
      <c r="W152" s="101">
        <f t="shared" si="23"/>
        <v>39114</v>
      </c>
      <c r="X152" s="101">
        <f t="shared" si="24"/>
        <v>277698.71999999997</v>
      </c>
      <c r="Y152" s="101">
        <f t="shared" si="25"/>
        <v>139833.86849999998</v>
      </c>
      <c r="AA152" s="101">
        <v>223</v>
      </c>
      <c r="AB152" s="101">
        <v>6440</v>
      </c>
      <c r="AC152" s="101">
        <v>21390</v>
      </c>
      <c r="AD152" s="101">
        <v>194082.37</v>
      </c>
      <c r="AE152" s="101">
        <v>104092.276</v>
      </c>
      <c r="AF152" s="225"/>
      <c r="AG152" s="148"/>
      <c r="AH152" s="101">
        <v>30000</v>
      </c>
      <c r="AI152" s="101">
        <f t="shared" si="26"/>
        <v>24000</v>
      </c>
      <c r="AJ152" s="101">
        <f t="shared" si="27"/>
        <v>36000</v>
      </c>
    </row>
    <row r="153" spans="1:36" hidden="1" x14ac:dyDescent="0.3">
      <c r="A153" s="126" t="s">
        <v>174</v>
      </c>
      <c r="B153" s="126">
        <v>10</v>
      </c>
      <c r="C153" s="126">
        <v>30</v>
      </c>
      <c r="D153" s="126" t="str">
        <f t="shared" si="16"/>
        <v>1030</v>
      </c>
      <c r="E153" s="101">
        <v>645</v>
      </c>
      <c r="F153" s="101">
        <v>7433.5</v>
      </c>
      <c r="G153" s="101">
        <v>28781</v>
      </c>
      <c r="H153" s="101">
        <v>620019.45000000007</v>
      </c>
      <c r="I153" s="101">
        <v>204350.459</v>
      </c>
      <c r="J153" s="101">
        <v>353</v>
      </c>
      <c r="K153" s="101">
        <v>8057</v>
      </c>
      <c r="L153" s="101">
        <v>29691</v>
      </c>
      <c r="M153" s="101">
        <v>622528.91</v>
      </c>
      <c r="N153" s="101">
        <v>174720.57799999998</v>
      </c>
      <c r="O153" s="138">
        <v>460</v>
      </c>
      <c r="P153" s="138">
        <v>7888</v>
      </c>
      <c r="Q153" s="138">
        <v>34922</v>
      </c>
      <c r="R153" s="138">
        <v>719704.7</v>
      </c>
      <c r="S153" s="138">
        <v>246994.27900000001</v>
      </c>
      <c r="T153" s="133">
        <v>1.02</v>
      </c>
      <c r="U153" s="101">
        <f t="shared" si="21"/>
        <v>469.2</v>
      </c>
      <c r="V153" s="101">
        <f t="shared" si="22"/>
        <v>8045.76</v>
      </c>
      <c r="W153" s="101">
        <f t="shared" si="23"/>
        <v>35620.44</v>
      </c>
      <c r="X153" s="101">
        <f t="shared" si="24"/>
        <v>734098.79399999999</v>
      </c>
      <c r="Y153" s="101">
        <f t="shared" si="25"/>
        <v>251934.16458000001</v>
      </c>
      <c r="AA153" s="101">
        <v>413</v>
      </c>
      <c r="AB153" s="101">
        <v>9729</v>
      </c>
      <c r="AC153" s="101">
        <v>42354</v>
      </c>
      <c r="AD153" s="101">
        <v>925992.72</v>
      </c>
      <c r="AE153" s="101">
        <v>292757.51500000001</v>
      </c>
      <c r="AF153" s="225"/>
      <c r="AG153" s="148"/>
      <c r="AH153" s="101">
        <v>30000</v>
      </c>
      <c r="AI153" s="101">
        <f t="shared" si="26"/>
        <v>24000</v>
      </c>
      <c r="AJ153" s="101">
        <f t="shared" si="27"/>
        <v>36000</v>
      </c>
    </row>
    <row r="154" spans="1:36" hidden="1" x14ac:dyDescent="0.3">
      <c r="A154" s="126" t="s">
        <v>174</v>
      </c>
      <c r="B154" s="126">
        <v>10</v>
      </c>
      <c r="C154" s="126">
        <v>28</v>
      </c>
      <c r="D154" s="126" t="str">
        <f t="shared" si="16"/>
        <v>1028</v>
      </c>
      <c r="J154" s="101">
        <v>53</v>
      </c>
      <c r="K154" s="101">
        <v>174</v>
      </c>
      <c r="L154" s="101">
        <v>1982</v>
      </c>
      <c r="M154" s="101">
        <v>28355.45</v>
      </c>
      <c r="N154" s="101">
        <v>7549.3330000000005</v>
      </c>
      <c r="O154" s="101">
        <v>55</v>
      </c>
      <c r="P154" s="101">
        <v>172</v>
      </c>
      <c r="Q154" s="101">
        <v>1580</v>
      </c>
      <c r="R154" s="101">
        <v>50533.63</v>
      </c>
      <c r="S154" s="101">
        <v>22577.581999999999</v>
      </c>
      <c r="T154" s="133">
        <v>1.02</v>
      </c>
      <c r="U154" s="101">
        <f t="shared" si="21"/>
        <v>56.1</v>
      </c>
      <c r="V154" s="101">
        <f t="shared" si="22"/>
        <v>175.44</v>
      </c>
      <c r="W154" s="101">
        <f t="shared" si="23"/>
        <v>1611.6000000000001</v>
      </c>
      <c r="X154" s="101">
        <f t="shared" si="24"/>
        <v>51544.302599999995</v>
      </c>
      <c r="Y154" s="101">
        <f t="shared" si="25"/>
        <v>23029.13364</v>
      </c>
      <c r="AA154" s="101">
        <v>67</v>
      </c>
      <c r="AB154" s="101">
        <v>225</v>
      </c>
      <c r="AC154" s="101">
        <v>2881</v>
      </c>
      <c r="AD154" s="101">
        <v>126610.08</v>
      </c>
      <c r="AE154" s="101">
        <v>38637.618000000002</v>
      </c>
      <c r="AF154" s="225"/>
      <c r="AG154" s="148"/>
      <c r="AH154" s="101">
        <v>30000</v>
      </c>
      <c r="AI154" s="101">
        <f t="shared" si="26"/>
        <v>24000</v>
      </c>
      <c r="AJ154" s="101">
        <f t="shared" si="27"/>
        <v>36000</v>
      </c>
    </row>
    <row r="155" spans="1:36" hidden="1" x14ac:dyDescent="0.3">
      <c r="A155" s="126" t="s">
        <v>174</v>
      </c>
      <c r="B155" s="126">
        <v>10</v>
      </c>
      <c r="C155" s="126">
        <v>46</v>
      </c>
      <c r="D155" s="126" t="str">
        <f t="shared" si="16"/>
        <v>1046</v>
      </c>
      <c r="J155" s="101">
        <v>18</v>
      </c>
      <c r="K155" s="101">
        <v>28</v>
      </c>
      <c r="L155" s="101">
        <v>64</v>
      </c>
      <c r="M155" s="101">
        <v>2637.6699999999996</v>
      </c>
      <c r="N155" s="101">
        <v>540.11000000000013</v>
      </c>
      <c r="O155" s="101">
        <v>7</v>
      </c>
      <c r="P155" s="101">
        <v>8</v>
      </c>
      <c r="Q155" s="101">
        <v>721</v>
      </c>
      <c r="R155" s="101">
        <v>4552.59</v>
      </c>
      <c r="S155" s="101">
        <v>1889.5619999999999</v>
      </c>
      <c r="T155" s="133">
        <v>1.02</v>
      </c>
      <c r="U155" s="101">
        <f t="shared" si="21"/>
        <v>7.1400000000000006</v>
      </c>
      <c r="V155" s="101">
        <f t="shared" si="22"/>
        <v>8.16</v>
      </c>
      <c r="W155" s="101">
        <f t="shared" si="23"/>
        <v>735.42</v>
      </c>
      <c r="X155" s="101">
        <f t="shared" si="24"/>
        <v>4643.6418000000003</v>
      </c>
      <c r="Y155" s="101">
        <f t="shared" si="25"/>
        <v>1927.3532399999999</v>
      </c>
      <c r="AA155" s="101">
        <v>8</v>
      </c>
      <c r="AB155" s="101">
        <v>8</v>
      </c>
      <c r="AC155" s="101">
        <v>39</v>
      </c>
      <c r="AD155" s="101">
        <v>1174.0899999999999</v>
      </c>
      <c r="AE155" s="101">
        <v>164.16200000000001</v>
      </c>
      <c r="AF155" s="225"/>
      <c r="AG155" s="148"/>
      <c r="AH155" s="101">
        <v>30000</v>
      </c>
      <c r="AI155" s="101">
        <f t="shared" si="26"/>
        <v>24000</v>
      </c>
      <c r="AJ155" s="101">
        <f t="shared" si="27"/>
        <v>36000</v>
      </c>
    </row>
    <row r="156" spans="1:36" hidden="1" x14ac:dyDescent="0.3">
      <c r="A156" s="126" t="s">
        <v>174</v>
      </c>
      <c r="B156" s="126">
        <v>10</v>
      </c>
      <c r="C156" s="126">
        <v>66</v>
      </c>
      <c r="D156" s="126" t="str">
        <f t="shared" si="16"/>
        <v>1066</v>
      </c>
      <c r="J156" s="101">
        <v>5</v>
      </c>
      <c r="K156" s="101">
        <v>6</v>
      </c>
      <c r="L156" s="101">
        <v>93</v>
      </c>
      <c r="M156" s="101">
        <v>239.56</v>
      </c>
      <c r="N156" s="101">
        <v>131.36799999999999</v>
      </c>
      <c r="O156" s="101">
        <v>14</v>
      </c>
      <c r="P156" s="101">
        <v>20</v>
      </c>
      <c r="Q156" s="101">
        <v>2872</v>
      </c>
      <c r="R156" s="101">
        <v>59976.079999999994</v>
      </c>
      <c r="S156" s="101">
        <v>47608.152000000002</v>
      </c>
      <c r="T156" s="133">
        <v>1.02</v>
      </c>
      <c r="U156" s="101">
        <f t="shared" si="21"/>
        <v>14.280000000000001</v>
      </c>
      <c r="V156" s="101">
        <f t="shared" si="22"/>
        <v>20.399999999999999</v>
      </c>
      <c r="W156" s="101">
        <f t="shared" si="23"/>
        <v>2929.44</v>
      </c>
      <c r="X156" s="101">
        <f t="shared" si="24"/>
        <v>61175.601599999995</v>
      </c>
      <c r="Y156" s="101">
        <f t="shared" si="25"/>
        <v>48560.315040000001</v>
      </c>
      <c r="AA156" s="101">
        <v>34</v>
      </c>
      <c r="AB156" s="101">
        <v>80</v>
      </c>
      <c r="AC156" s="101">
        <v>18757</v>
      </c>
      <c r="AD156" s="101">
        <v>54642.9</v>
      </c>
      <c r="AE156" s="101">
        <v>18022.588</v>
      </c>
      <c r="AF156" s="225"/>
      <c r="AG156" s="148"/>
      <c r="AH156" s="101">
        <v>30000</v>
      </c>
      <c r="AI156" s="101">
        <f t="shared" si="26"/>
        <v>24000</v>
      </c>
      <c r="AJ156" s="101">
        <f t="shared" si="27"/>
        <v>36000</v>
      </c>
    </row>
    <row r="157" spans="1:36" x14ac:dyDescent="0.3">
      <c r="A157" s="126" t="s">
        <v>174</v>
      </c>
      <c r="B157" s="126">
        <v>10</v>
      </c>
      <c r="C157" s="126">
        <v>91</v>
      </c>
      <c r="D157" s="126" t="str">
        <f t="shared" si="16"/>
        <v>1091</v>
      </c>
      <c r="J157" s="101">
        <v>24</v>
      </c>
      <c r="K157" s="101">
        <v>152</v>
      </c>
      <c r="L157" s="101">
        <v>200</v>
      </c>
      <c r="M157" s="101">
        <v>3205.93</v>
      </c>
      <c r="N157" s="101">
        <v>1507.6190000000001</v>
      </c>
      <c r="O157" s="101">
        <v>1</v>
      </c>
      <c r="P157" s="101">
        <v>4</v>
      </c>
      <c r="Q157" s="101">
        <v>40</v>
      </c>
      <c r="R157" s="101">
        <v>0</v>
      </c>
      <c r="S157" s="101">
        <v>12.603</v>
      </c>
      <c r="T157" s="133">
        <v>1.02</v>
      </c>
      <c r="U157" s="101">
        <f t="shared" si="21"/>
        <v>1.02</v>
      </c>
      <c r="V157" s="101">
        <f t="shared" si="22"/>
        <v>4.08</v>
      </c>
      <c r="W157" s="101">
        <f t="shared" si="23"/>
        <v>40.799999999999997</v>
      </c>
      <c r="X157" s="101">
        <f t="shared" si="24"/>
        <v>0</v>
      </c>
      <c r="Y157" s="101">
        <f t="shared" si="25"/>
        <v>12.85506</v>
      </c>
      <c r="AA157" s="101">
        <v>6</v>
      </c>
      <c r="AB157" s="101">
        <v>58</v>
      </c>
      <c r="AC157" s="101">
        <v>136</v>
      </c>
      <c r="AD157" s="101">
        <v>1124.44</v>
      </c>
      <c r="AE157" s="101">
        <v>1501.0309999999999</v>
      </c>
      <c r="AF157" s="225"/>
      <c r="AG157" s="148"/>
      <c r="AH157" s="101">
        <v>30000</v>
      </c>
      <c r="AI157" s="101">
        <f t="shared" si="26"/>
        <v>24000</v>
      </c>
      <c r="AJ157" s="101">
        <f t="shared" si="27"/>
        <v>36000</v>
      </c>
    </row>
    <row r="158" spans="1:36" hidden="1" x14ac:dyDescent="0.3">
      <c r="A158" s="126" t="s">
        <v>174</v>
      </c>
      <c r="B158" s="126">
        <v>10</v>
      </c>
      <c r="C158" s="126">
        <v>34</v>
      </c>
      <c r="D158" s="126" t="str">
        <f t="shared" si="16"/>
        <v>1034</v>
      </c>
      <c r="O158" s="101">
        <v>1</v>
      </c>
      <c r="P158" s="101">
        <v>1</v>
      </c>
      <c r="Q158" s="101">
        <v>2</v>
      </c>
      <c r="R158" s="101">
        <v>112</v>
      </c>
      <c r="S158" s="101">
        <v>45.863999999999997</v>
      </c>
      <c r="T158" s="133">
        <v>1.02</v>
      </c>
      <c r="U158" s="101">
        <f t="shared" si="21"/>
        <v>1.02</v>
      </c>
      <c r="V158" s="101">
        <f t="shared" si="22"/>
        <v>1.02</v>
      </c>
      <c r="W158" s="101">
        <f t="shared" si="23"/>
        <v>2.04</v>
      </c>
      <c r="X158" s="101">
        <f t="shared" si="24"/>
        <v>114.24000000000001</v>
      </c>
      <c r="Y158" s="101">
        <f t="shared" si="25"/>
        <v>46.781279999999995</v>
      </c>
      <c r="AA158" s="101">
        <v>0</v>
      </c>
      <c r="AB158" s="101">
        <v>0</v>
      </c>
      <c r="AC158" s="101">
        <v>0</v>
      </c>
      <c r="AD158" s="101">
        <v>0</v>
      </c>
      <c r="AE158" s="101">
        <v>0</v>
      </c>
      <c r="AF158" s="225"/>
      <c r="AG158" s="148"/>
      <c r="AH158" s="101"/>
      <c r="AI158" s="101"/>
      <c r="AJ158" s="101"/>
    </row>
    <row r="159" spans="1:36" hidden="1" x14ac:dyDescent="0.3">
      <c r="A159" s="126" t="s">
        <v>174</v>
      </c>
      <c r="B159" s="126">
        <v>10</v>
      </c>
      <c r="C159" s="126">
        <v>41</v>
      </c>
      <c r="D159" s="126" t="str">
        <f t="shared" si="16"/>
        <v>1041</v>
      </c>
      <c r="O159" s="101">
        <v>2</v>
      </c>
      <c r="P159" s="101">
        <v>2</v>
      </c>
      <c r="Q159" s="101">
        <v>3</v>
      </c>
      <c r="R159" s="101">
        <v>128.11000000000001</v>
      </c>
      <c r="S159" s="101">
        <v>3.137</v>
      </c>
      <c r="T159" s="133">
        <v>1.02</v>
      </c>
      <c r="U159" s="101">
        <f t="shared" si="21"/>
        <v>2.04</v>
      </c>
      <c r="V159" s="101">
        <f t="shared" si="22"/>
        <v>2.04</v>
      </c>
      <c r="W159" s="101">
        <f t="shared" si="23"/>
        <v>3.06</v>
      </c>
      <c r="X159" s="101">
        <f t="shared" si="24"/>
        <v>130.6722</v>
      </c>
      <c r="Y159" s="101">
        <f t="shared" si="25"/>
        <v>3.1997400000000003</v>
      </c>
      <c r="AA159" s="101">
        <v>3</v>
      </c>
      <c r="AB159" s="101">
        <v>4</v>
      </c>
      <c r="AC159" s="101">
        <v>30</v>
      </c>
      <c r="AD159" s="101">
        <v>1092.76</v>
      </c>
      <c r="AE159" s="101">
        <v>166.04</v>
      </c>
      <c r="AF159" s="225"/>
      <c r="AG159" s="148"/>
      <c r="AH159" s="101"/>
      <c r="AI159" s="101"/>
      <c r="AJ159" s="101"/>
    </row>
    <row r="160" spans="1:36" hidden="1" x14ac:dyDescent="0.3">
      <c r="A160" s="126" t="s">
        <v>174</v>
      </c>
      <c r="B160" s="126">
        <v>10</v>
      </c>
      <c r="C160" s="126">
        <v>1</v>
      </c>
      <c r="D160" s="126" t="str">
        <f t="shared" si="16"/>
        <v>101</v>
      </c>
      <c r="J160" s="101">
        <v>190</v>
      </c>
      <c r="K160" s="101">
        <v>190</v>
      </c>
      <c r="L160" s="101">
        <v>67118</v>
      </c>
      <c r="M160" s="101">
        <v>0</v>
      </c>
      <c r="N160" s="101">
        <v>418722</v>
      </c>
      <c r="O160" s="101">
        <v>121</v>
      </c>
      <c r="P160" s="101">
        <v>121</v>
      </c>
      <c r="Q160" s="101">
        <v>44984</v>
      </c>
      <c r="S160" s="101">
        <v>327084.13799999992</v>
      </c>
      <c r="T160" s="133">
        <v>1.02</v>
      </c>
      <c r="U160" s="101">
        <f t="shared" si="21"/>
        <v>123.42</v>
      </c>
      <c r="V160" s="101">
        <f t="shared" si="22"/>
        <v>123.42</v>
      </c>
      <c r="W160" s="101">
        <f t="shared" si="23"/>
        <v>45883.68</v>
      </c>
      <c r="X160" s="101">
        <f t="shared" si="24"/>
        <v>0</v>
      </c>
      <c r="Y160" s="101">
        <f t="shared" si="25"/>
        <v>333625.82075999992</v>
      </c>
      <c r="AA160" s="101">
        <v>155</v>
      </c>
      <c r="AB160" s="101">
        <v>155</v>
      </c>
      <c r="AC160" s="101">
        <v>34770</v>
      </c>
      <c r="AE160" s="101">
        <v>170367.00599999999</v>
      </c>
      <c r="AF160" s="225"/>
      <c r="AG160" s="148"/>
      <c r="AH160" s="101">
        <v>30000</v>
      </c>
      <c r="AI160" s="101">
        <f t="shared" si="26"/>
        <v>24000</v>
      </c>
      <c r="AJ160" s="101">
        <f t="shared" si="27"/>
        <v>36000</v>
      </c>
    </row>
    <row r="161" spans="1:36" hidden="1" x14ac:dyDescent="0.3">
      <c r="A161" s="126" t="s">
        <v>174</v>
      </c>
      <c r="B161" s="126">
        <v>10</v>
      </c>
      <c r="C161" s="126">
        <v>37</v>
      </c>
      <c r="D161" s="126" t="str">
        <f t="shared" si="16"/>
        <v>1037</v>
      </c>
      <c r="E161" s="101">
        <v>13.25</v>
      </c>
      <c r="F161" s="101">
        <v>51.75</v>
      </c>
      <c r="G161" s="101">
        <v>2081.5</v>
      </c>
      <c r="H161" s="101">
        <v>20532.9025</v>
      </c>
      <c r="I161" s="101">
        <v>3507.4482500000004</v>
      </c>
      <c r="J161" s="101">
        <v>0</v>
      </c>
      <c r="K161" s="101">
        <v>0</v>
      </c>
      <c r="L161" s="101">
        <v>0</v>
      </c>
      <c r="M161" s="101">
        <v>0</v>
      </c>
      <c r="N161" s="101">
        <v>0</v>
      </c>
      <c r="O161" s="101">
        <v>0</v>
      </c>
      <c r="P161" s="101">
        <v>0</v>
      </c>
      <c r="Q161" s="101">
        <v>0</v>
      </c>
      <c r="R161" s="101">
        <v>0</v>
      </c>
      <c r="S161" s="101">
        <v>0</v>
      </c>
      <c r="T161" s="133">
        <v>1.02</v>
      </c>
      <c r="U161" s="101">
        <f t="shared" si="21"/>
        <v>0</v>
      </c>
      <c r="V161" s="101">
        <f t="shared" si="22"/>
        <v>0</v>
      </c>
      <c r="W161" s="101">
        <f t="shared" si="23"/>
        <v>0</v>
      </c>
      <c r="X161" s="101">
        <f t="shared" si="24"/>
        <v>0</v>
      </c>
      <c r="Y161" s="101">
        <f t="shared" si="25"/>
        <v>0</v>
      </c>
      <c r="AA161" s="101">
        <v>3</v>
      </c>
      <c r="AB161" s="101">
        <v>6</v>
      </c>
      <c r="AC161" s="101">
        <v>11431</v>
      </c>
      <c r="AD161" s="101">
        <v>5982.5</v>
      </c>
      <c r="AE161" s="101">
        <v>526.09500000000003</v>
      </c>
      <c r="AF161" s="225"/>
      <c r="AG161" s="148"/>
      <c r="AH161" s="101">
        <v>30000</v>
      </c>
      <c r="AI161" s="101">
        <f>(AH161/100)*80</f>
        <v>24000</v>
      </c>
      <c r="AJ161" s="101">
        <f>(AH161/100)*120</f>
        <v>36000</v>
      </c>
    </row>
    <row r="162" spans="1:36" hidden="1" x14ac:dyDescent="0.3">
      <c r="A162" s="126" t="s">
        <v>174</v>
      </c>
      <c r="B162" s="126">
        <v>11</v>
      </c>
      <c r="C162" s="126">
        <v>22</v>
      </c>
      <c r="D162" s="126" t="str">
        <f t="shared" si="16"/>
        <v>1122</v>
      </c>
      <c r="E162" s="101">
        <v>539</v>
      </c>
      <c r="F162" s="101">
        <v>5280</v>
      </c>
      <c r="G162" s="101">
        <v>59396</v>
      </c>
      <c r="H162" s="101">
        <v>190375.45</v>
      </c>
      <c r="I162" s="101">
        <v>147201.82199999999</v>
      </c>
      <c r="J162" s="101">
        <v>1090</v>
      </c>
      <c r="K162" s="101">
        <v>5230</v>
      </c>
      <c r="L162" s="101">
        <v>47659</v>
      </c>
      <c r="M162" s="101">
        <v>652480</v>
      </c>
      <c r="N162" s="101">
        <v>377510</v>
      </c>
      <c r="O162" s="101">
        <v>641</v>
      </c>
      <c r="P162" s="101">
        <v>4332</v>
      </c>
      <c r="Q162" s="101">
        <v>34015</v>
      </c>
      <c r="R162" s="101">
        <v>164154.61000000002</v>
      </c>
      <c r="S162" s="101">
        <v>105621.42000000001</v>
      </c>
      <c r="T162" s="133">
        <v>1.02</v>
      </c>
      <c r="U162" s="101">
        <f t="shared" si="21"/>
        <v>653.82000000000005</v>
      </c>
      <c r="V162" s="101">
        <f t="shared" si="22"/>
        <v>4418.6400000000003</v>
      </c>
      <c r="W162" s="101">
        <f t="shared" si="23"/>
        <v>34695.300000000003</v>
      </c>
      <c r="X162" s="101">
        <f t="shared" si="24"/>
        <v>167437.70220000003</v>
      </c>
      <c r="Y162" s="101">
        <f t="shared" si="25"/>
        <v>107733.84840000002</v>
      </c>
      <c r="AA162" s="101">
        <v>539</v>
      </c>
      <c r="AB162" s="101">
        <v>3517</v>
      </c>
      <c r="AC162" s="101">
        <v>24245</v>
      </c>
      <c r="AD162" s="101">
        <v>117740.83</v>
      </c>
      <c r="AE162" s="101">
        <v>82429.297000000006</v>
      </c>
      <c r="AF162" s="225">
        <f t="shared" ref="AF162" si="29">SUM(AB162:AB177)</f>
        <v>23017</v>
      </c>
      <c r="AG162" s="148"/>
      <c r="AH162" s="101">
        <v>30000</v>
      </c>
      <c r="AI162" s="101">
        <f>(AH162/100)*80</f>
        <v>24000</v>
      </c>
      <c r="AJ162" s="101">
        <f>(AH162/100)*120</f>
        <v>36000</v>
      </c>
    </row>
    <row r="163" spans="1:36" hidden="1" x14ac:dyDescent="0.3">
      <c r="A163" s="126" t="s">
        <v>174</v>
      </c>
      <c r="B163" s="126">
        <v>11</v>
      </c>
      <c r="C163" s="126">
        <v>25</v>
      </c>
      <c r="D163" s="126" t="str">
        <f t="shared" si="16"/>
        <v>1125</v>
      </c>
      <c r="E163" s="101">
        <v>357</v>
      </c>
      <c r="F163" s="101">
        <v>2532</v>
      </c>
      <c r="G163" s="101">
        <v>55145</v>
      </c>
      <c r="H163" s="101">
        <v>736277.80999999982</v>
      </c>
      <c r="I163" s="101">
        <v>290098.33</v>
      </c>
      <c r="J163" s="101">
        <v>237</v>
      </c>
      <c r="K163" s="101">
        <v>2337</v>
      </c>
      <c r="L163" s="101">
        <v>57888</v>
      </c>
      <c r="M163" s="101">
        <v>574577</v>
      </c>
      <c r="N163" s="101">
        <v>244417</v>
      </c>
      <c r="O163" s="101">
        <v>217</v>
      </c>
      <c r="P163" s="101">
        <v>1776</v>
      </c>
      <c r="Q163" s="101">
        <v>41292</v>
      </c>
      <c r="R163" s="101">
        <v>471595.56</v>
      </c>
      <c r="S163" s="101">
        <v>205087.416</v>
      </c>
      <c r="T163" s="133">
        <v>1.02</v>
      </c>
      <c r="U163" s="101">
        <f t="shared" si="21"/>
        <v>221.34</v>
      </c>
      <c r="V163" s="101">
        <f t="shared" si="22"/>
        <v>1811.52</v>
      </c>
      <c r="W163" s="101">
        <f t="shared" si="23"/>
        <v>42117.840000000004</v>
      </c>
      <c r="X163" s="101">
        <f t="shared" si="24"/>
        <v>481027.47120000003</v>
      </c>
      <c r="Y163" s="101">
        <f t="shared" si="25"/>
        <v>209189.16432000001</v>
      </c>
      <c r="AA163" s="101">
        <v>336</v>
      </c>
      <c r="AB163" s="101">
        <v>2623</v>
      </c>
      <c r="AC163" s="101">
        <v>65481</v>
      </c>
      <c r="AD163" s="101">
        <v>682112.81</v>
      </c>
      <c r="AE163" s="101">
        <v>433271.45299999998</v>
      </c>
      <c r="AF163" s="225"/>
      <c r="AG163" s="148"/>
      <c r="AH163" s="101">
        <v>30000</v>
      </c>
      <c r="AI163" s="101">
        <f>(AH163/100)*80</f>
        <v>24000</v>
      </c>
      <c r="AJ163" s="101">
        <f>(AH163/100)*120</f>
        <v>36000</v>
      </c>
    </row>
    <row r="164" spans="1:36" hidden="1" x14ac:dyDescent="0.3">
      <c r="A164" s="126" t="s">
        <v>174</v>
      </c>
      <c r="B164" s="126">
        <v>11</v>
      </c>
      <c r="C164" s="126">
        <v>27</v>
      </c>
      <c r="D164" s="126" t="str">
        <f t="shared" si="16"/>
        <v>1127</v>
      </c>
      <c r="E164" s="101">
        <v>43</v>
      </c>
      <c r="F164" s="101">
        <v>431</v>
      </c>
      <c r="G164" s="101">
        <v>3061</v>
      </c>
      <c r="H164" s="101">
        <v>37407.06</v>
      </c>
      <c r="I164" s="101">
        <v>16996.237000000001</v>
      </c>
      <c r="J164" s="101">
        <v>37</v>
      </c>
      <c r="K164" s="101">
        <v>240</v>
      </c>
      <c r="L164" s="101">
        <v>2054</v>
      </c>
      <c r="M164" s="101">
        <v>39806</v>
      </c>
      <c r="N164" s="101">
        <v>25627</v>
      </c>
      <c r="O164" s="101">
        <v>5</v>
      </c>
      <c r="P164" s="101">
        <v>33</v>
      </c>
      <c r="Q164" s="101">
        <v>408</v>
      </c>
      <c r="R164" s="101">
        <v>4995.9400000000005</v>
      </c>
      <c r="S164" s="101">
        <v>3013.4880000000003</v>
      </c>
      <c r="T164" s="133">
        <v>1.02</v>
      </c>
      <c r="U164" s="101">
        <f t="shared" si="21"/>
        <v>5.0999999999999996</v>
      </c>
      <c r="V164" s="101">
        <f t="shared" si="22"/>
        <v>33.660000000000004</v>
      </c>
      <c r="W164" s="101">
        <f t="shared" si="23"/>
        <v>416.16</v>
      </c>
      <c r="X164" s="101">
        <f t="shared" si="24"/>
        <v>5095.8588000000009</v>
      </c>
      <c r="Y164" s="101">
        <f t="shared" si="25"/>
        <v>3073.7577600000004</v>
      </c>
      <c r="AA164" s="101">
        <v>20</v>
      </c>
      <c r="AB164" s="101">
        <v>66</v>
      </c>
      <c r="AC164" s="101">
        <v>807</v>
      </c>
      <c r="AD164" s="101">
        <v>13191.32</v>
      </c>
      <c r="AE164" s="101">
        <v>7397.1819999999998</v>
      </c>
      <c r="AF164" s="225"/>
      <c r="AG164" s="148"/>
      <c r="AH164" s="101">
        <v>30000</v>
      </c>
      <c r="AI164" s="101">
        <f>(AH164/100)*80</f>
        <v>24000</v>
      </c>
      <c r="AJ164" s="101">
        <f>(AH164/100)*120</f>
        <v>36000</v>
      </c>
    </row>
    <row r="165" spans="1:36" hidden="1" x14ac:dyDescent="0.3">
      <c r="A165" s="126" t="s">
        <v>174</v>
      </c>
      <c r="B165" s="126">
        <v>11</v>
      </c>
      <c r="C165" s="126">
        <v>26</v>
      </c>
      <c r="D165" s="126" t="str">
        <f t="shared" si="16"/>
        <v>1126</v>
      </c>
      <c r="E165" s="101">
        <v>136</v>
      </c>
      <c r="F165" s="101">
        <v>2323</v>
      </c>
      <c r="G165" s="101">
        <v>67554</v>
      </c>
      <c r="H165" s="101">
        <v>873434.93000000017</v>
      </c>
      <c r="I165" s="101">
        <v>316820.95799999998</v>
      </c>
      <c r="J165" s="101">
        <v>94</v>
      </c>
      <c r="K165" s="101">
        <v>3071</v>
      </c>
      <c r="L165" s="101">
        <v>39706</v>
      </c>
      <c r="M165" s="101">
        <v>438429</v>
      </c>
      <c r="N165" s="101">
        <v>194002</v>
      </c>
      <c r="O165" s="101">
        <v>65</v>
      </c>
      <c r="P165" s="101">
        <v>1418</v>
      </c>
      <c r="Q165" s="101">
        <v>28573</v>
      </c>
      <c r="R165" s="101">
        <v>345007.14999999997</v>
      </c>
      <c r="S165" s="101">
        <v>134362.878</v>
      </c>
      <c r="T165" s="133">
        <v>1.02</v>
      </c>
      <c r="U165" s="101">
        <f t="shared" si="21"/>
        <v>66.3</v>
      </c>
      <c r="V165" s="101">
        <f t="shared" si="22"/>
        <v>1446.3600000000001</v>
      </c>
      <c r="W165" s="101">
        <f t="shared" si="23"/>
        <v>29144.46</v>
      </c>
      <c r="X165" s="101">
        <f t="shared" si="24"/>
        <v>351907.29299999995</v>
      </c>
      <c r="Y165" s="101">
        <f t="shared" si="25"/>
        <v>137050.13556</v>
      </c>
      <c r="AA165" s="101">
        <v>10</v>
      </c>
      <c r="AB165" s="101">
        <v>439</v>
      </c>
      <c r="AC165" s="101">
        <v>5106</v>
      </c>
      <c r="AD165" s="101">
        <v>79330.070000000007</v>
      </c>
      <c r="AE165" s="101">
        <v>24360.712</v>
      </c>
      <c r="AF165" s="225"/>
      <c r="AG165" s="148"/>
      <c r="AH165" s="101">
        <v>30000</v>
      </c>
      <c r="AI165" s="101">
        <f t="shared" ref="AI165:AI192" si="30">(AH165/100)*80</f>
        <v>24000</v>
      </c>
      <c r="AJ165" s="101">
        <f t="shared" ref="AJ165:AJ192" si="31">(AH165/100)*120</f>
        <v>36000</v>
      </c>
    </row>
    <row r="166" spans="1:36" hidden="1" x14ac:dyDescent="0.3">
      <c r="A166" s="126" t="s">
        <v>174</v>
      </c>
      <c r="B166" s="126">
        <v>11</v>
      </c>
      <c r="C166" s="126">
        <v>28</v>
      </c>
      <c r="D166" s="126" t="str">
        <f t="shared" si="16"/>
        <v>1128</v>
      </c>
      <c r="J166" s="101">
        <v>45</v>
      </c>
      <c r="K166" s="101">
        <v>114</v>
      </c>
      <c r="L166" s="101">
        <v>1463</v>
      </c>
      <c r="M166" s="101">
        <v>52082</v>
      </c>
      <c r="N166" s="101">
        <v>11578</v>
      </c>
      <c r="O166" s="101">
        <v>57</v>
      </c>
      <c r="P166" s="101">
        <v>909</v>
      </c>
      <c r="Q166" s="101">
        <v>4555</v>
      </c>
      <c r="R166" s="101">
        <v>95909.25</v>
      </c>
      <c r="S166" s="101">
        <v>21789.07</v>
      </c>
      <c r="T166" s="133">
        <v>1.02</v>
      </c>
      <c r="U166" s="101">
        <f t="shared" si="21"/>
        <v>58.14</v>
      </c>
      <c r="V166" s="101">
        <f t="shared" si="22"/>
        <v>927.18000000000006</v>
      </c>
      <c r="W166" s="101">
        <f t="shared" si="23"/>
        <v>4646.1000000000004</v>
      </c>
      <c r="X166" s="101">
        <f t="shared" si="24"/>
        <v>97827.434999999998</v>
      </c>
      <c r="Y166" s="101">
        <f t="shared" si="25"/>
        <v>22224.8514</v>
      </c>
      <c r="AA166" s="101">
        <v>51</v>
      </c>
      <c r="AB166" s="101">
        <v>209</v>
      </c>
      <c r="AC166" s="101">
        <v>2393</v>
      </c>
      <c r="AD166" s="101">
        <v>60274.31</v>
      </c>
      <c r="AE166" s="101">
        <v>23275.778999999999</v>
      </c>
      <c r="AF166" s="225"/>
      <c r="AG166" s="148"/>
      <c r="AH166" s="101">
        <v>30000</v>
      </c>
      <c r="AI166" s="101">
        <f t="shared" si="30"/>
        <v>24000</v>
      </c>
      <c r="AJ166" s="101">
        <f t="shared" si="31"/>
        <v>36000</v>
      </c>
    </row>
    <row r="167" spans="1:36" hidden="1" x14ac:dyDescent="0.3">
      <c r="A167" s="126" t="s">
        <v>174</v>
      </c>
      <c r="B167" s="126">
        <v>11</v>
      </c>
      <c r="C167" s="126">
        <v>32</v>
      </c>
      <c r="D167" s="126" t="str">
        <f t="shared" si="16"/>
        <v>1132</v>
      </c>
      <c r="E167" s="101">
        <v>918</v>
      </c>
      <c r="F167" s="101">
        <v>2060</v>
      </c>
      <c r="G167" s="101">
        <v>37701</v>
      </c>
      <c r="H167" s="101">
        <v>304012.94999999995</v>
      </c>
      <c r="I167" s="101">
        <v>201893.32800000001</v>
      </c>
      <c r="J167" s="101">
        <v>464</v>
      </c>
      <c r="K167" s="101">
        <v>2169</v>
      </c>
      <c r="L167" s="101">
        <v>32287</v>
      </c>
      <c r="M167" s="101">
        <v>249913</v>
      </c>
      <c r="N167" s="101">
        <v>213133</v>
      </c>
      <c r="O167" s="101">
        <v>203</v>
      </c>
      <c r="P167" s="101">
        <v>858</v>
      </c>
      <c r="Q167" s="101">
        <v>18922</v>
      </c>
      <c r="R167" s="101">
        <v>119928.56999999999</v>
      </c>
      <c r="S167" s="101">
        <v>93126.86099999999</v>
      </c>
      <c r="T167" s="133">
        <v>1.02</v>
      </c>
      <c r="U167" s="101">
        <f t="shared" si="21"/>
        <v>207.06</v>
      </c>
      <c r="V167" s="101">
        <f t="shared" si="22"/>
        <v>875.16</v>
      </c>
      <c r="W167" s="101">
        <f t="shared" si="23"/>
        <v>19300.439999999999</v>
      </c>
      <c r="X167" s="101">
        <f t="shared" si="24"/>
        <v>122327.14139999999</v>
      </c>
      <c r="Y167" s="101">
        <f t="shared" si="25"/>
        <v>94989.398219999988</v>
      </c>
      <c r="AA167" s="101">
        <v>321</v>
      </c>
      <c r="AB167" s="101">
        <v>1081</v>
      </c>
      <c r="AC167" s="101">
        <v>21768</v>
      </c>
      <c r="AD167" s="101">
        <v>144261.85</v>
      </c>
      <c r="AE167" s="101">
        <v>78922.841</v>
      </c>
      <c r="AF167" s="225"/>
      <c r="AG167" s="148"/>
      <c r="AH167" s="101">
        <v>30000</v>
      </c>
      <c r="AI167" s="101">
        <f t="shared" si="30"/>
        <v>24000</v>
      </c>
      <c r="AJ167" s="101">
        <f t="shared" si="31"/>
        <v>36000</v>
      </c>
    </row>
    <row r="168" spans="1:36" hidden="1" x14ac:dyDescent="0.3">
      <c r="A168" s="126" t="s">
        <v>174</v>
      </c>
      <c r="B168" s="126">
        <v>11</v>
      </c>
      <c r="C168" s="126">
        <v>21</v>
      </c>
      <c r="D168" s="126" t="str">
        <f t="shared" si="16"/>
        <v>1121</v>
      </c>
      <c r="E168" s="101">
        <v>1684</v>
      </c>
      <c r="F168" s="101">
        <v>5277.5</v>
      </c>
      <c r="G168" s="101">
        <v>21066.5</v>
      </c>
      <c r="H168" s="101">
        <v>333868.95</v>
      </c>
      <c r="I168" s="101">
        <v>87915.012000000017</v>
      </c>
      <c r="J168" s="101">
        <v>487</v>
      </c>
      <c r="K168" s="101">
        <v>4321</v>
      </c>
      <c r="L168" s="101">
        <v>16573</v>
      </c>
      <c r="M168" s="101">
        <v>194222</v>
      </c>
      <c r="N168" s="101">
        <v>62555</v>
      </c>
      <c r="O168" s="138"/>
      <c r="P168" s="138"/>
      <c r="Q168" s="138"/>
      <c r="R168" s="138"/>
      <c r="S168" s="138"/>
      <c r="T168" s="133">
        <v>1.02</v>
      </c>
      <c r="U168" s="101">
        <f t="shared" si="21"/>
        <v>0</v>
      </c>
      <c r="V168" s="101">
        <f t="shared" si="22"/>
        <v>0</v>
      </c>
      <c r="W168" s="101">
        <f t="shared" si="23"/>
        <v>0</v>
      </c>
      <c r="X168" s="101">
        <f t="shared" si="24"/>
        <v>0</v>
      </c>
      <c r="Y168" s="101">
        <f t="shared" si="25"/>
        <v>0</v>
      </c>
      <c r="AA168" s="101">
        <v>93</v>
      </c>
      <c r="AB168" s="101">
        <v>231</v>
      </c>
      <c r="AC168" s="101">
        <v>2952</v>
      </c>
      <c r="AD168" s="101">
        <v>73947.12</v>
      </c>
      <c r="AE168" s="101">
        <v>33283.396999999997</v>
      </c>
      <c r="AF168" s="225"/>
      <c r="AG168" s="148"/>
      <c r="AH168" s="101">
        <v>30000</v>
      </c>
      <c r="AI168" s="101">
        <f t="shared" si="30"/>
        <v>24000</v>
      </c>
      <c r="AJ168" s="101">
        <f t="shared" si="31"/>
        <v>36000</v>
      </c>
    </row>
    <row r="169" spans="1:36" hidden="1" x14ac:dyDescent="0.3">
      <c r="A169" s="126" t="s">
        <v>174</v>
      </c>
      <c r="B169" s="126">
        <v>11</v>
      </c>
      <c r="C169" s="126">
        <v>30</v>
      </c>
      <c r="D169" s="126" t="str">
        <f t="shared" si="16"/>
        <v>1130</v>
      </c>
      <c r="E169" s="101">
        <v>414</v>
      </c>
      <c r="F169" s="101">
        <v>3589</v>
      </c>
      <c r="G169" s="101">
        <v>14887</v>
      </c>
      <c r="H169" s="101">
        <v>342758.17</v>
      </c>
      <c r="I169" s="101">
        <v>122753.1355</v>
      </c>
      <c r="J169" s="101">
        <v>306</v>
      </c>
      <c r="K169" s="101">
        <v>5799</v>
      </c>
      <c r="L169" s="101">
        <v>22425</v>
      </c>
      <c r="M169" s="101">
        <v>467220</v>
      </c>
      <c r="N169" s="101">
        <v>133842</v>
      </c>
      <c r="O169" s="138">
        <v>493</v>
      </c>
      <c r="P169" s="138">
        <v>8413</v>
      </c>
      <c r="Q169" s="138">
        <v>33065</v>
      </c>
      <c r="R169" s="138">
        <v>821739.11</v>
      </c>
      <c r="S169" s="138">
        <v>247885.03100000002</v>
      </c>
      <c r="T169" s="133">
        <v>1.02</v>
      </c>
      <c r="U169" s="101">
        <f t="shared" si="21"/>
        <v>502.86</v>
      </c>
      <c r="V169" s="101">
        <f t="shared" si="22"/>
        <v>8581.26</v>
      </c>
      <c r="W169" s="101">
        <f t="shared" si="23"/>
        <v>33726.300000000003</v>
      </c>
      <c r="X169" s="101">
        <f t="shared" si="24"/>
        <v>838173.8922</v>
      </c>
      <c r="Y169" s="101">
        <f t="shared" si="25"/>
        <v>252842.73162000004</v>
      </c>
      <c r="AA169" s="101">
        <v>366</v>
      </c>
      <c r="AB169" s="101">
        <v>7955</v>
      </c>
      <c r="AC169" s="101">
        <v>31944</v>
      </c>
      <c r="AD169" s="101">
        <v>625986.47</v>
      </c>
      <c r="AE169" s="101">
        <v>167091.74799999999</v>
      </c>
      <c r="AF169" s="225"/>
      <c r="AG169" s="148"/>
      <c r="AH169" s="101">
        <v>30000</v>
      </c>
      <c r="AI169" s="101">
        <f t="shared" si="30"/>
        <v>24000</v>
      </c>
      <c r="AJ169" s="101">
        <f t="shared" si="31"/>
        <v>36000</v>
      </c>
    </row>
    <row r="170" spans="1:36" hidden="1" x14ac:dyDescent="0.3">
      <c r="A170" s="126" t="s">
        <v>174</v>
      </c>
      <c r="B170" s="126">
        <v>11</v>
      </c>
      <c r="C170" s="126">
        <v>46</v>
      </c>
      <c r="D170" s="126" t="str">
        <f t="shared" si="16"/>
        <v>1146</v>
      </c>
      <c r="J170" s="101">
        <v>28</v>
      </c>
      <c r="K170" s="101">
        <v>41</v>
      </c>
      <c r="L170" s="101">
        <v>590</v>
      </c>
      <c r="M170" s="101">
        <v>35367</v>
      </c>
      <c r="N170" s="101">
        <v>15510</v>
      </c>
      <c r="O170" s="101">
        <v>5</v>
      </c>
      <c r="P170" s="101">
        <v>5</v>
      </c>
      <c r="Q170" s="101">
        <v>21</v>
      </c>
      <c r="R170" s="101">
        <v>306.61</v>
      </c>
      <c r="S170" s="101">
        <v>71.736000000000004</v>
      </c>
      <c r="T170" s="133">
        <v>1.02</v>
      </c>
      <c r="U170" s="101">
        <f t="shared" si="21"/>
        <v>5.0999999999999996</v>
      </c>
      <c r="V170" s="101">
        <f t="shared" si="22"/>
        <v>5.0999999999999996</v>
      </c>
      <c r="W170" s="101">
        <f t="shared" si="23"/>
        <v>21.42</v>
      </c>
      <c r="X170" s="101">
        <f t="shared" si="24"/>
        <v>312.74220000000003</v>
      </c>
      <c r="Y170" s="101">
        <f t="shared" si="25"/>
        <v>73.170720000000003</v>
      </c>
      <c r="AA170" s="101">
        <v>3</v>
      </c>
      <c r="AB170" s="101">
        <v>4</v>
      </c>
      <c r="AC170" s="101">
        <v>7</v>
      </c>
      <c r="AD170" s="101">
        <v>76.650000000000006</v>
      </c>
      <c r="AE170" s="101">
        <v>12.157</v>
      </c>
      <c r="AF170" s="225"/>
      <c r="AG170" s="148"/>
      <c r="AH170" s="101">
        <v>30000</v>
      </c>
      <c r="AI170" s="101">
        <f t="shared" si="30"/>
        <v>24000</v>
      </c>
      <c r="AJ170" s="101">
        <f t="shared" si="31"/>
        <v>36000</v>
      </c>
    </row>
    <row r="171" spans="1:36" hidden="1" x14ac:dyDescent="0.3">
      <c r="A171" s="126" t="s">
        <v>174</v>
      </c>
      <c r="B171" s="126">
        <v>11</v>
      </c>
      <c r="C171" s="126">
        <v>66</v>
      </c>
      <c r="D171" s="126" t="str">
        <f t="shared" si="16"/>
        <v>1166</v>
      </c>
      <c r="J171" s="101">
        <v>7</v>
      </c>
      <c r="K171" s="101">
        <v>7</v>
      </c>
      <c r="L171" s="101">
        <v>59</v>
      </c>
      <c r="M171" s="101">
        <v>128</v>
      </c>
      <c r="N171" s="101">
        <v>157</v>
      </c>
      <c r="O171" s="101">
        <v>44</v>
      </c>
      <c r="P171" s="101">
        <v>69</v>
      </c>
      <c r="Q171" s="101">
        <v>3887</v>
      </c>
      <c r="R171" s="101">
        <v>31423.859999999997</v>
      </c>
      <c r="S171" s="101">
        <v>25996.52</v>
      </c>
      <c r="T171" s="133">
        <v>1.02</v>
      </c>
      <c r="U171" s="101">
        <f t="shared" si="21"/>
        <v>44.88</v>
      </c>
      <c r="V171" s="101">
        <f t="shared" si="22"/>
        <v>70.38</v>
      </c>
      <c r="W171" s="101">
        <f t="shared" si="23"/>
        <v>3964.7400000000002</v>
      </c>
      <c r="X171" s="101">
        <f t="shared" si="24"/>
        <v>32052.337199999998</v>
      </c>
      <c r="Y171" s="101">
        <f t="shared" si="25"/>
        <v>26516.450400000002</v>
      </c>
      <c r="AA171" s="101">
        <v>17</v>
      </c>
      <c r="AB171" s="101">
        <v>31</v>
      </c>
      <c r="AC171" s="101">
        <v>953</v>
      </c>
      <c r="AD171" s="101">
        <v>10979.23</v>
      </c>
      <c r="AE171" s="101">
        <v>3899.6819999999998</v>
      </c>
      <c r="AF171" s="225"/>
      <c r="AG171" s="148"/>
      <c r="AH171" s="101">
        <v>30000</v>
      </c>
      <c r="AI171" s="101">
        <f t="shared" si="30"/>
        <v>24000</v>
      </c>
      <c r="AJ171" s="101">
        <f t="shared" si="31"/>
        <v>36000</v>
      </c>
    </row>
    <row r="172" spans="1:36" x14ac:dyDescent="0.3">
      <c r="A172" s="126" t="s">
        <v>174</v>
      </c>
      <c r="B172" s="126">
        <v>11</v>
      </c>
      <c r="C172" s="126">
        <v>91</v>
      </c>
      <c r="D172" s="126" t="str">
        <f t="shared" si="16"/>
        <v>1191</v>
      </c>
      <c r="J172" s="101">
        <v>10</v>
      </c>
      <c r="K172" s="101">
        <v>58</v>
      </c>
      <c r="L172" s="101">
        <v>459</v>
      </c>
      <c r="M172" s="101">
        <v>1946</v>
      </c>
      <c r="N172" s="101">
        <v>921</v>
      </c>
      <c r="O172" s="101">
        <v>5</v>
      </c>
      <c r="P172" s="101">
        <v>5</v>
      </c>
      <c r="Q172" s="101">
        <v>809</v>
      </c>
      <c r="R172" s="101">
        <v>13.84</v>
      </c>
      <c r="S172" s="101">
        <v>1135.9859999999999</v>
      </c>
      <c r="T172" s="133">
        <v>1.02</v>
      </c>
      <c r="U172" s="101">
        <f t="shared" si="21"/>
        <v>5.0999999999999996</v>
      </c>
      <c r="V172" s="101">
        <f t="shared" si="22"/>
        <v>5.0999999999999996</v>
      </c>
      <c r="W172" s="101">
        <f t="shared" si="23"/>
        <v>825.18000000000006</v>
      </c>
      <c r="X172" s="101">
        <f t="shared" si="24"/>
        <v>14.1168</v>
      </c>
      <c r="Y172" s="101">
        <f t="shared" si="25"/>
        <v>1158.7057199999999</v>
      </c>
      <c r="AA172" s="101">
        <v>6</v>
      </c>
      <c r="AB172" s="101">
        <v>12</v>
      </c>
      <c r="AC172" s="101">
        <v>48</v>
      </c>
      <c r="AD172" s="101">
        <v>474.09</v>
      </c>
      <c r="AE172" s="101">
        <v>245.53399999999999</v>
      </c>
      <c r="AF172" s="225"/>
      <c r="AG172" s="148"/>
      <c r="AH172" s="101">
        <v>30000</v>
      </c>
      <c r="AI172" s="101">
        <f t="shared" si="30"/>
        <v>24000</v>
      </c>
      <c r="AJ172" s="101">
        <f t="shared" si="31"/>
        <v>36000</v>
      </c>
    </row>
    <row r="173" spans="1:36" hidden="1" x14ac:dyDescent="0.3">
      <c r="A173" s="126" t="s">
        <v>174</v>
      </c>
      <c r="B173" s="126">
        <v>11</v>
      </c>
      <c r="C173" s="126">
        <v>71</v>
      </c>
      <c r="D173" s="126" t="str">
        <f t="shared" si="16"/>
        <v>1171</v>
      </c>
      <c r="E173" s="101">
        <v>833</v>
      </c>
      <c r="F173" s="101">
        <v>6691.5</v>
      </c>
      <c r="G173" s="101">
        <v>24925.5</v>
      </c>
      <c r="H173" s="101">
        <v>179654.23499999999</v>
      </c>
      <c r="I173" s="101">
        <v>88363.660999999993</v>
      </c>
      <c r="J173" s="101">
        <v>634</v>
      </c>
      <c r="K173" s="101">
        <v>6245</v>
      </c>
      <c r="L173" s="101">
        <v>22775</v>
      </c>
      <c r="M173" s="101">
        <v>175920</v>
      </c>
      <c r="N173" s="101">
        <v>84899</v>
      </c>
      <c r="O173" s="101">
        <v>463</v>
      </c>
      <c r="P173" s="101">
        <v>9055</v>
      </c>
      <c r="Q173" s="101">
        <v>29503</v>
      </c>
      <c r="R173" s="101">
        <v>252646.81000000003</v>
      </c>
      <c r="S173" s="101">
        <v>111124.56599999998</v>
      </c>
      <c r="T173" s="140">
        <v>1.5</v>
      </c>
      <c r="U173" s="101">
        <f t="shared" si="21"/>
        <v>694.5</v>
      </c>
      <c r="V173" s="101">
        <f>P173*T173</f>
        <v>13582.5</v>
      </c>
      <c r="W173" s="101">
        <f t="shared" si="23"/>
        <v>44254.5</v>
      </c>
      <c r="X173" s="101">
        <f t="shared" si="24"/>
        <v>378970.21500000003</v>
      </c>
      <c r="Y173" s="101">
        <f t="shared" si="25"/>
        <v>166686.84899999996</v>
      </c>
      <c r="AA173" s="101">
        <v>223</v>
      </c>
      <c r="AB173" s="101">
        <v>6706</v>
      </c>
      <c r="AC173" s="101">
        <v>20955</v>
      </c>
      <c r="AD173" s="101">
        <v>187195.64</v>
      </c>
      <c r="AE173" s="101">
        <v>96164.691999999995</v>
      </c>
      <c r="AF173" s="225"/>
      <c r="AG173" s="148"/>
      <c r="AH173" s="101">
        <v>30000</v>
      </c>
      <c r="AI173" s="101">
        <f t="shared" si="30"/>
        <v>24000</v>
      </c>
      <c r="AJ173" s="101">
        <f t="shared" si="31"/>
        <v>36000</v>
      </c>
    </row>
    <row r="174" spans="1:36" hidden="1" x14ac:dyDescent="0.3">
      <c r="A174" s="126" t="s">
        <v>174</v>
      </c>
      <c r="B174" s="126">
        <v>11</v>
      </c>
      <c r="C174" s="126">
        <v>12</v>
      </c>
      <c r="D174" s="126" t="str">
        <f t="shared" si="16"/>
        <v>1112</v>
      </c>
      <c r="O174" s="101">
        <v>1</v>
      </c>
      <c r="P174" s="101">
        <v>1</v>
      </c>
      <c r="Q174" s="101">
        <v>1</v>
      </c>
      <c r="R174" s="101">
        <v>0</v>
      </c>
      <c r="S174" s="101">
        <v>7.29</v>
      </c>
      <c r="T174" s="133">
        <v>1.02</v>
      </c>
      <c r="U174" s="101">
        <f t="shared" si="21"/>
        <v>1.02</v>
      </c>
      <c r="V174" s="101">
        <f t="shared" si="22"/>
        <v>1.02</v>
      </c>
      <c r="W174" s="101">
        <f t="shared" si="23"/>
        <v>1.02</v>
      </c>
      <c r="X174" s="101">
        <f t="shared" si="24"/>
        <v>0</v>
      </c>
      <c r="Y174" s="101">
        <f t="shared" si="25"/>
        <v>7.4358000000000004</v>
      </c>
      <c r="AA174" s="101">
        <v>0</v>
      </c>
      <c r="AB174" s="101">
        <v>0</v>
      </c>
      <c r="AC174" s="101">
        <v>0</v>
      </c>
      <c r="AD174" s="101">
        <v>0</v>
      </c>
      <c r="AE174" s="101">
        <v>0</v>
      </c>
      <c r="AF174" s="225"/>
      <c r="AG174" s="148"/>
      <c r="AH174" s="101"/>
      <c r="AI174" s="101"/>
      <c r="AJ174" s="101"/>
    </row>
    <row r="175" spans="1:36" hidden="1" x14ac:dyDescent="0.3">
      <c r="A175" s="126" t="s">
        <v>174</v>
      </c>
      <c r="B175" s="126">
        <v>11</v>
      </c>
      <c r="C175" s="126">
        <v>41</v>
      </c>
      <c r="D175" s="126" t="str">
        <f t="shared" si="16"/>
        <v>1141</v>
      </c>
      <c r="O175" s="101">
        <v>4</v>
      </c>
      <c r="P175" s="101">
        <v>15</v>
      </c>
      <c r="Q175" s="101">
        <v>142</v>
      </c>
      <c r="R175" s="101">
        <v>938.6</v>
      </c>
      <c r="S175" s="101">
        <v>391.84800000000001</v>
      </c>
      <c r="T175" s="133">
        <v>1.02</v>
      </c>
      <c r="U175" s="101">
        <f t="shared" si="21"/>
        <v>4.08</v>
      </c>
      <c r="V175" s="101">
        <f t="shared" si="22"/>
        <v>15.3</v>
      </c>
      <c r="W175" s="101">
        <f t="shared" si="23"/>
        <v>144.84</v>
      </c>
      <c r="X175" s="101">
        <f t="shared" si="24"/>
        <v>957.37200000000007</v>
      </c>
      <c r="Y175" s="101">
        <f t="shared" si="25"/>
        <v>399.68496000000005</v>
      </c>
      <c r="AA175" s="101">
        <v>7</v>
      </c>
      <c r="AB175" s="101">
        <v>7</v>
      </c>
      <c r="AC175" s="101">
        <v>56</v>
      </c>
      <c r="AD175" s="101">
        <v>773.49</v>
      </c>
      <c r="AE175" s="101">
        <v>189.26300000000001</v>
      </c>
      <c r="AF175" s="225"/>
      <c r="AG175" s="148"/>
      <c r="AH175" s="101"/>
      <c r="AI175" s="101"/>
      <c r="AJ175" s="101"/>
    </row>
    <row r="176" spans="1:36" hidden="1" x14ac:dyDescent="0.3">
      <c r="A176" s="126" t="s">
        <v>174</v>
      </c>
      <c r="B176" s="126">
        <v>11</v>
      </c>
      <c r="C176" s="126">
        <v>1</v>
      </c>
      <c r="D176" s="126" t="str">
        <f t="shared" si="16"/>
        <v>111</v>
      </c>
      <c r="J176" s="101">
        <v>121</v>
      </c>
      <c r="K176" s="101">
        <v>121</v>
      </c>
      <c r="L176" s="101">
        <v>60599</v>
      </c>
      <c r="M176" s="101">
        <v>0</v>
      </c>
      <c r="N176" s="101">
        <v>399477</v>
      </c>
      <c r="O176" s="101">
        <v>140</v>
      </c>
      <c r="P176" s="101">
        <v>140</v>
      </c>
      <c r="Q176" s="101">
        <v>46497</v>
      </c>
      <c r="S176" s="101">
        <v>185857</v>
      </c>
      <c r="T176" s="133">
        <v>1.02</v>
      </c>
      <c r="U176" s="101">
        <f t="shared" si="21"/>
        <v>142.80000000000001</v>
      </c>
      <c r="V176" s="101">
        <f t="shared" si="22"/>
        <v>142.80000000000001</v>
      </c>
      <c r="W176" s="101">
        <f t="shared" si="23"/>
        <v>47426.94</v>
      </c>
      <c r="X176" s="101">
        <f t="shared" si="24"/>
        <v>0</v>
      </c>
      <c r="Y176" s="101">
        <f t="shared" si="25"/>
        <v>189574.14</v>
      </c>
      <c r="AA176" s="101">
        <v>107</v>
      </c>
      <c r="AB176" s="101">
        <v>132</v>
      </c>
      <c r="AC176" s="101">
        <v>27756</v>
      </c>
      <c r="AE176" s="101">
        <v>111270.959</v>
      </c>
      <c r="AF176" s="225"/>
      <c r="AG176" s="148"/>
      <c r="AH176" s="101">
        <v>30000</v>
      </c>
      <c r="AI176" s="101">
        <f t="shared" si="30"/>
        <v>24000</v>
      </c>
      <c r="AJ176" s="101">
        <f t="shared" si="31"/>
        <v>36000</v>
      </c>
    </row>
    <row r="177" spans="1:36" hidden="1" x14ac:dyDescent="0.3">
      <c r="A177" s="126" t="s">
        <v>174</v>
      </c>
      <c r="B177" s="126">
        <v>11</v>
      </c>
      <c r="C177" s="126">
        <v>37</v>
      </c>
      <c r="D177" s="126" t="str">
        <f t="shared" si="16"/>
        <v>1137</v>
      </c>
      <c r="E177" s="101">
        <v>9</v>
      </c>
      <c r="F177" s="101">
        <v>22.75</v>
      </c>
      <c r="G177" s="101">
        <v>1453.25</v>
      </c>
      <c r="H177" s="101">
        <v>21461.055</v>
      </c>
      <c r="I177" s="101">
        <v>1079.9402500000001</v>
      </c>
      <c r="J177" s="101">
        <v>1</v>
      </c>
      <c r="K177" s="101">
        <v>37</v>
      </c>
      <c r="L177" s="101">
        <v>1522</v>
      </c>
      <c r="M177" s="101">
        <v>15068</v>
      </c>
      <c r="N177" s="101">
        <v>6193</v>
      </c>
      <c r="O177" s="101">
        <v>3</v>
      </c>
      <c r="P177" s="101">
        <v>5</v>
      </c>
      <c r="Q177" s="101">
        <v>80</v>
      </c>
      <c r="R177" s="101">
        <v>210.05</v>
      </c>
      <c r="S177" s="101">
        <v>92.769000000000005</v>
      </c>
      <c r="T177" s="133">
        <v>1.02</v>
      </c>
      <c r="U177" s="101">
        <f t="shared" si="21"/>
        <v>3.06</v>
      </c>
      <c r="V177" s="101">
        <f t="shared" si="22"/>
        <v>5.0999999999999996</v>
      </c>
      <c r="W177" s="101">
        <f t="shared" si="23"/>
        <v>81.599999999999994</v>
      </c>
      <c r="X177" s="101">
        <f t="shared" si="24"/>
        <v>214.251</v>
      </c>
      <c r="Y177" s="101">
        <f t="shared" si="25"/>
        <v>94.624380000000002</v>
      </c>
      <c r="AA177" s="101">
        <v>2</v>
      </c>
      <c r="AB177" s="101">
        <v>4</v>
      </c>
      <c r="AC177" s="101">
        <v>14942</v>
      </c>
      <c r="AD177" s="101">
        <v>8086.04</v>
      </c>
      <c r="AE177" s="101">
        <v>991.41</v>
      </c>
      <c r="AF177" s="225"/>
      <c r="AG177" s="148"/>
      <c r="AH177" s="101">
        <v>30000</v>
      </c>
      <c r="AI177" s="101">
        <f t="shared" si="30"/>
        <v>24000</v>
      </c>
      <c r="AJ177" s="101">
        <f t="shared" si="31"/>
        <v>36000</v>
      </c>
    </row>
    <row r="178" spans="1:36" hidden="1" x14ac:dyDescent="0.3">
      <c r="A178" s="126" t="s">
        <v>174</v>
      </c>
      <c r="B178" s="126">
        <v>12</v>
      </c>
      <c r="C178" s="126">
        <v>22</v>
      </c>
      <c r="D178" s="126" t="str">
        <f t="shared" si="16"/>
        <v>1222</v>
      </c>
      <c r="E178" s="101">
        <v>658</v>
      </c>
      <c r="F178" s="101">
        <v>3149</v>
      </c>
      <c r="G178" s="101">
        <v>35574</v>
      </c>
      <c r="H178" s="101">
        <v>174661.56000000003</v>
      </c>
      <c r="I178" s="101">
        <v>128999.803</v>
      </c>
      <c r="J178" s="101">
        <v>518</v>
      </c>
      <c r="K178" s="101">
        <v>4049</v>
      </c>
      <c r="L178" s="101">
        <v>34371</v>
      </c>
      <c r="M178" s="101">
        <v>202336.06</v>
      </c>
      <c r="N178" s="101">
        <v>125195.065</v>
      </c>
      <c r="O178" s="101">
        <v>715</v>
      </c>
      <c r="P178" s="101">
        <v>4341</v>
      </c>
      <c r="Q178" s="101">
        <v>29506</v>
      </c>
      <c r="R178" s="101">
        <v>167558.81999999998</v>
      </c>
      <c r="S178" s="101">
        <v>115967.17</v>
      </c>
      <c r="T178" s="133">
        <v>1.02</v>
      </c>
      <c r="U178" s="101">
        <f t="shared" si="21"/>
        <v>729.30000000000007</v>
      </c>
      <c r="V178" s="101">
        <f t="shared" si="22"/>
        <v>4427.82</v>
      </c>
      <c r="W178" s="101">
        <f t="shared" si="23"/>
        <v>30096.12</v>
      </c>
      <c r="X178" s="101">
        <f t="shared" si="24"/>
        <v>170909.99639999997</v>
      </c>
      <c r="Y178" s="101">
        <f t="shared" si="25"/>
        <v>118286.5134</v>
      </c>
      <c r="AA178" s="101">
        <v>418</v>
      </c>
      <c r="AB178" s="101">
        <v>3367</v>
      </c>
      <c r="AC178" s="101">
        <v>42065</v>
      </c>
      <c r="AD178" s="101">
        <v>208716.14</v>
      </c>
      <c r="AE178" s="101">
        <v>157111.61900000001</v>
      </c>
      <c r="AF178" s="225">
        <f>SUM(AB178:AB192)</f>
        <v>30999</v>
      </c>
      <c r="AG178" s="148"/>
      <c r="AH178" s="101">
        <v>30000</v>
      </c>
      <c r="AI178" s="101">
        <f t="shared" si="30"/>
        <v>24000</v>
      </c>
      <c r="AJ178" s="101">
        <f t="shared" si="31"/>
        <v>36000</v>
      </c>
    </row>
    <row r="179" spans="1:36" hidden="1" x14ac:dyDescent="0.3">
      <c r="A179" s="126" t="s">
        <v>174</v>
      </c>
      <c r="B179" s="126">
        <v>12</v>
      </c>
      <c r="C179" s="126">
        <v>25</v>
      </c>
      <c r="D179" s="126" t="str">
        <f t="shared" si="16"/>
        <v>1225</v>
      </c>
      <c r="E179" s="101">
        <v>302</v>
      </c>
      <c r="F179" s="101">
        <v>1885</v>
      </c>
      <c r="G179" s="101">
        <v>56890</v>
      </c>
      <c r="H179" s="101">
        <v>489497.62999999995</v>
      </c>
      <c r="I179" s="101">
        <v>199303.34599999999</v>
      </c>
      <c r="J179" s="101">
        <v>204</v>
      </c>
      <c r="K179" s="101">
        <v>1975</v>
      </c>
      <c r="L179" s="101">
        <v>36115</v>
      </c>
      <c r="M179" s="101">
        <v>502381.22</v>
      </c>
      <c r="N179" s="101">
        <v>216480.02299999999</v>
      </c>
      <c r="O179" s="101">
        <v>224</v>
      </c>
      <c r="P179" s="101">
        <v>1952</v>
      </c>
      <c r="Q179" s="101">
        <v>53605</v>
      </c>
      <c r="R179" s="101">
        <v>664801.1100000001</v>
      </c>
      <c r="S179" s="101">
        <v>323096.91899999999</v>
      </c>
      <c r="T179" s="133">
        <v>1.02</v>
      </c>
      <c r="U179" s="101">
        <f t="shared" si="21"/>
        <v>228.48000000000002</v>
      </c>
      <c r="V179" s="101">
        <f t="shared" si="22"/>
        <v>1991.04</v>
      </c>
      <c r="W179" s="101">
        <f t="shared" si="23"/>
        <v>54677.1</v>
      </c>
      <c r="X179" s="101">
        <f t="shared" si="24"/>
        <v>678097.13220000011</v>
      </c>
      <c r="Y179" s="101">
        <f t="shared" si="25"/>
        <v>329558.85738</v>
      </c>
      <c r="AA179" s="101">
        <v>398</v>
      </c>
      <c r="AB179" s="101">
        <v>4089</v>
      </c>
      <c r="AC179" s="101">
        <v>49186</v>
      </c>
      <c r="AD179" s="101">
        <v>568935.92000000004</v>
      </c>
      <c r="AE179" s="101">
        <v>255849.84299999999</v>
      </c>
      <c r="AF179" s="225"/>
      <c r="AG179" s="148"/>
      <c r="AH179" s="101">
        <v>30000</v>
      </c>
      <c r="AI179" s="101">
        <f t="shared" si="30"/>
        <v>24000</v>
      </c>
      <c r="AJ179" s="101">
        <f t="shared" si="31"/>
        <v>36000</v>
      </c>
    </row>
    <row r="180" spans="1:36" hidden="1" x14ac:dyDescent="0.3">
      <c r="A180" s="126" t="s">
        <v>174</v>
      </c>
      <c r="B180" s="126">
        <v>12</v>
      </c>
      <c r="C180" s="126">
        <v>27</v>
      </c>
      <c r="D180" s="126" t="str">
        <f t="shared" ref="D180:D297" si="32">CONCATENATE(B180,C180)</f>
        <v>1227</v>
      </c>
      <c r="E180" s="101">
        <v>44</v>
      </c>
      <c r="F180" s="101">
        <v>401.5</v>
      </c>
      <c r="G180" s="101">
        <v>3564</v>
      </c>
      <c r="H180" s="101">
        <v>32466.38</v>
      </c>
      <c r="I180" s="101">
        <v>12778.447</v>
      </c>
      <c r="J180" s="101">
        <v>17</v>
      </c>
      <c r="K180" s="101">
        <v>163</v>
      </c>
      <c r="L180" s="101">
        <v>994</v>
      </c>
      <c r="M180" s="101">
        <v>5902.39</v>
      </c>
      <c r="N180" s="101">
        <v>2348.2310000000002</v>
      </c>
      <c r="O180" s="101">
        <v>5</v>
      </c>
      <c r="P180" s="101">
        <v>38</v>
      </c>
      <c r="Q180" s="101">
        <v>322</v>
      </c>
      <c r="R180" s="101">
        <v>5369.28</v>
      </c>
      <c r="S180" s="101">
        <v>2167.5619999999999</v>
      </c>
      <c r="T180" s="133">
        <v>1.02</v>
      </c>
      <c r="U180" s="101">
        <f t="shared" si="21"/>
        <v>5.0999999999999996</v>
      </c>
      <c r="V180" s="101">
        <f t="shared" si="22"/>
        <v>38.76</v>
      </c>
      <c r="W180" s="101">
        <f t="shared" si="23"/>
        <v>328.44</v>
      </c>
      <c r="X180" s="101">
        <f t="shared" si="24"/>
        <v>5476.6656000000003</v>
      </c>
      <c r="Y180" s="101">
        <f t="shared" si="25"/>
        <v>2210.9132399999999</v>
      </c>
      <c r="AA180" s="101">
        <v>20</v>
      </c>
      <c r="AB180" s="101">
        <v>48</v>
      </c>
      <c r="AC180" s="101">
        <v>328</v>
      </c>
      <c r="AD180" s="101">
        <v>8318.16</v>
      </c>
      <c r="AE180" s="101">
        <v>2673.605</v>
      </c>
      <c r="AF180" s="225"/>
      <c r="AG180" s="148"/>
      <c r="AH180" s="101">
        <v>30000</v>
      </c>
      <c r="AI180" s="101">
        <f t="shared" si="30"/>
        <v>24000</v>
      </c>
      <c r="AJ180" s="101">
        <f t="shared" si="31"/>
        <v>36000</v>
      </c>
    </row>
    <row r="181" spans="1:36" hidden="1" x14ac:dyDescent="0.3">
      <c r="A181" s="126" t="s">
        <v>174</v>
      </c>
      <c r="B181" s="126">
        <v>12</v>
      </c>
      <c r="C181" s="126">
        <v>28</v>
      </c>
      <c r="D181" s="126" t="str">
        <f t="shared" si="32"/>
        <v>1228</v>
      </c>
      <c r="J181" s="101">
        <v>37</v>
      </c>
      <c r="K181" s="101">
        <v>59</v>
      </c>
      <c r="L181" s="101">
        <v>342</v>
      </c>
      <c r="M181" s="101">
        <v>12301.04</v>
      </c>
      <c r="N181" s="101">
        <v>3975.864</v>
      </c>
      <c r="O181" s="101">
        <v>57</v>
      </c>
      <c r="P181" s="101">
        <v>576</v>
      </c>
      <c r="Q181" s="101">
        <v>4159</v>
      </c>
      <c r="R181" s="101">
        <v>72058.48000000001</v>
      </c>
      <c r="S181" s="101">
        <v>22301.473999999998</v>
      </c>
      <c r="T181" s="133">
        <v>1.02</v>
      </c>
      <c r="U181" s="101">
        <f t="shared" si="21"/>
        <v>58.14</v>
      </c>
      <c r="V181" s="101">
        <f t="shared" si="22"/>
        <v>587.52</v>
      </c>
      <c r="W181" s="101">
        <f t="shared" si="23"/>
        <v>4242.18</v>
      </c>
      <c r="X181" s="101">
        <f t="shared" si="24"/>
        <v>73499.649600000019</v>
      </c>
      <c r="Y181" s="101">
        <f t="shared" si="25"/>
        <v>22747.503479999999</v>
      </c>
      <c r="AA181" s="101">
        <v>99</v>
      </c>
      <c r="AB181" s="101">
        <v>221</v>
      </c>
      <c r="AC181" s="101">
        <v>2044</v>
      </c>
      <c r="AD181" s="101">
        <v>36933.699999999997</v>
      </c>
      <c r="AE181" s="101">
        <v>6648.1959999999999</v>
      </c>
      <c r="AF181" s="225"/>
      <c r="AG181" s="148"/>
      <c r="AH181" s="101">
        <v>30000</v>
      </c>
      <c r="AI181" s="101">
        <f t="shared" si="30"/>
        <v>24000</v>
      </c>
      <c r="AJ181" s="101">
        <f t="shared" si="31"/>
        <v>36000</v>
      </c>
    </row>
    <row r="182" spans="1:36" hidden="1" x14ac:dyDescent="0.3">
      <c r="A182" s="126" t="s">
        <v>174</v>
      </c>
      <c r="B182" s="126">
        <v>12</v>
      </c>
      <c r="C182" s="126">
        <v>26</v>
      </c>
      <c r="D182" s="126" t="str">
        <f t="shared" si="32"/>
        <v>1226</v>
      </c>
      <c r="E182" s="101">
        <v>116</v>
      </c>
      <c r="F182" s="101">
        <v>2297</v>
      </c>
      <c r="G182" s="101">
        <v>55189</v>
      </c>
      <c r="H182" s="101">
        <v>377799.23</v>
      </c>
      <c r="I182" s="101">
        <v>156987.96900000001</v>
      </c>
      <c r="J182" s="101">
        <v>87</v>
      </c>
      <c r="K182" s="101">
        <v>1382</v>
      </c>
      <c r="L182" s="101">
        <v>51795</v>
      </c>
      <c r="M182" s="101">
        <v>525287.1</v>
      </c>
      <c r="N182" s="101">
        <v>282662.27500000002</v>
      </c>
      <c r="O182" s="101">
        <v>47</v>
      </c>
      <c r="P182" s="101">
        <v>940</v>
      </c>
      <c r="Q182" s="101">
        <v>18416</v>
      </c>
      <c r="R182" s="101">
        <v>249564.64000000004</v>
      </c>
      <c r="S182" s="101">
        <v>108510.773</v>
      </c>
      <c r="T182" s="133">
        <v>1.02</v>
      </c>
      <c r="U182" s="101">
        <f t="shared" si="21"/>
        <v>47.94</v>
      </c>
      <c r="V182" s="101">
        <f t="shared" si="22"/>
        <v>958.80000000000007</v>
      </c>
      <c r="W182" s="101">
        <f t="shared" si="23"/>
        <v>18784.32</v>
      </c>
      <c r="X182" s="101">
        <f t="shared" si="24"/>
        <v>254555.93280000004</v>
      </c>
      <c r="Y182" s="101">
        <f t="shared" si="25"/>
        <v>110680.98846000001</v>
      </c>
      <c r="AA182" s="101">
        <v>28</v>
      </c>
      <c r="AB182" s="101">
        <v>1266</v>
      </c>
      <c r="AC182" s="101">
        <v>20866</v>
      </c>
      <c r="AD182" s="101">
        <v>322950.28000000003</v>
      </c>
      <c r="AE182" s="101">
        <v>107447.245</v>
      </c>
      <c r="AF182" s="225"/>
      <c r="AG182" s="148"/>
      <c r="AH182" s="101">
        <v>30000</v>
      </c>
      <c r="AI182" s="101">
        <f t="shared" si="30"/>
        <v>24000</v>
      </c>
      <c r="AJ182" s="101">
        <f t="shared" si="31"/>
        <v>36000</v>
      </c>
    </row>
    <row r="183" spans="1:36" hidden="1" x14ac:dyDescent="0.3">
      <c r="A183" s="126" t="s">
        <v>174</v>
      </c>
      <c r="B183" s="126">
        <v>12</v>
      </c>
      <c r="C183" s="126">
        <v>32</v>
      </c>
      <c r="D183" s="126" t="str">
        <f t="shared" si="32"/>
        <v>1232</v>
      </c>
      <c r="E183" s="101">
        <v>740</v>
      </c>
      <c r="F183" s="101">
        <v>2455</v>
      </c>
      <c r="G183" s="101">
        <v>48567</v>
      </c>
      <c r="H183" s="101">
        <v>598321.65</v>
      </c>
      <c r="I183" s="101">
        <v>177843.18299999999</v>
      </c>
      <c r="J183" s="101">
        <v>341</v>
      </c>
      <c r="K183" s="101">
        <v>969</v>
      </c>
      <c r="L183" s="101">
        <v>18724</v>
      </c>
      <c r="M183" s="101">
        <v>221547.5</v>
      </c>
      <c r="N183" s="101">
        <v>112715.944</v>
      </c>
      <c r="O183" s="101">
        <v>199</v>
      </c>
      <c r="P183" s="101">
        <v>1008</v>
      </c>
      <c r="Q183" s="101">
        <v>20885</v>
      </c>
      <c r="R183" s="101">
        <v>134477.10999999999</v>
      </c>
      <c r="S183" s="101">
        <v>71973.918999999994</v>
      </c>
      <c r="T183" s="133">
        <v>1.02</v>
      </c>
      <c r="U183" s="101">
        <f t="shared" si="21"/>
        <v>202.98</v>
      </c>
      <c r="V183" s="101">
        <f t="shared" si="22"/>
        <v>1028.1600000000001</v>
      </c>
      <c r="W183" s="101">
        <f t="shared" si="23"/>
        <v>21302.7</v>
      </c>
      <c r="X183" s="101">
        <f t="shared" si="24"/>
        <v>137166.65219999998</v>
      </c>
      <c r="Y183" s="101">
        <f t="shared" si="25"/>
        <v>73413.397379999995</v>
      </c>
      <c r="AA183" s="101">
        <v>228</v>
      </c>
      <c r="AB183" s="101">
        <v>785</v>
      </c>
      <c r="AC183" s="101">
        <v>43299</v>
      </c>
      <c r="AD183" s="101">
        <v>211308.34</v>
      </c>
      <c r="AE183" s="101">
        <v>376660.799</v>
      </c>
      <c r="AF183" s="225"/>
      <c r="AG183" s="148"/>
      <c r="AH183" s="101">
        <v>30000</v>
      </c>
      <c r="AI183" s="101">
        <f t="shared" si="30"/>
        <v>24000</v>
      </c>
      <c r="AJ183" s="101">
        <f t="shared" si="31"/>
        <v>36000</v>
      </c>
    </row>
    <row r="184" spans="1:36" hidden="1" x14ac:dyDescent="0.3">
      <c r="A184" s="126" t="s">
        <v>174</v>
      </c>
      <c r="B184" s="126">
        <v>12</v>
      </c>
      <c r="C184" s="126">
        <v>21</v>
      </c>
      <c r="D184" s="126" t="str">
        <f t="shared" si="32"/>
        <v>1221</v>
      </c>
      <c r="E184" s="101">
        <v>1454</v>
      </c>
      <c r="F184" s="101">
        <v>4511</v>
      </c>
      <c r="G184" s="101">
        <v>18791.5</v>
      </c>
      <c r="H184" s="101">
        <v>350500.51999999996</v>
      </c>
      <c r="I184" s="101">
        <v>96205.258999999991</v>
      </c>
      <c r="J184" s="101">
        <v>604</v>
      </c>
      <c r="K184" s="101">
        <v>3555</v>
      </c>
      <c r="L184" s="101">
        <v>18701</v>
      </c>
      <c r="M184" s="101">
        <v>292595.09999999998</v>
      </c>
      <c r="N184" s="101">
        <v>79320.944000000003</v>
      </c>
      <c r="O184" s="138"/>
      <c r="P184" s="138"/>
      <c r="Q184" s="138"/>
      <c r="R184" s="138"/>
      <c r="S184" s="138"/>
      <c r="T184" s="133">
        <v>1.02</v>
      </c>
      <c r="U184" s="101">
        <f t="shared" si="21"/>
        <v>0</v>
      </c>
      <c r="V184" s="101">
        <f t="shared" si="22"/>
        <v>0</v>
      </c>
      <c r="W184" s="101">
        <f t="shared" si="23"/>
        <v>0</v>
      </c>
      <c r="X184" s="101">
        <f t="shared" si="24"/>
        <v>0</v>
      </c>
      <c r="Y184" s="101">
        <f t="shared" si="25"/>
        <v>0</v>
      </c>
      <c r="AA184" s="101">
        <v>79</v>
      </c>
      <c r="AB184" s="101">
        <v>273</v>
      </c>
      <c r="AC184" s="101">
        <v>505</v>
      </c>
      <c r="AD184" s="101">
        <v>7731.96</v>
      </c>
      <c r="AE184" s="101">
        <v>3457.625</v>
      </c>
      <c r="AF184" s="225"/>
      <c r="AG184" s="148"/>
      <c r="AH184" s="101">
        <v>30000</v>
      </c>
      <c r="AI184" s="101">
        <f t="shared" si="30"/>
        <v>24000</v>
      </c>
      <c r="AJ184" s="101">
        <f t="shared" si="31"/>
        <v>36000</v>
      </c>
    </row>
    <row r="185" spans="1:36" hidden="1" x14ac:dyDescent="0.3">
      <c r="A185" s="126" t="s">
        <v>174</v>
      </c>
      <c r="B185" s="126">
        <v>12</v>
      </c>
      <c r="C185" s="126">
        <v>30</v>
      </c>
      <c r="D185" s="126" t="str">
        <f t="shared" si="32"/>
        <v>1230</v>
      </c>
      <c r="E185" s="101">
        <v>710.5</v>
      </c>
      <c r="F185" s="101">
        <v>6945</v>
      </c>
      <c r="G185" s="101">
        <v>22397.5</v>
      </c>
      <c r="H185" s="101">
        <v>451525.26</v>
      </c>
      <c r="I185" s="101">
        <v>147972.057</v>
      </c>
      <c r="J185" s="101">
        <v>359</v>
      </c>
      <c r="K185" s="101">
        <v>3717</v>
      </c>
      <c r="L185" s="101">
        <v>16754</v>
      </c>
      <c r="M185" s="101">
        <v>227744.19</v>
      </c>
      <c r="N185" s="101">
        <v>68570.862999999998</v>
      </c>
      <c r="O185" s="138">
        <v>739</v>
      </c>
      <c r="P185" s="138">
        <v>9114</v>
      </c>
      <c r="Q185" s="138">
        <v>27958</v>
      </c>
      <c r="R185" s="138">
        <v>627441.12000000011</v>
      </c>
      <c r="S185" s="138">
        <v>214902.86500000005</v>
      </c>
      <c r="T185" s="133">
        <v>1.02</v>
      </c>
      <c r="U185" s="101">
        <f t="shared" si="21"/>
        <v>753.78</v>
      </c>
      <c r="V185" s="101">
        <f t="shared" si="22"/>
        <v>9296.2800000000007</v>
      </c>
      <c r="W185" s="101">
        <f t="shared" si="23"/>
        <v>28517.16</v>
      </c>
      <c r="X185" s="101">
        <f t="shared" si="24"/>
        <v>639989.94240000017</v>
      </c>
      <c r="Y185" s="101">
        <f t="shared" si="25"/>
        <v>219200.92230000006</v>
      </c>
      <c r="AA185" s="101">
        <v>502</v>
      </c>
      <c r="AB185" s="101">
        <v>11020</v>
      </c>
      <c r="AC185" s="101">
        <v>36410</v>
      </c>
      <c r="AD185" s="101">
        <v>612423.32999999996</v>
      </c>
      <c r="AE185" s="101">
        <v>173985.08900000001</v>
      </c>
      <c r="AF185" s="225"/>
      <c r="AG185" s="148"/>
      <c r="AH185" s="101">
        <v>30000</v>
      </c>
      <c r="AI185" s="101">
        <f t="shared" si="30"/>
        <v>24000</v>
      </c>
      <c r="AJ185" s="101">
        <f t="shared" si="31"/>
        <v>36000</v>
      </c>
    </row>
    <row r="186" spans="1:36" hidden="1" x14ac:dyDescent="0.3">
      <c r="A186" s="126" t="s">
        <v>174</v>
      </c>
      <c r="B186" s="126">
        <v>12</v>
      </c>
      <c r="C186" s="126">
        <v>46</v>
      </c>
      <c r="D186" s="126" t="str">
        <f t="shared" si="32"/>
        <v>1246</v>
      </c>
      <c r="J186" s="101">
        <v>25</v>
      </c>
      <c r="K186" s="101">
        <v>40</v>
      </c>
      <c r="L186" s="101">
        <v>669</v>
      </c>
      <c r="M186" s="101">
        <v>8953.3799999999992</v>
      </c>
      <c r="N186" s="101">
        <v>2003.2719999999999</v>
      </c>
      <c r="O186" s="101">
        <v>17</v>
      </c>
      <c r="P186" s="101">
        <v>19</v>
      </c>
      <c r="Q186" s="101">
        <v>252</v>
      </c>
      <c r="R186" s="101">
        <v>2512.63</v>
      </c>
      <c r="S186" s="101">
        <v>532.78199999999993</v>
      </c>
      <c r="T186" s="133">
        <v>1.02</v>
      </c>
      <c r="U186" s="101">
        <f t="shared" si="21"/>
        <v>17.34</v>
      </c>
      <c r="V186" s="101">
        <f t="shared" si="22"/>
        <v>19.38</v>
      </c>
      <c r="W186" s="101">
        <f t="shared" si="23"/>
        <v>257.04000000000002</v>
      </c>
      <c r="X186" s="101">
        <f t="shared" si="24"/>
        <v>2562.8826000000004</v>
      </c>
      <c r="Y186" s="101">
        <f t="shared" si="25"/>
        <v>543.43763999999999</v>
      </c>
      <c r="AA186" s="101">
        <v>12</v>
      </c>
      <c r="AB186" s="101">
        <v>13</v>
      </c>
      <c r="AC186" s="101">
        <v>59</v>
      </c>
      <c r="AD186" s="101">
        <v>3005.66</v>
      </c>
      <c r="AE186" s="101">
        <v>468.553</v>
      </c>
      <c r="AF186" s="225"/>
      <c r="AG186" s="148"/>
      <c r="AH186" s="101">
        <v>30000</v>
      </c>
      <c r="AI186" s="101">
        <f t="shared" si="30"/>
        <v>24000</v>
      </c>
      <c r="AJ186" s="101">
        <f t="shared" si="31"/>
        <v>36000</v>
      </c>
    </row>
    <row r="187" spans="1:36" x14ac:dyDescent="0.3">
      <c r="A187" s="126" t="s">
        <v>174</v>
      </c>
      <c r="B187" s="126">
        <v>12</v>
      </c>
      <c r="C187" s="126">
        <v>91</v>
      </c>
      <c r="D187" s="126" t="str">
        <f t="shared" si="32"/>
        <v>1291</v>
      </c>
      <c r="J187" s="101">
        <v>14</v>
      </c>
      <c r="K187" s="101">
        <v>31</v>
      </c>
      <c r="L187" s="101">
        <v>79</v>
      </c>
      <c r="M187" s="101">
        <v>862.94</v>
      </c>
      <c r="N187" s="101">
        <v>486.88</v>
      </c>
      <c r="O187" s="101">
        <v>0</v>
      </c>
      <c r="P187" s="101">
        <v>0</v>
      </c>
      <c r="Q187" s="101">
        <v>0</v>
      </c>
      <c r="R187" s="101">
        <v>0</v>
      </c>
      <c r="S187" s="101">
        <v>0</v>
      </c>
      <c r="T187" s="133">
        <v>1.02</v>
      </c>
      <c r="U187" s="101">
        <f t="shared" si="21"/>
        <v>0</v>
      </c>
      <c r="V187" s="101">
        <f t="shared" si="22"/>
        <v>0</v>
      </c>
      <c r="W187" s="101">
        <f t="shared" si="23"/>
        <v>0</v>
      </c>
      <c r="X187" s="101">
        <f t="shared" si="24"/>
        <v>0</v>
      </c>
      <c r="Y187" s="101">
        <f t="shared" si="25"/>
        <v>0</v>
      </c>
      <c r="AA187" s="101">
        <v>7</v>
      </c>
      <c r="AB187" s="101">
        <v>12</v>
      </c>
      <c r="AC187" s="101">
        <v>12</v>
      </c>
      <c r="AD187" s="101">
        <v>443.02</v>
      </c>
      <c r="AE187" s="101">
        <v>162.22800000000001</v>
      </c>
      <c r="AF187" s="225"/>
      <c r="AG187" s="148"/>
      <c r="AH187" s="101">
        <v>30000</v>
      </c>
      <c r="AI187" s="101">
        <f t="shared" si="30"/>
        <v>24000</v>
      </c>
      <c r="AJ187" s="101">
        <f t="shared" si="31"/>
        <v>36000</v>
      </c>
    </row>
    <row r="188" spans="1:36" hidden="1" x14ac:dyDescent="0.3">
      <c r="A188" s="126" t="s">
        <v>174</v>
      </c>
      <c r="B188" s="126">
        <v>12</v>
      </c>
      <c r="C188" s="126">
        <v>66</v>
      </c>
      <c r="D188" s="126" t="str">
        <f t="shared" si="32"/>
        <v>1266</v>
      </c>
      <c r="J188" s="101">
        <v>7</v>
      </c>
      <c r="K188" s="101">
        <v>9</v>
      </c>
      <c r="L188" s="101">
        <v>89</v>
      </c>
      <c r="M188" s="101">
        <v>3289.44</v>
      </c>
      <c r="N188" s="101">
        <v>900.029</v>
      </c>
      <c r="O188" s="101">
        <v>17</v>
      </c>
      <c r="P188" s="101">
        <v>44</v>
      </c>
      <c r="Q188" s="101">
        <v>2461</v>
      </c>
      <c r="R188" s="101">
        <v>24705.15</v>
      </c>
      <c r="S188" s="101">
        <v>23732.906999999999</v>
      </c>
      <c r="T188" s="133">
        <v>1.02</v>
      </c>
      <c r="U188" s="101">
        <f t="shared" si="21"/>
        <v>17.34</v>
      </c>
      <c r="V188" s="101">
        <f t="shared" si="22"/>
        <v>44.88</v>
      </c>
      <c r="W188" s="101">
        <f t="shared" si="23"/>
        <v>2510.2200000000003</v>
      </c>
      <c r="X188" s="101">
        <f t="shared" si="24"/>
        <v>25199.253000000001</v>
      </c>
      <c r="Y188" s="101">
        <f t="shared" si="25"/>
        <v>24207.565139999999</v>
      </c>
      <c r="AA188" s="101">
        <v>16</v>
      </c>
      <c r="AB188" s="101">
        <v>29</v>
      </c>
      <c r="AC188" s="101">
        <v>679</v>
      </c>
      <c r="AD188" s="101">
        <v>20363.990000000002</v>
      </c>
      <c r="AE188" s="101">
        <v>16048.07</v>
      </c>
      <c r="AF188" s="225"/>
      <c r="AG188" s="148"/>
      <c r="AH188" s="101">
        <v>30000</v>
      </c>
      <c r="AI188" s="101">
        <f t="shared" si="30"/>
        <v>24000</v>
      </c>
      <c r="AJ188" s="101">
        <f t="shared" si="31"/>
        <v>36000</v>
      </c>
    </row>
    <row r="189" spans="1:36" hidden="1" x14ac:dyDescent="0.3">
      <c r="A189" s="126" t="s">
        <v>174</v>
      </c>
      <c r="B189" s="126">
        <v>12</v>
      </c>
      <c r="C189" s="126">
        <v>71</v>
      </c>
      <c r="D189" s="126" t="str">
        <f t="shared" si="32"/>
        <v>1271</v>
      </c>
      <c r="E189" s="101">
        <v>662</v>
      </c>
      <c r="F189" s="101">
        <v>4988.5</v>
      </c>
      <c r="G189" s="101">
        <v>12859</v>
      </c>
      <c r="H189" s="101">
        <v>110053.785</v>
      </c>
      <c r="I189" s="101">
        <v>41772.7045</v>
      </c>
      <c r="J189" s="101">
        <v>492</v>
      </c>
      <c r="K189" s="101">
        <v>5725</v>
      </c>
      <c r="L189" s="101">
        <v>26380</v>
      </c>
      <c r="M189" s="101">
        <v>106086.08</v>
      </c>
      <c r="N189" s="101">
        <v>58950.97</v>
      </c>
      <c r="O189" s="101">
        <v>451</v>
      </c>
      <c r="P189" s="101">
        <v>7555</v>
      </c>
      <c r="Q189" s="101">
        <v>28923</v>
      </c>
      <c r="R189" s="101">
        <v>244860.69</v>
      </c>
      <c r="S189" s="101">
        <v>124385.54199999999</v>
      </c>
      <c r="T189" s="133">
        <v>0.98</v>
      </c>
      <c r="U189" s="101">
        <f t="shared" si="21"/>
        <v>441.98</v>
      </c>
      <c r="V189" s="101">
        <f t="shared" si="22"/>
        <v>7403.9</v>
      </c>
      <c r="W189" s="101">
        <f t="shared" si="23"/>
        <v>28344.54</v>
      </c>
      <c r="X189" s="101">
        <f t="shared" si="24"/>
        <v>239963.4762</v>
      </c>
      <c r="Y189" s="101">
        <f t="shared" si="25"/>
        <v>121897.83115999999</v>
      </c>
      <c r="AA189" s="101">
        <v>232</v>
      </c>
      <c r="AB189" s="101">
        <v>9684</v>
      </c>
      <c r="AC189" s="101">
        <v>31608</v>
      </c>
      <c r="AD189" s="101">
        <v>224274.24</v>
      </c>
      <c r="AE189" s="101">
        <v>108570.84699999999</v>
      </c>
      <c r="AF189" s="225"/>
      <c r="AG189" s="148"/>
      <c r="AH189" s="101">
        <v>30000</v>
      </c>
      <c r="AI189" s="101">
        <f t="shared" si="30"/>
        <v>24000</v>
      </c>
      <c r="AJ189" s="101">
        <f t="shared" si="31"/>
        <v>36000</v>
      </c>
    </row>
    <row r="190" spans="1:36" hidden="1" x14ac:dyDescent="0.3">
      <c r="A190" s="126" t="s">
        <v>174</v>
      </c>
      <c r="B190" s="126">
        <v>12</v>
      </c>
      <c r="C190" s="126">
        <v>41</v>
      </c>
      <c r="D190" s="126" t="str">
        <f t="shared" si="32"/>
        <v>1241</v>
      </c>
      <c r="O190" s="101">
        <v>4</v>
      </c>
      <c r="P190" s="101">
        <v>4</v>
      </c>
      <c r="Q190" s="101">
        <v>50</v>
      </c>
      <c r="R190" s="101">
        <v>1494.7</v>
      </c>
      <c r="S190" s="101">
        <v>235.37300000000002</v>
      </c>
      <c r="T190" s="133">
        <v>1.02</v>
      </c>
      <c r="U190" s="101">
        <f t="shared" si="21"/>
        <v>4.08</v>
      </c>
      <c r="V190" s="101">
        <f t="shared" si="22"/>
        <v>4.08</v>
      </c>
      <c r="W190" s="101">
        <f t="shared" si="23"/>
        <v>51</v>
      </c>
      <c r="X190" s="101">
        <f t="shared" si="24"/>
        <v>1524.5940000000001</v>
      </c>
      <c r="Y190" s="101">
        <f t="shared" si="25"/>
        <v>240.08046000000002</v>
      </c>
      <c r="AA190" s="101">
        <v>4</v>
      </c>
      <c r="AB190" s="101">
        <v>5</v>
      </c>
      <c r="AC190" s="101">
        <v>32</v>
      </c>
      <c r="AD190" s="101">
        <v>388.61</v>
      </c>
      <c r="AE190" s="101">
        <v>148.46299999999999</v>
      </c>
      <c r="AF190" s="225"/>
      <c r="AG190" s="148"/>
      <c r="AH190" s="101"/>
      <c r="AI190" s="101"/>
      <c r="AJ190" s="101"/>
    </row>
    <row r="191" spans="1:36" hidden="1" x14ac:dyDescent="0.3">
      <c r="A191" s="126" t="s">
        <v>174</v>
      </c>
      <c r="B191" s="126">
        <v>12</v>
      </c>
      <c r="C191" s="126">
        <v>1</v>
      </c>
      <c r="D191" s="126" t="str">
        <f t="shared" si="32"/>
        <v>121</v>
      </c>
      <c r="J191" s="101">
        <v>154</v>
      </c>
      <c r="K191" s="101">
        <v>154</v>
      </c>
      <c r="L191" s="101">
        <v>81857</v>
      </c>
      <c r="N191" s="101">
        <v>331994</v>
      </c>
      <c r="O191" s="101">
        <v>94</v>
      </c>
      <c r="P191" s="101">
        <v>94</v>
      </c>
      <c r="Q191" s="101">
        <v>31280</v>
      </c>
      <c r="S191" s="101">
        <v>391746</v>
      </c>
      <c r="T191" s="133">
        <v>1.02</v>
      </c>
      <c r="U191" s="101">
        <f t="shared" si="21"/>
        <v>95.88</v>
      </c>
      <c r="V191" s="101">
        <f t="shared" si="22"/>
        <v>95.88</v>
      </c>
      <c r="W191" s="101">
        <f t="shared" si="23"/>
        <v>31905.600000000002</v>
      </c>
      <c r="X191" s="101">
        <f t="shared" si="24"/>
        <v>0</v>
      </c>
      <c r="Y191" s="101">
        <f t="shared" si="25"/>
        <v>399580.92</v>
      </c>
      <c r="AA191" s="101">
        <v>146</v>
      </c>
      <c r="AB191" s="101">
        <v>181</v>
      </c>
      <c r="AC191" s="101">
        <v>29793</v>
      </c>
      <c r="AE191" s="101">
        <v>176669.859</v>
      </c>
      <c r="AF191" s="225"/>
      <c r="AG191" s="148"/>
      <c r="AH191" s="101">
        <v>30000</v>
      </c>
      <c r="AI191" s="101">
        <f t="shared" si="30"/>
        <v>24000</v>
      </c>
      <c r="AJ191" s="101">
        <f t="shared" si="31"/>
        <v>36000</v>
      </c>
    </row>
    <row r="192" spans="1:36" hidden="1" x14ac:dyDescent="0.3">
      <c r="A192" s="126" t="s">
        <v>174</v>
      </c>
      <c r="B192" s="126">
        <v>12</v>
      </c>
      <c r="C192" s="126">
        <v>37</v>
      </c>
      <c r="D192" s="126" t="str">
        <f t="shared" si="32"/>
        <v>1237</v>
      </c>
      <c r="E192" s="101">
        <v>11.75</v>
      </c>
      <c r="F192" s="101">
        <v>0</v>
      </c>
      <c r="G192" s="101">
        <v>0</v>
      </c>
      <c r="H192" s="101">
        <v>11288.192499999999</v>
      </c>
      <c r="I192" s="101">
        <v>12933.856749999999</v>
      </c>
      <c r="J192" s="101">
        <v>0</v>
      </c>
      <c r="K192" s="101">
        <v>0</v>
      </c>
      <c r="L192" s="101">
        <v>0</v>
      </c>
      <c r="M192" s="101">
        <v>0</v>
      </c>
      <c r="N192" s="101">
        <v>0</v>
      </c>
      <c r="O192" s="101">
        <v>1</v>
      </c>
      <c r="P192" s="101">
        <v>5</v>
      </c>
      <c r="Q192" s="101">
        <v>15900</v>
      </c>
      <c r="R192" s="101">
        <v>6996</v>
      </c>
      <c r="S192" s="101">
        <v>462.435</v>
      </c>
      <c r="T192" s="133">
        <v>1.02</v>
      </c>
      <c r="U192" s="101">
        <f t="shared" si="21"/>
        <v>1.02</v>
      </c>
      <c r="V192" s="101">
        <f t="shared" si="22"/>
        <v>5.0999999999999996</v>
      </c>
      <c r="W192" s="101">
        <f t="shared" si="23"/>
        <v>16218</v>
      </c>
      <c r="X192" s="101">
        <f t="shared" si="24"/>
        <v>7135.92</v>
      </c>
      <c r="Y192" s="101">
        <f t="shared" si="25"/>
        <v>471.68369999999999</v>
      </c>
      <c r="AA192" s="101">
        <v>2</v>
      </c>
      <c r="AB192" s="101">
        <v>6</v>
      </c>
      <c r="AC192" s="101">
        <v>4661</v>
      </c>
      <c r="AD192" s="101">
        <v>4789.5</v>
      </c>
      <c r="AE192" s="101">
        <v>2103.81</v>
      </c>
      <c r="AF192" s="225"/>
      <c r="AG192" s="148"/>
      <c r="AH192" s="101">
        <v>30000</v>
      </c>
      <c r="AI192" s="101">
        <f t="shared" si="30"/>
        <v>24000</v>
      </c>
      <c r="AJ192" s="101">
        <f t="shared" si="31"/>
        <v>36000</v>
      </c>
    </row>
    <row r="193" spans="1:36" hidden="1" x14ac:dyDescent="0.3">
      <c r="A193" s="126" t="s">
        <v>174</v>
      </c>
      <c r="B193" s="126">
        <v>13</v>
      </c>
      <c r="C193" s="126">
        <v>22</v>
      </c>
      <c r="D193" s="126" t="str">
        <f t="shared" si="32"/>
        <v>1322</v>
      </c>
      <c r="E193" s="101">
        <v>350</v>
      </c>
      <c r="F193" s="101">
        <v>2705</v>
      </c>
      <c r="G193" s="101">
        <v>29682</v>
      </c>
      <c r="H193" s="101">
        <v>117812.87000000001</v>
      </c>
      <c r="I193" s="101">
        <v>85699.714000000007</v>
      </c>
      <c r="J193" s="101">
        <v>461</v>
      </c>
      <c r="K193" s="101">
        <v>4383</v>
      </c>
      <c r="L193" s="101">
        <v>33252</v>
      </c>
      <c r="M193" s="101">
        <v>228750.4</v>
      </c>
      <c r="N193" s="101">
        <v>127283.94999999998</v>
      </c>
      <c r="O193" s="101">
        <v>412</v>
      </c>
      <c r="P193" s="101">
        <v>3225</v>
      </c>
      <c r="Q193" s="101">
        <v>26604</v>
      </c>
      <c r="R193" s="101">
        <v>117389.98999999999</v>
      </c>
      <c r="S193" s="101">
        <v>80623.403999999995</v>
      </c>
      <c r="T193" s="133">
        <v>1.02</v>
      </c>
      <c r="U193" s="101">
        <f t="shared" si="21"/>
        <v>420.24</v>
      </c>
      <c r="V193" s="101">
        <f t="shared" si="22"/>
        <v>3289.5</v>
      </c>
      <c r="W193" s="101">
        <f t="shared" si="23"/>
        <v>27136.080000000002</v>
      </c>
      <c r="X193" s="101">
        <f t="shared" si="24"/>
        <v>119737.7898</v>
      </c>
      <c r="Y193" s="101">
        <f t="shared" si="25"/>
        <v>82235.872080000001</v>
      </c>
      <c r="AA193" s="101">
        <v>727</v>
      </c>
      <c r="AB193" s="101">
        <v>3857</v>
      </c>
      <c r="AC193" s="101">
        <v>25370</v>
      </c>
      <c r="AD193" s="101">
        <v>208785.47</v>
      </c>
      <c r="AE193" s="101">
        <v>135188.45699999999</v>
      </c>
      <c r="AF193" s="225">
        <f>SUM(AB193:AB208)</f>
        <v>22786</v>
      </c>
      <c r="AG193" s="148"/>
      <c r="AH193" s="101">
        <v>30000</v>
      </c>
      <c r="AI193" s="101">
        <f>(AH193/100)*80</f>
        <v>24000</v>
      </c>
      <c r="AJ193" s="101">
        <f>(AH193/100)*120</f>
        <v>36000</v>
      </c>
    </row>
    <row r="194" spans="1:36" hidden="1" x14ac:dyDescent="0.3">
      <c r="A194" s="126" t="s">
        <v>174</v>
      </c>
      <c r="B194" s="126">
        <v>13</v>
      </c>
      <c r="C194" s="126">
        <v>25</v>
      </c>
      <c r="D194" s="126" t="str">
        <f t="shared" si="32"/>
        <v>1325</v>
      </c>
      <c r="E194" s="101">
        <v>133</v>
      </c>
      <c r="F194" s="101">
        <v>962</v>
      </c>
      <c r="G194" s="101">
        <v>18862</v>
      </c>
      <c r="H194" s="101">
        <v>325872.96000000002</v>
      </c>
      <c r="I194" s="101">
        <v>132824.611</v>
      </c>
      <c r="J194" s="101">
        <v>249</v>
      </c>
      <c r="K194" s="101">
        <v>1930</v>
      </c>
      <c r="L194" s="101">
        <v>44230</v>
      </c>
      <c r="M194" s="101">
        <v>493990.75</v>
      </c>
      <c r="N194" s="101">
        <v>207952.93899999998</v>
      </c>
      <c r="O194" s="101">
        <v>149</v>
      </c>
      <c r="P194" s="101">
        <v>1774</v>
      </c>
      <c r="Q194" s="101">
        <v>35211</v>
      </c>
      <c r="R194" s="101">
        <v>433282.51</v>
      </c>
      <c r="S194" s="101">
        <v>200047.05099999998</v>
      </c>
      <c r="T194" s="133">
        <v>1.02</v>
      </c>
      <c r="U194" s="101">
        <f t="shared" si="21"/>
        <v>151.97999999999999</v>
      </c>
      <c r="V194" s="101">
        <f t="shared" si="22"/>
        <v>1809.48</v>
      </c>
      <c r="W194" s="101">
        <f t="shared" si="23"/>
        <v>35915.22</v>
      </c>
      <c r="X194" s="101">
        <f t="shared" si="24"/>
        <v>441948.16020000004</v>
      </c>
      <c r="Y194" s="101">
        <f t="shared" si="25"/>
        <v>204047.99201999998</v>
      </c>
      <c r="AA194" s="101">
        <v>314</v>
      </c>
      <c r="AB194" s="101">
        <v>2780</v>
      </c>
      <c r="AC194" s="101">
        <v>39386</v>
      </c>
      <c r="AD194" s="101">
        <v>439635.3</v>
      </c>
      <c r="AE194" s="101">
        <v>257671.989</v>
      </c>
      <c r="AF194" s="225"/>
      <c r="AG194" s="148"/>
      <c r="AH194" s="101">
        <v>30000</v>
      </c>
      <c r="AI194" s="101">
        <f>(AH194/100)*80</f>
        <v>24000</v>
      </c>
      <c r="AJ194" s="101">
        <f>(AH194/100)*120</f>
        <v>36000</v>
      </c>
    </row>
    <row r="195" spans="1:36" hidden="1" x14ac:dyDescent="0.3">
      <c r="A195" s="126" t="s">
        <v>174</v>
      </c>
      <c r="B195" s="126">
        <v>13</v>
      </c>
      <c r="C195" s="126">
        <v>27</v>
      </c>
      <c r="D195" s="126" t="str">
        <f t="shared" si="32"/>
        <v>1327</v>
      </c>
      <c r="E195" s="101">
        <v>10</v>
      </c>
      <c r="F195" s="101">
        <v>267.5</v>
      </c>
      <c r="G195" s="101">
        <v>2968</v>
      </c>
      <c r="H195" s="101">
        <v>32082.5</v>
      </c>
      <c r="I195" s="101">
        <v>12292.75</v>
      </c>
      <c r="J195" s="101">
        <v>23</v>
      </c>
      <c r="K195" s="101">
        <v>408</v>
      </c>
      <c r="L195" s="101">
        <v>1941</v>
      </c>
      <c r="M195" s="101">
        <v>15188.66</v>
      </c>
      <c r="N195" s="101">
        <v>5983.5120000000006</v>
      </c>
      <c r="O195" s="101">
        <v>6</v>
      </c>
      <c r="P195" s="101">
        <v>6</v>
      </c>
      <c r="Q195" s="101">
        <v>56</v>
      </c>
      <c r="R195" s="101">
        <v>2687.7400000000002</v>
      </c>
      <c r="S195" s="101">
        <v>1214.278</v>
      </c>
      <c r="T195" s="133">
        <v>1.02</v>
      </c>
      <c r="U195" s="101">
        <f t="shared" si="21"/>
        <v>6.12</v>
      </c>
      <c r="V195" s="101">
        <f t="shared" si="22"/>
        <v>6.12</v>
      </c>
      <c r="W195" s="101">
        <f t="shared" si="23"/>
        <v>57.120000000000005</v>
      </c>
      <c r="X195" s="101">
        <f t="shared" si="24"/>
        <v>2741.4948000000004</v>
      </c>
      <c r="Y195" s="101">
        <f t="shared" si="25"/>
        <v>1238.5635600000001</v>
      </c>
      <c r="AA195" s="101">
        <v>14</v>
      </c>
      <c r="AB195" s="101">
        <v>70</v>
      </c>
      <c r="AC195" s="101">
        <v>509</v>
      </c>
      <c r="AD195" s="101">
        <v>6041.34</v>
      </c>
      <c r="AE195" s="101">
        <v>3600.7469999999998</v>
      </c>
      <c r="AF195" s="225"/>
      <c r="AG195" s="148"/>
      <c r="AH195" s="101">
        <v>30000</v>
      </c>
      <c r="AI195" s="101">
        <f>(AH195/100)*80</f>
        <v>24000</v>
      </c>
      <c r="AJ195" s="101">
        <f>(AH195/100)*120</f>
        <v>36000</v>
      </c>
    </row>
    <row r="196" spans="1:36" hidden="1" x14ac:dyDescent="0.3">
      <c r="A196" s="126" t="s">
        <v>174</v>
      </c>
      <c r="B196" s="126">
        <v>13</v>
      </c>
      <c r="C196" s="126">
        <v>26</v>
      </c>
      <c r="D196" s="126" t="str">
        <f t="shared" si="32"/>
        <v>1326</v>
      </c>
      <c r="E196" s="101">
        <v>99</v>
      </c>
      <c r="F196" s="101">
        <v>2570</v>
      </c>
      <c r="G196" s="101">
        <v>24908</v>
      </c>
      <c r="H196" s="101">
        <v>374203.02</v>
      </c>
      <c r="I196" s="101">
        <v>139943.223</v>
      </c>
      <c r="J196" s="101">
        <v>69</v>
      </c>
      <c r="K196" s="101">
        <v>2042</v>
      </c>
      <c r="L196" s="101">
        <v>34090</v>
      </c>
      <c r="M196" s="101">
        <v>362565.81</v>
      </c>
      <c r="N196" s="101">
        <v>190176.19</v>
      </c>
      <c r="O196" s="101">
        <v>13</v>
      </c>
      <c r="P196" s="101">
        <v>239</v>
      </c>
      <c r="Q196" s="101">
        <v>2506</v>
      </c>
      <c r="R196" s="101">
        <v>36258.670000000006</v>
      </c>
      <c r="S196" s="101">
        <v>13614.401000000002</v>
      </c>
      <c r="T196" s="133">
        <v>1.02</v>
      </c>
      <c r="U196" s="101">
        <f t="shared" si="21"/>
        <v>13.26</v>
      </c>
      <c r="V196" s="101">
        <f t="shared" si="22"/>
        <v>243.78</v>
      </c>
      <c r="W196" s="101">
        <f t="shared" si="23"/>
        <v>2556.12</v>
      </c>
      <c r="X196" s="101">
        <f t="shared" si="24"/>
        <v>36983.843400000005</v>
      </c>
      <c r="Y196" s="101">
        <f t="shared" si="25"/>
        <v>13886.689020000002</v>
      </c>
      <c r="AA196" s="101">
        <v>12</v>
      </c>
      <c r="AB196" s="101">
        <v>347</v>
      </c>
      <c r="AC196" s="101">
        <v>7995</v>
      </c>
      <c r="AD196" s="101">
        <v>106380.06</v>
      </c>
      <c r="AE196" s="101">
        <v>33968.237000000001</v>
      </c>
      <c r="AF196" s="225"/>
      <c r="AG196" s="148"/>
      <c r="AH196" s="101">
        <v>30000</v>
      </c>
      <c r="AI196" s="101">
        <f t="shared" ref="AI196:AI259" si="33">(AH196/100)*80</f>
        <v>24000</v>
      </c>
      <c r="AJ196" s="101">
        <f t="shared" ref="AJ196:AJ259" si="34">(AH196/100)*120</f>
        <v>36000</v>
      </c>
    </row>
    <row r="197" spans="1:36" hidden="1" x14ac:dyDescent="0.3">
      <c r="A197" s="126" t="s">
        <v>174</v>
      </c>
      <c r="B197" s="126">
        <v>13</v>
      </c>
      <c r="C197" s="126">
        <v>12</v>
      </c>
      <c r="D197" s="126" t="str">
        <f t="shared" si="32"/>
        <v>1312</v>
      </c>
      <c r="J197" s="101">
        <v>4</v>
      </c>
      <c r="K197" s="101">
        <v>4</v>
      </c>
      <c r="L197" s="101">
        <v>4</v>
      </c>
      <c r="M197" s="101">
        <v>330.9</v>
      </c>
      <c r="N197" s="101">
        <v>121.20399999999999</v>
      </c>
      <c r="O197" s="101">
        <v>1</v>
      </c>
      <c r="P197" s="101">
        <v>1</v>
      </c>
      <c r="Q197" s="101">
        <v>1</v>
      </c>
      <c r="R197" s="101">
        <v>200.68</v>
      </c>
      <c r="S197" s="101">
        <v>61.38</v>
      </c>
      <c r="T197" s="133">
        <v>1.02</v>
      </c>
      <c r="U197" s="101">
        <f t="shared" si="21"/>
        <v>1.02</v>
      </c>
      <c r="V197" s="101">
        <f t="shared" si="22"/>
        <v>1.02</v>
      </c>
      <c r="W197" s="101">
        <f t="shared" si="23"/>
        <v>1.02</v>
      </c>
      <c r="X197" s="101">
        <f t="shared" si="24"/>
        <v>204.6936</v>
      </c>
      <c r="Y197" s="101">
        <f t="shared" si="25"/>
        <v>62.607600000000005</v>
      </c>
      <c r="AA197" s="101">
        <v>1</v>
      </c>
      <c r="AB197" s="101">
        <v>1</v>
      </c>
      <c r="AC197" s="101">
        <v>1</v>
      </c>
      <c r="AD197" s="101">
        <v>0</v>
      </c>
      <c r="AE197" s="101">
        <v>29.068000000000001</v>
      </c>
      <c r="AF197" s="225"/>
      <c r="AG197" s="148"/>
      <c r="AH197" s="101">
        <v>30000</v>
      </c>
      <c r="AI197" s="101">
        <f t="shared" si="33"/>
        <v>24000</v>
      </c>
      <c r="AJ197" s="101">
        <f t="shared" si="34"/>
        <v>36000</v>
      </c>
    </row>
    <row r="198" spans="1:36" hidden="1" x14ac:dyDescent="0.3">
      <c r="A198" s="126" t="s">
        <v>174</v>
      </c>
      <c r="B198" s="126">
        <v>13</v>
      </c>
      <c r="C198" s="126">
        <v>28</v>
      </c>
      <c r="D198" s="126" t="str">
        <f t="shared" si="32"/>
        <v>1328</v>
      </c>
      <c r="J198" s="101">
        <v>9</v>
      </c>
      <c r="K198" s="101">
        <v>12</v>
      </c>
      <c r="L198" s="101">
        <v>380</v>
      </c>
      <c r="M198" s="101">
        <v>8304.8299999999981</v>
      </c>
      <c r="N198" s="101">
        <v>1596.501</v>
      </c>
      <c r="O198" s="101">
        <v>54</v>
      </c>
      <c r="P198" s="101">
        <v>299</v>
      </c>
      <c r="Q198" s="101">
        <v>1756</v>
      </c>
      <c r="R198" s="101">
        <v>68687.78</v>
      </c>
      <c r="S198" s="101">
        <v>22789.710999999999</v>
      </c>
      <c r="T198" s="133">
        <v>1.02</v>
      </c>
      <c r="U198" s="101">
        <f t="shared" ref="U198:U261" si="35">O198*T198</f>
        <v>55.08</v>
      </c>
      <c r="V198" s="101">
        <f t="shared" ref="V198:V261" si="36">P198*T198</f>
        <v>304.98</v>
      </c>
      <c r="W198" s="101">
        <f t="shared" ref="W198:W261" si="37">Q198*T198</f>
        <v>1791.1200000000001</v>
      </c>
      <c r="X198" s="101">
        <f t="shared" ref="X198:X261" si="38">R198*T198</f>
        <v>70061.535600000003</v>
      </c>
      <c r="Y198" s="101">
        <f t="shared" ref="Y198:Y261" si="39">S198*T198</f>
        <v>23245.505219999999</v>
      </c>
      <c r="AA198" s="101">
        <v>42</v>
      </c>
      <c r="AB198" s="101">
        <v>127</v>
      </c>
      <c r="AC198" s="101">
        <v>618</v>
      </c>
      <c r="AD198" s="101">
        <v>14304.69</v>
      </c>
      <c r="AE198" s="101">
        <v>4959.326</v>
      </c>
      <c r="AF198" s="225"/>
      <c r="AG198" s="148"/>
      <c r="AH198" s="101">
        <v>30000</v>
      </c>
      <c r="AI198" s="101">
        <f t="shared" si="33"/>
        <v>24000</v>
      </c>
      <c r="AJ198" s="101">
        <f t="shared" si="34"/>
        <v>36000</v>
      </c>
    </row>
    <row r="199" spans="1:36" hidden="1" x14ac:dyDescent="0.3">
      <c r="A199" s="126" t="s">
        <v>174</v>
      </c>
      <c r="B199" s="126">
        <v>13</v>
      </c>
      <c r="C199" s="126">
        <v>32</v>
      </c>
      <c r="D199" s="126" t="str">
        <f t="shared" si="32"/>
        <v>1332</v>
      </c>
      <c r="E199" s="101">
        <v>608</v>
      </c>
      <c r="F199" s="101">
        <v>2058</v>
      </c>
      <c r="G199" s="101">
        <v>33960</v>
      </c>
      <c r="H199" s="101">
        <v>559668.73</v>
      </c>
      <c r="I199" s="101">
        <v>156941.272</v>
      </c>
      <c r="J199" s="101">
        <v>289</v>
      </c>
      <c r="K199" s="101">
        <v>798</v>
      </c>
      <c r="L199" s="101">
        <v>13756</v>
      </c>
      <c r="M199" s="101">
        <v>94388.089999999982</v>
      </c>
      <c r="N199" s="101">
        <v>51959.832000000002</v>
      </c>
      <c r="O199" s="101">
        <v>233</v>
      </c>
      <c r="P199" s="101">
        <v>1113</v>
      </c>
      <c r="Q199" s="101">
        <v>23387</v>
      </c>
      <c r="R199" s="101">
        <v>190701.58000000002</v>
      </c>
      <c r="S199" s="101">
        <v>81037.628000000012</v>
      </c>
      <c r="T199" s="133">
        <v>1.02</v>
      </c>
      <c r="U199" s="101">
        <f t="shared" si="35"/>
        <v>237.66</v>
      </c>
      <c r="V199" s="101">
        <f t="shared" si="36"/>
        <v>1135.26</v>
      </c>
      <c r="W199" s="101">
        <f t="shared" si="37"/>
        <v>23854.74</v>
      </c>
      <c r="X199" s="101">
        <f t="shared" si="38"/>
        <v>194515.61160000003</v>
      </c>
      <c r="Y199" s="101">
        <f t="shared" si="39"/>
        <v>82658.38056000002</v>
      </c>
      <c r="AA199" s="101">
        <v>190</v>
      </c>
      <c r="AB199" s="101">
        <v>1203</v>
      </c>
      <c r="AC199" s="101">
        <v>60806</v>
      </c>
      <c r="AD199" s="101">
        <v>696114.28</v>
      </c>
      <c r="AE199" s="101">
        <v>295880.12099999998</v>
      </c>
      <c r="AF199" s="225"/>
      <c r="AG199" s="148"/>
      <c r="AH199" s="101">
        <v>30000</v>
      </c>
      <c r="AI199" s="101">
        <f t="shared" si="33"/>
        <v>24000</v>
      </c>
      <c r="AJ199" s="101">
        <f t="shared" si="34"/>
        <v>36000</v>
      </c>
    </row>
    <row r="200" spans="1:36" hidden="1" x14ac:dyDescent="0.3">
      <c r="A200" s="126" t="s">
        <v>174</v>
      </c>
      <c r="B200" s="126">
        <v>13</v>
      </c>
      <c r="C200" s="126">
        <v>21</v>
      </c>
      <c r="D200" s="126" t="str">
        <f t="shared" si="32"/>
        <v>1321</v>
      </c>
      <c r="E200" s="101">
        <v>1401</v>
      </c>
      <c r="F200" s="101">
        <v>4777.5</v>
      </c>
      <c r="G200" s="101">
        <v>21803.5</v>
      </c>
      <c r="H200" s="101">
        <v>355733.565</v>
      </c>
      <c r="I200" s="101">
        <v>109484.15499999998</v>
      </c>
      <c r="J200" s="101">
        <v>486</v>
      </c>
      <c r="K200" s="101">
        <v>3453</v>
      </c>
      <c r="L200" s="101">
        <v>16387</v>
      </c>
      <c r="M200" s="101">
        <v>259596.58000000002</v>
      </c>
      <c r="N200" s="101">
        <v>72775.256999999998</v>
      </c>
      <c r="O200" s="138"/>
      <c r="P200" s="138"/>
      <c r="Q200" s="138"/>
      <c r="R200" s="138"/>
      <c r="S200" s="138"/>
      <c r="T200" s="133">
        <v>1.02</v>
      </c>
      <c r="U200" s="101">
        <f t="shared" si="35"/>
        <v>0</v>
      </c>
      <c r="V200" s="101">
        <f t="shared" si="36"/>
        <v>0</v>
      </c>
      <c r="W200" s="101">
        <f t="shared" si="37"/>
        <v>0</v>
      </c>
      <c r="X200" s="101">
        <f t="shared" si="38"/>
        <v>0</v>
      </c>
      <c r="Y200" s="101">
        <f t="shared" si="39"/>
        <v>0</v>
      </c>
      <c r="AA200" s="101">
        <v>52</v>
      </c>
      <c r="AB200" s="101">
        <v>162</v>
      </c>
      <c r="AC200" s="101">
        <v>540</v>
      </c>
      <c r="AD200" s="101">
        <v>7646.73</v>
      </c>
      <c r="AE200" s="101">
        <v>2379.5419999999999</v>
      </c>
      <c r="AF200" s="225"/>
      <c r="AG200" s="148"/>
      <c r="AH200" s="101">
        <v>30000</v>
      </c>
      <c r="AI200" s="101">
        <f t="shared" si="33"/>
        <v>24000</v>
      </c>
      <c r="AJ200" s="101">
        <f t="shared" si="34"/>
        <v>36000</v>
      </c>
    </row>
    <row r="201" spans="1:36" hidden="1" x14ac:dyDescent="0.3">
      <c r="A201" s="126" t="s">
        <v>174</v>
      </c>
      <c r="B201" s="126">
        <v>13</v>
      </c>
      <c r="C201" s="126">
        <v>30</v>
      </c>
      <c r="D201" s="126" t="str">
        <f t="shared" si="32"/>
        <v>1330</v>
      </c>
      <c r="E201" s="101">
        <v>564</v>
      </c>
      <c r="F201" s="101">
        <v>2750</v>
      </c>
      <c r="G201" s="101">
        <v>14491.5</v>
      </c>
      <c r="H201" s="101">
        <v>368809.28499999997</v>
      </c>
      <c r="I201" s="101">
        <v>133183.55349999998</v>
      </c>
      <c r="J201" s="101">
        <v>225</v>
      </c>
      <c r="K201" s="101">
        <v>4611</v>
      </c>
      <c r="L201" s="101">
        <v>16398</v>
      </c>
      <c r="M201" s="101">
        <v>317218.98000000004</v>
      </c>
      <c r="N201" s="101">
        <v>87228.989000000001</v>
      </c>
      <c r="O201" s="138">
        <v>267</v>
      </c>
      <c r="P201" s="138">
        <v>5868</v>
      </c>
      <c r="Q201" s="138">
        <v>18620</v>
      </c>
      <c r="R201" s="138">
        <v>358970.62</v>
      </c>
      <c r="S201" s="138">
        <v>110841.44899999999</v>
      </c>
      <c r="T201" s="133">
        <v>1.02</v>
      </c>
      <c r="U201" s="101">
        <f t="shared" si="35"/>
        <v>272.34000000000003</v>
      </c>
      <c r="V201" s="101">
        <f t="shared" si="36"/>
        <v>5985.36</v>
      </c>
      <c r="W201" s="101">
        <f t="shared" si="37"/>
        <v>18992.400000000001</v>
      </c>
      <c r="X201" s="101">
        <f t="shared" si="38"/>
        <v>366150.03240000003</v>
      </c>
      <c r="Y201" s="101">
        <f t="shared" si="39"/>
        <v>113058.27798</v>
      </c>
      <c r="AA201" s="101">
        <v>354</v>
      </c>
      <c r="AB201" s="101">
        <v>6216</v>
      </c>
      <c r="AC201" s="101">
        <v>27392</v>
      </c>
      <c r="AD201" s="101">
        <v>472854.51</v>
      </c>
      <c r="AE201" s="101">
        <v>160642.4</v>
      </c>
      <c r="AF201" s="225"/>
      <c r="AG201" s="148"/>
      <c r="AH201" s="101">
        <v>30000</v>
      </c>
      <c r="AI201" s="101">
        <f t="shared" si="33"/>
        <v>24000</v>
      </c>
      <c r="AJ201" s="101">
        <f t="shared" si="34"/>
        <v>36000</v>
      </c>
    </row>
    <row r="202" spans="1:36" hidden="1" x14ac:dyDescent="0.3">
      <c r="A202" s="126" t="s">
        <v>174</v>
      </c>
      <c r="B202" s="126">
        <v>13</v>
      </c>
      <c r="C202" s="126">
        <v>66</v>
      </c>
      <c r="D202" s="126" t="str">
        <f t="shared" si="32"/>
        <v>1366</v>
      </c>
      <c r="J202" s="101">
        <v>2</v>
      </c>
      <c r="K202" s="101">
        <v>2</v>
      </c>
      <c r="L202" s="101">
        <v>63</v>
      </c>
      <c r="M202" s="101">
        <v>3439.8599999999997</v>
      </c>
      <c r="N202" s="101">
        <v>2422.9499999999998</v>
      </c>
      <c r="O202" s="101">
        <v>24</v>
      </c>
      <c r="P202" s="101">
        <v>33</v>
      </c>
      <c r="Q202" s="101">
        <v>1312</v>
      </c>
      <c r="R202" s="101">
        <v>12012.77</v>
      </c>
      <c r="S202" s="101">
        <v>9031.8169999999991</v>
      </c>
      <c r="T202" s="133">
        <v>1.02</v>
      </c>
      <c r="U202" s="101">
        <f t="shared" si="35"/>
        <v>24.48</v>
      </c>
      <c r="V202" s="101">
        <f t="shared" si="36"/>
        <v>33.660000000000004</v>
      </c>
      <c r="W202" s="101">
        <f t="shared" si="37"/>
        <v>1338.24</v>
      </c>
      <c r="X202" s="101">
        <f t="shared" si="38"/>
        <v>12253.0254</v>
      </c>
      <c r="Y202" s="101">
        <f t="shared" si="39"/>
        <v>9212.45334</v>
      </c>
      <c r="AA202" s="101">
        <v>13</v>
      </c>
      <c r="AB202" s="101">
        <v>37</v>
      </c>
      <c r="AC202" s="101">
        <v>5955</v>
      </c>
      <c r="AD202" s="101">
        <v>37779.11</v>
      </c>
      <c r="AE202" s="101">
        <v>18236.810000000001</v>
      </c>
      <c r="AF202" s="225"/>
      <c r="AG202" s="148"/>
      <c r="AH202" s="101">
        <v>30000</v>
      </c>
      <c r="AI202" s="101">
        <f t="shared" si="33"/>
        <v>24000</v>
      </c>
      <c r="AJ202" s="101">
        <f t="shared" si="34"/>
        <v>36000</v>
      </c>
    </row>
    <row r="203" spans="1:36" x14ac:dyDescent="0.3">
      <c r="A203" s="126" t="s">
        <v>174</v>
      </c>
      <c r="B203" s="126">
        <v>13</v>
      </c>
      <c r="C203" s="126">
        <v>91</v>
      </c>
      <c r="D203" s="126" t="str">
        <f t="shared" si="32"/>
        <v>1391</v>
      </c>
      <c r="J203" s="101">
        <v>18</v>
      </c>
      <c r="K203" s="101">
        <v>44</v>
      </c>
      <c r="L203" s="101">
        <v>142</v>
      </c>
      <c r="M203" s="101">
        <v>2998.23</v>
      </c>
      <c r="N203" s="101">
        <v>678.56299999999987</v>
      </c>
      <c r="O203" s="101">
        <v>4</v>
      </c>
      <c r="P203" s="101">
        <v>6</v>
      </c>
      <c r="Q203" s="101">
        <v>21</v>
      </c>
      <c r="R203" s="101">
        <v>242.45999999999998</v>
      </c>
      <c r="S203" s="101">
        <v>122.86000000000001</v>
      </c>
      <c r="T203" s="133">
        <v>1.02</v>
      </c>
      <c r="U203" s="101">
        <f t="shared" si="35"/>
        <v>4.08</v>
      </c>
      <c r="V203" s="101">
        <f t="shared" si="36"/>
        <v>6.12</v>
      </c>
      <c r="W203" s="101">
        <f t="shared" si="37"/>
        <v>21.42</v>
      </c>
      <c r="X203" s="101">
        <f t="shared" si="38"/>
        <v>247.30919999999998</v>
      </c>
      <c r="Y203" s="101">
        <f t="shared" si="39"/>
        <v>125.31720000000001</v>
      </c>
      <c r="AA203" s="101">
        <v>11</v>
      </c>
      <c r="AB203" s="101">
        <v>19</v>
      </c>
      <c r="AC203" s="101">
        <v>30</v>
      </c>
      <c r="AD203" s="101">
        <v>1011.21</v>
      </c>
      <c r="AE203" s="101">
        <v>318.19799999999998</v>
      </c>
      <c r="AF203" s="225"/>
      <c r="AG203" s="148"/>
      <c r="AH203" s="101">
        <v>30000</v>
      </c>
      <c r="AI203" s="101">
        <f t="shared" si="33"/>
        <v>24000</v>
      </c>
      <c r="AJ203" s="101">
        <f t="shared" si="34"/>
        <v>36000</v>
      </c>
    </row>
    <row r="204" spans="1:36" hidden="1" x14ac:dyDescent="0.3">
      <c r="A204" s="126" t="s">
        <v>174</v>
      </c>
      <c r="B204" s="126">
        <v>13</v>
      </c>
      <c r="C204" s="126">
        <v>46</v>
      </c>
      <c r="D204" s="126" t="str">
        <f t="shared" si="32"/>
        <v>1346</v>
      </c>
      <c r="J204" s="101">
        <v>16</v>
      </c>
      <c r="K204" s="101">
        <v>26</v>
      </c>
      <c r="L204" s="101">
        <v>90</v>
      </c>
      <c r="M204" s="101">
        <v>2913.1500000000005</v>
      </c>
      <c r="N204" s="101">
        <v>514.44000000000005</v>
      </c>
      <c r="O204" s="101">
        <v>11</v>
      </c>
      <c r="P204" s="101">
        <v>12</v>
      </c>
      <c r="Q204" s="101">
        <v>1221</v>
      </c>
      <c r="R204" s="101">
        <v>7628.93</v>
      </c>
      <c r="S204" s="101">
        <v>647.10799999999995</v>
      </c>
      <c r="T204" s="133">
        <v>1.02</v>
      </c>
      <c r="U204" s="101">
        <f t="shared" si="35"/>
        <v>11.22</v>
      </c>
      <c r="V204" s="101">
        <f t="shared" si="36"/>
        <v>12.24</v>
      </c>
      <c r="W204" s="101">
        <f t="shared" si="37"/>
        <v>1245.42</v>
      </c>
      <c r="X204" s="101">
        <f t="shared" si="38"/>
        <v>7781.5086000000001</v>
      </c>
      <c r="Y204" s="101">
        <f t="shared" si="39"/>
        <v>660.05016000000001</v>
      </c>
      <c r="AA204" s="101">
        <v>4</v>
      </c>
      <c r="AB204" s="101">
        <v>5</v>
      </c>
      <c r="AC204" s="101">
        <v>11</v>
      </c>
      <c r="AD204" s="101">
        <v>521.54999999999995</v>
      </c>
      <c r="AE204" s="101">
        <v>125.76300000000001</v>
      </c>
      <c r="AF204" s="225"/>
      <c r="AG204" s="148"/>
      <c r="AH204" s="101">
        <v>30000</v>
      </c>
      <c r="AI204" s="101">
        <f t="shared" si="33"/>
        <v>24000</v>
      </c>
      <c r="AJ204" s="101">
        <f t="shared" si="34"/>
        <v>36000</v>
      </c>
    </row>
    <row r="205" spans="1:36" hidden="1" x14ac:dyDescent="0.3">
      <c r="A205" s="126" t="s">
        <v>174</v>
      </c>
      <c r="B205" s="126">
        <v>13</v>
      </c>
      <c r="C205" s="126">
        <v>71</v>
      </c>
      <c r="D205" s="126" t="str">
        <f t="shared" si="32"/>
        <v>1371</v>
      </c>
      <c r="E205" s="101">
        <v>763.5</v>
      </c>
      <c r="F205" s="101">
        <v>5027</v>
      </c>
      <c r="G205" s="101">
        <v>12876</v>
      </c>
      <c r="H205" s="101">
        <v>101681.54999999999</v>
      </c>
      <c r="I205" s="101">
        <v>47540.667000000001</v>
      </c>
      <c r="J205" s="101">
        <v>468</v>
      </c>
      <c r="K205" s="101">
        <v>6669</v>
      </c>
      <c r="L205" s="101">
        <v>27055</v>
      </c>
      <c r="M205" s="101">
        <v>141512.45000000001</v>
      </c>
      <c r="N205" s="101">
        <v>69585.334000000003</v>
      </c>
      <c r="O205" s="101">
        <v>382</v>
      </c>
      <c r="P205" s="101">
        <v>7553</v>
      </c>
      <c r="Q205" s="101">
        <v>19459</v>
      </c>
      <c r="R205" s="101">
        <v>171027.45999999996</v>
      </c>
      <c r="S205" s="101">
        <v>83987.9</v>
      </c>
      <c r="T205" s="133">
        <v>0.98</v>
      </c>
      <c r="U205" s="101">
        <f t="shared" si="35"/>
        <v>374.36</v>
      </c>
      <c r="V205" s="101">
        <f t="shared" si="36"/>
        <v>7401.94</v>
      </c>
      <c r="W205" s="101">
        <f t="shared" si="37"/>
        <v>19069.82</v>
      </c>
      <c r="X205" s="101">
        <f t="shared" si="38"/>
        <v>167606.91079999995</v>
      </c>
      <c r="Y205" s="101">
        <f t="shared" si="39"/>
        <v>82308.141999999993</v>
      </c>
      <c r="AA205" s="101">
        <v>289</v>
      </c>
      <c r="AB205" s="101">
        <v>7767</v>
      </c>
      <c r="AC205" s="101">
        <v>37566</v>
      </c>
      <c r="AD205" s="101">
        <v>278299.01</v>
      </c>
      <c r="AE205" s="101">
        <v>130941.841</v>
      </c>
      <c r="AF205" s="225"/>
      <c r="AG205" s="148"/>
      <c r="AH205" s="101">
        <v>30000</v>
      </c>
      <c r="AI205" s="101">
        <f t="shared" si="33"/>
        <v>24000</v>
      </c>
      <c r="AJ205" s="101">
        <f t="shared" si="34"/>
        <v>36000</v>
      </c>
    </row>
    <row r="206" spans="1:36" hidden="1" x14ac:dyDescent="0.3">
      <c r="A206" s="126" t="s">
        <v>174</v>
      </c>
      <c r="B206" s="126">
        <v>13</v>
      </c>
      <c r="C206" s="126">
        <v>41</v>
      </c>
      <c r="D206" s="126" t="str">
        <f t="shared" si="32"/>
        <v>1341</v>
      </c>
      <c r="O206" s="101">
        <v>8</v>
      </c>
      <c r="P206" s="101">
        <v>37</v>
      </c>
      <c r="Q206" s="101">
        <v>217</v>
      </c>
      <c r="R206" s="101">
        <v>1344.83</v>
      </c>
      <c r="S206" s="101">
        <v>527.24199999999996</v>
      </c>
      <c r="T206" s="133">
        <v>1.02</v>
      </c>
      <c r="U206" s="101">
        <f t="shared" si="35"/>
        <v>8.16</v>
      </c>
      <c r="V206" s="101">
        <f t="shared" si="36"/>
        <v>37.74</v>
      </c>
      <c r="W206" s="101">
        <f t="shared" si="37"/>
        <v>221.34</v>
      </c>
      <c r="X206" s="101">
        <f t="shared" si="38"/>
        <v>1371.7266</v>
      </c>
      <c r="Y206" s="101">
        <f t="shared" si="39"/>
        <v>537.78683999999998</v>
      </c>
      <c r="AA206" s="101">
        <v>2</v>
      </c>
      <c r="AB206" s="101">
        <v>7</v>
      </c>
      <c r="AC206" s="101">
        <v>7</v>
      </c>
      <c r="AD206" s="101">
        <v>93.31</v>
      </c>
      <c r="AE206" s="101">
        <v>86.91</v>
      </c>
      <c r="AF206" s="225"/>
      <c r="AG206" s="148"/>
      <c r="AH206" s="101"/>
      <c r="AI206" s="101"/>
      <c r="AJ206" s="101"/>
    </row>
    <row r="207" spans="1:36" hidden="1" x14ac:dyDescent="0.3">
      <c r="A207" s="126" t="s">
        <v>174</v>
      </c>
      <c r="B207" s="126">
        <v>13</v>
      </c>
      <c r="C207" s="126">
        <v>1</v>
      </c>
      <c r="D207" s="126" t="str">
        <f t="shared" si="32"/>
        <v>131</v>
      </c>
      <c r="J207" s="101">
        <v>110</v>
      </c>
      <c r="K207" s="101">
        <v>110</v>
      </c>
      <c r="L207" s="101">
        <v>32391</v>
      </c>
      <c r="M207" s="101">
        <v>0</v>
      </c>
      <c r="N207" s="101">
        <v>197185</v>
      </c>
      <c r="O207" s="101">
        <v>75</v>
      </c>
      <c r="P207" s="101">
        <v>75</v>
      </c>
      <c r="Q207" s="101">
        <v>28571</v>
      </c>
      <c r="S207" s="101">
        <v>95441</v>
      </c>
      <c r="T207" s="133">
        <v>1.02</v>
      </c>
      <c r="U207" s="101">
        <f t="shared" si="35"/>
        <v>76.5</v>
      </c>
      <c r="V207" s="101">
        <f t="shared" si="36"/>
        <v>76.5</v>
      </c>
      <c r="W207" s="101">
        <f t="shared" si="37"/>
        <v>29142.420000000002</v>
      </c>
      <c r="X207" s="101">
        <f t="shared" si="38"/>
        <v>0</v>
      </c>
      <c r="Y207" s="101">
        <f t="shared" si="39"/>
        <v>97349.82</v>
      </c>
      <c r="AA207" s="101">
        <v>164</v>
      </c>
      <c r="AB207" s="101">
        <v>188</v>
      </c>
      <c r="AC207" s="101">
        <v>35338</v>
      </c>
      <c r="AE207" s="101">
        <v>185727.432</v>
      </c>
      <c r="AF207" s="225"/>
      <c r="AG207" s="148"/>
      <c r="AH207" s="101">
        <v>30000</v>
      </c>
      <c r="AI207" s="101">
        <f t="shared" si="33"/>
        <v>24000</v>
      </c>
      <c r="AJ207" s="101">
        <f t="shared" si="34"/>
        <v>36000</v>
      </c>
    </row>
    <row r="208" spans="1:36" hidden="1" x14ac:dyDescent="0.3">
      <c r="A208" s="126" t="s">
        <v>174</v>
      </c>
      <c r="B208" s="126">
        <v>13</v>
      </c>
      <c r="C208" s="126">
        <v>37</v>
      </c>
      <c r="D208" s="126" t="str">
        <f t="shared" si="32"/>
        <v>1337</v>
      </c>
      <c r="E208" s="101">
        <v>7.5</v>
      </c>
      <c r="F208" s="101">
        <v>24.5</v>
      </c>
      <c r="G208" s="101">
        <v>873.25</v>
      </c>
      <c r="H208" s="101">
        <v>6684.4050000000007</v>
      </c>
      <c r="I208" s="101">
        <v>6192.866</v>
      </c>
      <c r="J208" s="101">
        <v>1</v>
      </c>
      <c r="K208" s="101">
        <v>1</v>
      </c>
      <c r="L208" s="101">
        <v>10</v>
      </c>
      <c r="M208" s="101">
        <v>417.2</v>
      </c>
      <c r="N208" s="101">
        <v>59.4</v>
      </c>
      <c r="O208" s="101">
        <v>2</v>
      </c>
      <c r="P208" s="101">
        <v>2</v>
      </c>
      <c r="Q208" s="101">
        <v>4799</v>
      </c>
      <c r="R208" s="101">
        <v>7390.46</v>
      </c>
      <c r="S208" s="101">
        <v>1943.52</v>
      </c>
      <c r="T208" s="133">
        <v>1.02</v>
      </c>
      <c r="U208" s="101">
        <f t="shared" si="35"/>
        <v>2.04</v>
      </c>
      <c r="V208" s="101">
        <f t="shared" si="36"/>
        <v>2.04</v>
      </c>
      <c r="W208" s="101">
        <f t="shared" si="37"/>
        <v>4894.9800000000005</v>
      </c>
      <c r="X208" s="101">
        <f t="shared" si="38"/>
        <v>7538.2691999999997</v>
      </c>
      <c r="Y208" s="101">
        <f t="shared" si="39"/>
        <v>1982.3904</v>
      </c>
      <c r="AA208" s="101">
        <v>0</v>
      </c>
      <c r="AB208" s="101">
        <v>0</v>
      </c>
      <c r="AC208" s="101">
        <v>0</v>
      </c>
      <c r="AD208" s="101">
        <v>0</v>
      </c>
      <c r="AE208" s="101">
        <v>0</v>
      </c>
      <c r="AF208" s="225"/>
      <c r="AG208" s="148"/>
      <c r="AH208" s="101">
        <v>30000</v>
      </c>
      <c r="AI208" s="101">
        <f t="shared" si="33"/>
        <v>24000</v>
      </c>
      <c r="AJ208" s="101">
        <f t="shared" si="34"/>
        <v>36000</v>
      </c>
    </row>
    <row r="209" spans="1:36" hidden="1" x14ac:dyDescent="0.3">
      <c r="A209" s="126" t="s">
        <v>175</v>
      </c>
      <c r="B209" s="126">
        <v>14</v>
      </c>
      <c r="C209" s="126">
        <v>22</v>
      </c>
      <c r="D209" s="126" t="str">
        <f t="shared" si="32"/>
        <v>1422</v>
      </c>
      <c r="E209" s="101">
        <v>502</v>
      </c>
      <c r="F209" s="101">
        <v>3775</v>
      </c>
      <c r="G209" s="101">
        <v>32252</v>
      </c>
      <c r="H209" s="101">
        <v>126954.33</v>
      </c>
      <c r="I209" s="101">
        <v>110587.773</v>
      </c>
      <c r="J209" s="101">
        <v>539</v>
      </c>
      <c r="K209" s="101">
        <v>4420</v>
      </c>
      <c r="L209" s="101">
        <v>35950</v>
      </c>
      <c r="M209" s="101">
        <v>235830.42</v>
      </c>
      <c r="N209" s="101">
        <v>145648.73199999999</v>
      </c>
      <c r="O209" s="101">
        <v>724</v>
      </c>
      <c r="P209" s="101">
        <v>4065</v>
      </c>
      <c r="Q209" s="101">
        <v>25688</v>
      </c>
      <c r="R209" s="101">
        <v>139278.94</v>
      </c>
      <c r="S209" s="101">
        <v>80284.37000000001</v>
      </c>
      <c r="T209" s="133">
        <v>1.02</v>
      </c>
      <c r="U209" s="101">
        <f t="shared" si="35"/>
        <v>738.48</v>
      </c>
      <c r="V209" s="101">
        <f t="shared" si="36"/>
        <v>4146.3</v>
      </c>
      <c r="W209" s="101">
        <f t="shared" si="37"/>
        <v>26201.760000000002</v>
      </c>
      <c r="X209" s="101">
        <f t="shared" si="38"/>
        <v>142064.51879999999</v>
      </c>
      <c r="Y209" s="101">
        <f t="shared" si="39"/>
        <v>81890.057400000005</v>
      </c>
      <c r="AA209" s="101">
        <v>515</v>
      </c>
      <c r="AB209" s="101">
        <v>3497</v>
      </c>
      <c r="AC209" s="101">
        <v>27510</v>
      </c>
      <c r="AD209" s="101">
        <v>138875.31</v>
      </c>
      <c r="AE209" s="101">
        <v>103884.427</v>
      </c>
      <c r="AF209" s="225">
        <f>SUM(AB209:AB224)</f>
        <v>20207</v>
      </c>
      <c r="AG209" s="148"/>
      <c r="AH209" s="101">
        <v>30000</v>
      </c>
      <c r="AI209" s="101">
        <f t="shared" si="33"/>
        <v>24000</v>
      </c>
      <c r="AJ209" s="101">
        <f t="shared" si="34"/>
        <v>36000</v>
      </c>
    </row>
    <row r="210" spans="1:36" hidden="1" x14ac:dyDescent="0.3">
      <c r="A210" s="126" t="s">
        <v>175</v>
      </c>
      <c r="B210" s="126">
        <v>14</v>
      </c>
      <c r="C210" s="126">
        <v>25</v>
      </c>
      <c r="D210" s="126" t="str">
        <f t="shared" si="32"/>
        <v>1425</v>
      </c>
      <c r="E210" s="101">
        <v>123</v>
      </c>
      <c r="F210" s="101">
        <v>873</v>
      </c>
      <c r="G210" s="101">
        <v>27292</v>
      </c>
      <c r="H210" s="101">
        <v>140258.72</v>
      </c>
      <c r="I210" s="101">
        <v>104930.224</v>
      </c>
      <c r="J210" s="101">
        <v>220</v>
      </c>
      <c r="K210" s="101">
        <v>1505</v>
      </c>
      <c r="L210" s="101">
        <v>95016</v>
      </c>
      <c r="M210" s="101">
        <v>971585.99</v>
      </c>
      <c r="N210" s="101">
        <v>577600.02500000002</v>
      </c>
      <c r="O210" s="101">
        <v>139</v>
      </c>
      <c r="P210" s="101">
        <v>1978</v>
      </c>
      <c r="Q210" s="101">
        <v>42840</v>
      </c>
      <c r="R210" s="101">
        <v>836165.41000000015</v>
      </c>
      <c r="S210" s="101">
        <v>324967.59899999999</v>
      </c>
      <c r="T210" s="133">
        <v>1.02</v>
      </c>
      <c r="U210" s="101">
        <f t="shared" si="35"/>
        <v>141.78</v>
      </c>
      <c r="V210" s="101">
        <f t="shared" si="36"/>
        <v>2017.56</v>
      </c>
      <c r="W210" s="101">
        <f t="shared" si="37"/>
        <v>43696.800000000003</v>
      </c>
      <c r="X210" s="101">
        <f t="shared" si="38"/>
        <v>852888.71820000012</v>
      </c>
      <c r="Y210" s="101">
        <f t="shared" si="39"/>
        <v>331466.95097999997</v>
      </c>
      <c r="AA210" s="101">
        <v>260</v>
      </c>
      <c r="AB210" s="101">
        <v>2751</v>
      </c>
      <c r="AC210" s="101">
        <v>40485</v>
      </c>
      <c r="AD210" s="101">
        <v>707332.67</v>
      </c>
      <c r="AE210" s="101">
        <v>466343.11200000002</v>
      </c>
      <c r="AF210" s="225"/>
      <c r="AG210" s="148"/>
      <c r="AH210" s="101">
        <v>30000</v>
      </c>
      <c r="AI210" s="101">
        <f t="shared" si="33"/>
        <v>24000</v>
      </c>
      <c r="AJ210" s="101">
        <f t="shared" si="34"/>
        <v>36000</v>
      </c>
    </row>
    <row r="211" spans="1:36" hidden="1" x14ac:dyDescent="0.3">
      <c r="A211" s="126" t="s">
        <v>175</v>
      </c>
      <c r="B211" s="126">
        <v>14</v>
      </c>
      <c r="C211" s="126">
        <v>27</v>
      </c>
      <c r="D211" s="126" t="str">
        <f t="shared" si="32"/>
        <v>1427</v>
      </c>
      <c r="E211" s="101">
        <v>13</v>
      </c>
      <c r="F211" s="101">
        <v>286</v>
      </c>
      <c r="G211" s="101">
        <v>2379</v>
      </c>
      <c r="H211" s="101">
        <v>25105.37</v>
      </c>
      <c r="I211" s="101">
        <v>9299.7989999999991</v>
      </c>
      <c r="J211" s="101">
        <v>14</v>
      </c>
      <c r="K211" s="101">
        <v>79</v>
      </c>
      <c r="L211" s="101">
        <v>307</v>
      </c>
      <c r="M211" s="101">
        <v>7497.78</v>
      </c>
      <c r="N211" s="101">
        <v>2893.6959999999999</v>
      </c>
      <c r="O211" s="101">
        <v>8</v>
      </c>
      <c r="P211" s="101">
        <v>47</v>
      </c>
      <c r="Q211" s="101">
        <v>1158</v>
      </c>
      <c r="R211" s="101">
        <v>10849.3</v>
      </c>
      <c r="S211" s="101">
        <v>6811.7259999999987</v>
      </c>
      <c r="T211" s="133">
        <v>1.02</v>
      </c>
      <c r="U211" s="101">
        <f t="shared" si="35"/>
        <v>8.16</v>
      </c>
      <c r="V211" s="101">
        <f t="shared" si="36"/>
        <v>47.94</v>
      </c>
      <c r="W211" s="101">
        <f t="shared" si="37"/>
        <v>1181.1600000000001</v>
      </c>
      <c r="X211" s="101">
        <f t="shared" si="38"/>
        <v>11066.286</v>
      </c>
      <c r="Y211" s="101">
        <f t="shared" si="39"/>
        <v>6947.9605199999987</v>
      </c>
      <c r="AA211" s="101">
        <v>4</v>
      </c>
      <c r="AB211" s="101">
        <v>9</v>
      </c>
      <c r="AC211" s="101">
        <v>317</v>
      </c>
      <c r="AD211" s="101">
        <v>4195.8</v>
      </c>
      <c r="AE211" s="101">
        <v>3474.9850000000001</v>
      </c>
      <c r="AF211" s="225"/>
      <c r="AG211" s="148"/>
      <c r="AH211" s="101">
        <v>30000</v>
      </c>
      <c r="AI211" s="101">
        <f t="shared" si="33"/>
        <v>24000</v>
      </c>
      <c r="AJ211" s="101">
        <f t="shared" si="34"/>
        <v>36000</v>
      </c>
    </row>
    <row r="212" spans="1:36" hidden="1" x14ac:dyDescent="0.3">
      <c r="A212" s="126" t="s">
        <v>175</v>
      </c>
      <c r="B212" s="126">
        <v>14</v>
      </c>
      <c r="C212" s="126">
        <v>26</v>
      </c>
      <c r="D212" s="126" t="str">
        <f t="shared" si="32"/>
        <v>1426</v>
      </c>
      <c r="E212" s="101">
        <v>106</v>
      </c>
      <c r="F212" s="101">
        <v>1801</v>
      </c>
      <c r="G212" s="101">
        <v>29606</v>
      </c>
      <c r="H212" s="101">
        <v>473635.25</v>
      </c>
      <c r="I212" s="101">
        <v>176824.07500000001</v>
      </c>
      <c r="J212" s="101">
        <v>63</v>
      </c>
      <c r="K212" s="101">
        <v>1094</v>
      </c>
      <c r="L212" s="101">
        <v>25046</v>
      </c>
      <c r="M212" s="101">
        <v>188142.62</v>
      </c>
      <c r="N212" s="101">
        <v>120904.257</v>
      </c>
      <c r="O212" s="101">
        <v>35</v>
      </c>
      <c r="P212" s="101">
        <v>1005</v>
      </c>
      <c r="Q212" s="101">
        <v>7082</v>
      </c>
      <c r="R212" s="101">
        <v>129924.45</v>
      </c>
      <c r="S212" s="101">
        <v>48156.625</v>
      </c>
      <c r="T212" s="133">
        <v>1.02</v>
      </c>
      <c r="U212" s="101">
        <f t="shared" si="35"/>
        <v>35.700000000000003</v>
      </c>
      <c r="V212" s="101">
        <f t="shared" si="36"/>
        <v>1025.0999999999999</v>
      </c>
      <c r="W212" s="101">
        <f t="shared" si="37"/>
        <v>7223.64</v>
      </c>
      <c r="X212" s="101">
        <f t="shared" si="38"/>
        <v>132522.93900000001</v>
      </c>
      <c r="Y212" s="101">
        <f t="shared" si="39"/>
        <v>49119.7575</v>
      </c>
      <c r="AA212" s="101">
        <v>8</v>
      </c>
      <c r="AB212" s="101">
        <v>102</v>
      </c>
      <c r="AC212" s="101">
        <v>2603</v>
      </c>
      <c r="AD212" s="101">
        <v>29022.37</v>
      </c>
      <c r="AE212" s="101">
        <v>18571.73</v>
      </c>
      <c r="AF212" s="225"/>
      <c r="AG212" s="148"/>
      <c r="AH212" s="101">
        <v>30000</v>
      </c>
      <c r="AI212" s="101">
        <f t="shared" si="33"/>
        <v>24000</v>
      </c>
      <c r="AJ212" s="101">
        <f t="shared" si="34"/>
        <v>36000</v>
      </c>
    </row>
    <row r="213" spans="1:36" hidden="1" x14ac:dyDescent="0.3">
      <c r="A213" s="126" t="s">
        <v>175</v>
      </c>
      <c r="B213" s="126">
        <v>14</v>
      </c>
      <c r="C213" s="126">
        <v>28</v>
      </c>
      <c r="D213" s="126" t="str">
        <f t="shared" si="32"/>
        <v>1428</v>
      </c>
      <c r="J213" s="101">
        <v>7</v>
      </c>
      <c r="K213" s="101">
        <v>7</v>
      </c>
      <c r="L213" s="101">
        <v>59</v>
      </c>
      <c r="M213" s="101">
        <v>1670.69</v>
      </c>
      <c r="N213" s="101">
        <v>381.61799999999999</v>
      </c>
      <c r="O213" s="101">
        <v>49</v>
      </c>
      <c r="P213" s="101">
        <v>565</v>
      </c>
      <c r="Q213" s="101">
        <v>2328</v>
      </c>
      <c r="R213" s="101">
        <v>53245.25</v>
      </c>
      <c r="S213" s="101">
        <v>11477.056999999999</v>
      </c>
      <c r="T213" s="133">
        <v>1.02</v>
      </c>
      <c r="U213" s="101">
        <f t="shared" si="35"/>
        <v>49.980000000000004</v>
      </c>
      <c r="V213" s="101">
        <f t="shared" si="36"/>
        <v>576.29999999999995</v>
      </c>
      <c r="W213" s="101">
        <f t="shared" si="37"/>
        <v>2374.56</v>
      </c>
      <c r="X213" s="101">
        <f t="shared" si="38"/>
        <v>54310.154999999999</v>
      </c>
      <c r="Y213" s="101">
        <f t="shared" si="39"/>
        <v>11706.598139999998</v>
      </c>
      <c r="AA213" s="101">
        <v>56</v>
      </c>
      <c r="AB213" s="101">
        <v>148</v>
      </c>
      <c r="AC213" s="101">
        <v>1023</v>
      </c>
      <c r="AD213" s="101">
        <v>21140.03</v>
      </c>
      <c r="AE213" s="101">
        <v>7161.0609999999997</v>
      </c>
      <c r="AF213" s="225"/>
      <c r="AG213" s="148"/>
      <c r="AH213" s="101"/>
      <c r="AI213" s="101"/>
      <c r="AJ213" s="101"/>
    </row>
    <row r="214" spans="1:36" hidden="1" x14ac:dyDescent="0.3">
      <c r="A214" s="126" t="s">
        <v>175</v>
      </c>
      <c r="B214" s="126">
        <v>14</v>
      </c>
      <c r="C214" s="126">
        <v>32</v>
      </c>
      <c r="D214" s="126" t="str">
        <f t="shared" si="32"/>
        <v>1432</v>
      </c>
      <c r="E214" s="101">
        <v>648</v>
      </c>
      <c r="F214" s="101">
        <v>1562</v>
      </c>
      <c r="G214" s="101">
        <v>44822</v>
      </c>
      <c r="H214" s="101">
        <v>173120.46000000002</v>
      </c>
      <c r="I214" s="101">
        <v>316207.61799999996</v>
      </c>
      <c r="J214" s="101">
        <v>291</v>
      </c>
      <c r="K214" s="101">
        <v>871</v>
      </c>
      <c r="L214" s="101">
        <v>12898</v>
      </c>
      <c r="M214" s="101">
        <v>191678.95</v>
      </c>
      <c r="N214" s="101">
        <v>85238.509000000005</v>
      </c>
      <c r="O214" s="101">
        <v>143</v>
      </c>
      <c r="P214" s="101">
        <v>803</v>
      </c>
      <c r="Q214" s="101">
        <v>17470</v>
      </c>
      <c r="R214" s="101">
        <v>74696.960000000006</v>
      </c>
      <c r="S214" s="101">
        <v>63025.998999999996</v>
      </c>
      <c r="T214" s="133">
        <v>1.02</v>
      </c>
      <c r="U214" s="101">
        <f t="shared" si="35"/>
        <v>145.86000000000001</v>
      </c>
      <c r="V214" s="101">
        <f t="shared" si="36"/>
        <v>819.06000000000006</v>
      </c>
      <c r="W214" s="101">
        <f t="shared" si="37"/>
        <v>17819.400000000001</v>
      </c>
      <c r="X214" s="101">
        <f t="shared" si="38"/>
        <v>76190.899200000014</v>
      </c>
      <c r="Y214" s="101">
        <f t="shared" si="39"/>
        <v>64286.518980000001</v>
      </c>
      <c r="AA214" s="101">
        <v>219</v>
      </c>
      <c r="AB214" s="101">
        <v>1090</v>
      </c>
      <c r="AC214" s="101">
        <v>28775</v>
      </c>
      <c r="AD214" s="101">
        <v>160488.10999999999</v>
      </c>
      <c r="AE214" s="101">
        <v>227445.351</v>
      </c>
      <c r="AF214" s="225"/>
      <c r="AG214" s="148"/>
      <c r="AH214" s="101">
        <v>30000</v>
      </c>
      <c r="AI214" s="101">
        <f t="shared" si="33"/>
        <v>24000</v>
      </c>
      <c r="AJ214" s="101">
        <f t="shared" si="34"/>
        <v>36000</v>
      </c>
    </row>
    <row r="215" spans="1:36" hidden="1" x14ac:dyDescent="0.3">
      <c r="A215" s="126" t="s">
        <v>175</v>
      </c>
      <c r="B215" s="126">
        <v>14</v>
      </c>
      <c r="C215" s="126">
        <v>21</v>
      </c>
      <c r="D215" s="126" t="str">
        <f t="shared" si="32"/>
        <v>1421</v>
      </c>
      <c r="E215" s="101">
        <v>1432</v>
      </c>
      <c r="F215" s="101">
        <v>5036.5</v>
      </c>
      <c r="G215" s="101">
        <v>24518</v>
      </c>
      <c r="H215" s="101">
        <v>366175.89499999996</v>
      </c>
      <c r="I215" s="101">
        <v>93369.549999999988</v>
      </c>
      <c r="J215" s="101">
        <v>426</v>
      </c>
      <c r="K215" s="101">
        <v>3418</v>
      </c>
      <c r="L215" s="101">
        <v>19144</v>
      </c>
      <c r="M215" s="101">
        <v>244765.08</v>
      </c>
      <c r="N215" s="101">
        <v>81029.67</v>
      </c>
      <c r="O215" s="138"/>
      <c r="P215" s="138"/>
      <c r="Q215" s="138"/>
      <c r="R215" s="138"/>
      <c r="S215" s="138"/>
      <c r="T215" s="133">
        <v>1.02</v>
      </c>
      <c r="U215" s="101">
        <f>O215*T215</f>
        <v>0</v>
      </c>
      <c r="V215" s="101">
        <f>P215*T215</f>
        <v>0</v>
      </c>
      <c r="W215" s="101">
        <f>Q215*T215</f>
        <v>0</v>
      </c>
      <c r="X215" s="101">
        <f t="shared" si="38"/>
        <v>0</v>
      </c>
      <c r="Y215" s="101">
        <f>S215*T215</f>
        <v>0</v>
      </c>
      <c r="AA215" s="101">
        <v>74</v>
      </c>
      <c r="AB215" s="101">
        <v>263</v>
      </c>
      <c r="AC215" s="101">
        <v>1805</v>
      </c>
      <c r="AD215" s="101">
        <v>40073.89</v>
      </c>
      <c r="AE215" s="101">
        <v>17550.398000000001</v>
      </c>
      <c r="AF215" s="225"/>
      <c r="AG215" s="148"/>
      <c r="AH215" s="101">
        <v>30000</v>
      </c>
      <c r="AI215" s="101">
        <f t="shared" si="33"/>
        <v>24000</v>
      </c>
      <c r="AJ215" s="101">
        <f t="shared" si="34"/>
        <v>36000</v>
      </c>
    </row>
    <row r="216" spans="1:36" hidden="1" x14ac:dyDescent="0.3">
      <c r="A216" s="126" t="s">
        <v>175</v>
      </c>
      <c r="B216" s="126">
        <v>14</v>
      </c>
      <c r="C216" s="126">
        <v>46</v>
      </c>
      <c r="D216" s="126" t="str">
        <f t="shared" si="32"/>
        <v>1446</v>
      </c>
      <c r="J216" s="101">
        <v>23</v>
      </c>
      <c r="K216" s="101">
        <v>28</v>
      </c>
      <c r="L216" s="101">
        <v>691</v>
      </c>
      <c r="M216" s="101">
        <v>5252.38</v>
      </c>
      <c r="N216" s="101">
        <v>359.62</v>
      </c>
      <c r="O216" s="101">
        <v>13</v>
      </c>
      <c r="P216" s="101">
        <v>19</v>
      </c>
      <c r="Q216" s="101">
        <v>77</v>
      </c>
      <c r="R216" s="101">
        <v>978.13000000000011</v>
      </c>
      <c r="S216" s="101">
        <v>293.57200000000006</v>
      </c>
      <c r="T216" s="133">
        <v>1.02</v>
      </c>
      <c r="U216" s="101">
        <f t="shared" si="35"/>
        <v>13.26</v>
      </c>
      <c r="V216" s="101">
        <f t="shared" si="36"/>
        <v>19.38</v>
      </c>
      <c r="W216" s="101">
        <f t="shared" si="37"/>
        <v>78.540000000000006</v>
      </c>
      <c r="X216" s="101">
        <f t="shared" si="38"/>
        <v>997.69260000000008</v>
      </c>
      <c r="Y216" s="101">
        <f t="shared" si="39"/>
        <v>299.44344000000007</v>
      </c>
      <c r="AA216" s="101">
        <v>4</v>
      </c>
      <c r="AB216" s="101">
        <v>4</v>
      </c>
      <c r="AC216" s="101">
        <v>115</v>
      </c>
      <c r="AD216" s="101">
        <v>1947.87</v>
      </c>
      <c r="AE216" s="101">
        <v>1730.069</v>
      </c>
      <c r="AF216" s="225"/>
      <c r="AG216" s="148"/>
      <c r="AH216" s="101"/>
      <c r="AI216" s="101"/>
      <c r="AJ216" s="101"/>
    </row>
    <row r="217" spans="1:36" hidden="1" x14ac:dyDescent="0.3">
      <c r="A217" s="126" t="s">
        <v>175</v>
      </c>
      <c r="B217" s="126">
        <v>14</v>
      </c>
      <c r="C217" s="126">
        <v>66</v>
      </c>
      <c r="D217" s="126" t="str">
        <f t="shared" si="32"/>
        <v>1466</v>
      </c>
      <c r="J217" s="101">
        <v>1</v>
      </c>
      <c r="K217" s="101">
        <v>1</v>
      </c>
      <c r="L217" s="101">
        <v>2</v>
      </c>
      <c r="M217" s="101">
        <v>6.22</v>
      </c>
      <c r="N217" s="101">
        <v>1.5309999999999999</v>
      </c>
      <c r="O217" s="101">
        <v>15</v>
      </c>
      <c r="P217" s="101">
        <v>19</v>
      </c>
      <c r="Q217" s="101">
        <v>1766</v>
      </c>
      <c r="R217" s="101">
        <v>12764.49</v>
      </c>
      <c r="S217" s="101">
        <v>13518.557999999999</v>
      </c>
      <c r="T217" s="133">
        <v>1.02</v>
      </c>
      <c r="U217" s="101">
        <f t="shared" si="35"/>
        <v>15.3</v>
      </c>
      <c r="V217" s="101">
        <f t="shared" si="36"/>
        <v>19.38</v>
      </c>
      <c r="W217" s="101">
        <f t="shared" si="37"/>
        <v>1801.32</v>
      </c>
      <c r="X217" s="101">
        <f t="shared" si="38"/>
        <v>13019.7798</v>
      </c>
      <c r="Y217" s="101">
        <f t="shared" si="39"/>
        <v>13788.92916</v>
      </c>
      <c r="AA217" s="101">
        <v>29</v>
      </c>
      <c r="AB217" s="101">
        <v>92</v>
      </c>
      <c r="AC217" s="101">
        <v>4205</v>
      </c>
      <c r="AD217" s="101">
        <v>32390.43</v>
      </c>
      <c r="AE217" s="101">
        <v>28703.329000000002</v>
      </c>
      <c r="AF217" s="225"/>
      <c r="AG217" s="148"/>
      <c r="AH217" s="101"/>
      <c r="AI217" s="101"/>
      <c r="AJ217" s="101"/>
    </row>
    <row r="218" spans="1:36" hidden="1" x14ac:dyDescent="0.3">
      <c r="A218" s="126" t="s">
        <v>175</v>
      </c>
      <c r="B218" s="126">
        <v>14</v>
      </c>
      <c r="C218" s="126">
        <v>30</v>
      </c>
      <c r="D218" s="126" t="str">
        <f t="shared" si="32"/>
        <v>1430</v>
      </c>
      <c r="E218" s="101">
        <v>637</v>
      </c>
      <c r="F218" s="101">
        <v>4187.5</v>
      </c>
      <c r="G218" s="101">
        <v>14686.5</v>
      </c>
      <c r="H218" s="101">
        <v>230145.36000000002</v>
      </c>
      <c r="I218" s="101">
        <v>71723.448000000004</v>
      </c>
      <c r="J218" s="101">
        <v>197</v>
      </c>
      <c r="K218" s="101">
        <v>3240</v>
      </c>
      <c r="L218" s="101">
        <v>12643</v>
      </c>
      <c r="M218" s="101">
        <v>307360.86</v>
      </c>
      <c r="N218" s="101">
        <v>94691.392000000007</v>
      </c>
      <c r="O218" s="138">
        <v>369</v>
      </c>
      <c r="P218" s="138">
        <v>6370</v>
      </c>
      <c r="Q218" s="138">
        <v>21230</v>
      </c>
      <c r="R218" s="138">
        <v>456340.18</v>
      </c>
      <c r="S218" s="138">
        <v>115432.91899999999</v>
      </c>
      <c r="T218" s="133">
        <v>1.02</v>
      </c>
      <c r="U218" s="101">
        <f>O218*T218-20</f>
        <v>356.38</v>
      </c>
      <c r="V218" s="101">
        <f>P218*T218-146</f>
        <v>6351.4000000000005</v>
      </c>
      <c r="W218" s="101">
        <f>Q218*T218-790</f>
        <v>20864.600000000002</v>
      </c>
      <c r="X218" s="101">
        <f t="shared" si="38"/>
        <v>465466.98359999998</v>
      </c>
      <c r="Y218" s="101">
        <f>S218*T218-6903</f>
        <v>110838.57738</v>
      </c>
      <c r="AA218" s="101">
        <v>433</v>
      </c>
      <c r="AB218" s="101">
        <v>5989</v>
      </c>
      <c r="AC218" s="101">
        <v>21477</v>
      </c>
      <c r="AD218" s="101">
        <v>536081.09</v>
      </c>
      <c r="AE218" s="101">
        <v>184476.63800000001</v>
      </c>
      <c r="AF218" s="225"/>
      <c r="AG218" s="148"/>
      <c r="AH218" s="101">
        <v>30000</v>
      </c>
      <c r="AI218" s="101">
        <f t="shared" si="33"/>
        <v>24000</v>
      </c>
      <c r="AJ218" s="101">
        <f t="shared" si="34"/>
        <v>36000</v>
      </c>
    </row>
    <row r="219" spans="1:36" x14ac:dyDescent="0.3">
      <c r="A219" s="126" t="s">
        <v>175</v>
      </c>
      <c r="B219" s="126">
        <v>14</v>
      </c>
      <c r="C219" s="126">
        <v>91</v>
      </c>
      <c r="D219" s="126" t="str">
        <f t="shared" si="32"/>
        <v>1491</v>
      </c>
      <c r="J219" s="101">
        <v>12</v>
      </c>
      <c r="K219" s="101">
        <v>66</v>
      </c>
      <c r="L219" s="101">
        <v>85</v>
      </c>
      <c r="M219" s="101">
        <v>865.67</v>
      </c>
      <c r="N219" s="101">
        <v>389.64699999999999</v>
      </c>
      <c r="O219" s="101">
        <v>9</v>
      </c>
      <c r="P219" s="101">
        <v>10</v>
      </c>
      <c r="Q219" s="101">
        <v>28</v>
      </c>
      <c r="R219" s="101">
        <v>410.96000000000004</v>
      </c>
      <c r="S219" s="101">
        <v>316.56299999999999</v>
      </c>
      <c r="T219" s="133">
        <v>1.02</v>
      </c>
      <c r="U219" s="101">
        <f t="shared" si="35"/>
        <v>9.18</v>
      </c>
      <c r="V219" s="101">
        <f t="shared" si="36"/>
        <v>10.199999999999999</v>
      </c>
      <c r="W219" s="101">
        <f t="shared" si="37"/>
        <v>28.560000000000002</v>
      </c>
      <c r="X219" s="101">
        <f t="shared" si="38"/>
        <v>419.17920000000004</v>
      </c>
      <c r="Y219" s="101">
        <f t="shared" si="39"/>
        <v>322.89425999999997</v>
      </c>
      <c r="AA219" s="101">
        <v>6</v>
      </c>
      <c r="AB219" s="101">
        <v>8</v>
      </c>
      <c r="AC219" s="101">
        <v>52</v>
      </c>
      <c r="AD219" s="101">
        <v>301.54000000000002</v>
      </c>
      <c r="AE219" s="101">
        <v>159.73699999999999</v>
      </c>
      <c r="AF219" s="225"/>
      <c r="AG219" s="148"/>
      <c r="AH219" s="101"/>
      <c r="AI219" s="101"/>
      <c r="AJ219" s="101"/>
    </row>
    <row r="220" spans="1:36" hidden="1" x14ac:dyDescent="0.3">
      <c r="A220" s="126" t="s">
        <v>175</v>
      </c>
      <c r="B220" s="126">
        <v>14</v>
      </c>
      <c r="C220" s="126">
        <v>12</v>
      </c>
      <c r="D220" s="126" t="str">
        <f t="shared" si="32"/>
        <v>1412</v>
      </c>
      <c r="J220" s="101">
        <v>1</v>
      </c>
      <c r="K220" s="101">
        <v>3</v>
      </c>
      <c r="L220" s="101">
        <v>3</v>
      </c>
      <c r="M220" s="101">
        <v>584.79</v>
      </c>
      <c r="N220" s="101">
        <v>88.161000000000001</v>
      </c>
      <c r="O220" s="101">
        <v>0</v>
      </c>
      <c r="P220" s="101">
        <v>0</v>
      </c>
      <c r="Q220" s="101">
        <v>0</v>
      </c>
      <c r="R220" s="101">
        <v>0</v>
      </c>
      <c r="S220" s="101">
        <v>0</v>
      </c>
      <c r="T220" s="133">
        <v>1.02</v>
      </c>
      <c r="U220" s="101">
        <f t="shared" si="35"/>
        <v>0</v>
      </c>
      <c r="V220" s="101">
        <f t="shared" si="36"/>
        <v>0</v>
      </c>
      <c r="W220" s="101">
        <f t="shared" si="37"/>
        <v>0</v>
      </c>
      <c r="X220" s="101">
        <f t="shared" si="38"/>
        <v>0</v>
      </c>
      <c r="Y220" s="101">
        <f t="shared" si="39"/>
        <v>0</v>
      </c>
      <c r="AA220" s="101">
        <v>0</v>
      </c>
      <c r="AB220" s="101">
        <v>0</v>
      </c>
      <c r="AC220" s="101">
        <v>0</v>
      </c>
      <c r="AD220" s="101">
        <v>0</v>
      </c>
      <c r="AE220" s="101">
        <v>0</v>
      </c>
      <c r="AF220" s="225"/>
      <c r="AG220" s="148"/>
      <c r="AH220" s="101"/>
      <c r="AI220" s="101"/>
      <c r="AJ220" s="101"/>
    </row>
    <row r="221" spans="1:36" hidden="1" x14ac:dyDescent="0.3">
      <c r="A221" s="126" t="s">
        <v>175</v>
      </c>
      <c r="B221" s="126">
        <v>14</v>
      </c>
      <c r="C221" s="126">
        <v>71</v>
      </c>
      <c r="D221" s="126" t="str">
        <f t="shared" si="32"/>
        <v>1471</v>
      </c>
      <c r="E221" s="101">
        <v>764</v>
      </c>
      <c r="F221" s="101">
        <v>5812</v>
      </c>
      <c r="G221" s="101">
        <v>17602.5</v>
      </c>
      <c r="H221" s="101">
        <v>120899.47000000002</v>
      </c>
      <c r="I221" s="101">
        <v>50792.009999999995</v>
      </c>
      <c r="J221" s="101">
        <v>525</v>
      </c>
      <c r="K221" s="101">
        <v>8269</v>
      </c>
      <c r="L221" s="101">
        <v>36757</v>
      </c>
      <c r="M221" s="101">
        <v>405092.88</v>
      </c>
      <c r="N221" s="101">
        <v>113491.586</v>
      </c>
      <c r="O221" s="101">
        <v>397</v>
      </c>
      <c r="P221" s="101">
        <v>6760</v>
      </c>
      <c r="Q221" s="101">
        <v>17352</v>
      </c>
      <c r="R221" s="101">
        <v>154307.73000000001</v>
      </c>
      <c r="S221" s="101">
        <v>95118.994999999995</v>
      </c>
      <c r="T221" s="133">
        <v>0.98</v>
      </c>
      <c r="U221" s="101">
        <f t="shared" si="35"/>
        <v>389.06</v>
      </c>
      <c r="V221" s="101">
        <f t="shared" si="36"/>
        <v>6624.8</v>
      </c>
      <c r="W221" s="101">
        <f t="shared" si="37"/>
        <v>17004.96</v>
      </c>
      <c r="X221" s="101">
        <f t="shared" si="38"/>
        <v>151221.5754</v>
      </c>
      <c r="Y221" s="101">
        <f t="shared" si="39"/>
        <v>93216.615099999995</v>
      </c>
      <c r="AA221" s="101">
        <v>167</v>
      </c>
      <c r="AB221" s="101">
        <v>6042</v>
      </c>
      <c r="AC221" s="101">
        <v>17653</v>
      </c>
      <c r="AD221" s="101">
        <v>117149.75</v>
      </c>
      <c r="AE221" s="101">
        <v>57063.057000000001</v>
      </c>
      <c r="AF221" s="225"/>
      <c r="AG221" s="148"/>
      <c r="AH221" s="101">
        <v>30000</v>
      </c>
      <c r="AI221" s="101">
        <f t="shared" si="33"/>
        <v>24000</v>
      </c>
      <c r="AJ221" s="101">
        <f t="shared" si="34"/>
        <v>36000</v>
      </c>
    </row>
    <row r="222" spans="1:36" hidden="1" x14ac:dyDescent="0.3">
      <c r="A222" s="126" t="s">
        <v>175</v>
      </c>
      <c r="B222" s="126">
        <v>14</v>
      </c>
      <c r="C222" s="126">
        <v>41</v>
      </c>
      <c r="D222" s="126" t="str">
        <f t="shared" si="32"/>
        <v>1441</v>
      </c>
      <c r="O222" s="101">
        <v>2</v>
      </c>
      <c r="P222" s="101">
        <v>2</v>
      </c>
      <c r="Q222" s="101">
        <v>34</v>
      </c>
      <c r="R222" s="101">
        <v>327.13</v>
      </c>
      <c r="S222" s="101">
        <v>190.91300000000001</v>
      </c>
      <c r="T222" s="133">
        <v>1.02</v>
      </c>
      <c r="U222" s="101">
        <f t="shared" si="35"/>
        <v>2.04</v>
      </c>
      <c r="V222" s="101">
        <f t="shared" si="36"/>
        <v>2.04</v>
      </c>
      <c r="W222" s="101">
        <f t="shared" si="37"/>
        <v>34.68</v>
      </c>
      <c r="X222" s="101">
        <f t="shared" si="38"/>
        <v>333.67259999999999</v>
      </c>
      <c r="Y222" s="101">
        <f t="shared" si="39"/>
        <v>194.73126000000002</v>
      </c>
      <c r="AA222" s="101">
        <v>3</v>
      </c>
      <c r="AB222" s="101">
        <v>17</v>
      </c>
      <c r="AC222" s="101">
        <v>133</v>
      </c>
      <c r="AD222" s="101">
        <v>766.74</v>
      </c>
      <c r="AE222" s="101">
        <v>253.16399999999999</v>
      </c>
      <c r="AF222" s="225"/>
      <c r="AG222" s="148"/>
      <c r="AH222" s="101"/>
      <c r="AI222" s="101"/>
      <c r="AJ222" s="101"/>
    </row>
    <row r="223" spans="1:36" hidden="1" x14ac:dyDescent="0.3">
      <c r="A223" s="126" t="s">
        <v>175</v>
      </c>
      <c r="B223" s="126">
        <v>14</v>
      </c>
      <c r="C223" s="126">
        <v>1</v>
      </c>
      <c r="D223" s="126" t="str">
        <f t="shared" si="32"/>
        <v>141</v>
      </c>
      <c r="J223" s="101">
        <v>245</v>
      </c>
      <c r="K223" s="101">
        <v>245</v>
      </c>
      <c r="L223" s="101">
        <v>93976</v>
      </c>
      <c r="M223" s="101">
        <v>0</v>
      </c>
      <c r="N223" s="101">
        <v>557890</v>
      </c>
      <c r="O223" s="101">
        <v>128</v>
      </c>
      <c r="P223" s="101">
        <v>128</v>
      </c>
      <c r="Q223" s="101">
        <v>27461</v>
      </c>
      <c r="S223" s="101">
        <v>182698.59499999997</v>
      </c>
      <c r="T223" s="133">
        <v>1.02</v>
      </c>
      <c r="U223" s="101">
        <f t="shared" si="35"/>
        <v>130.56</v>
      </c>
      <c r="V223" s="101">
        <f t="shared" si="36"/>
        <v>130.56</v>
      </c>
      <c r="W223" s="101">
        <f t="shared" si="37"/>
        <v>28010.22</v>
      </c>
      <c r="X223" s="101">
        <f t="shared" si="38"/>
        <v>0</v>
      </c>
      <c r="Y223" s="101">
        <f t="shared" si="39"/>
        <v>186352.56689999998</v>
      </c>
      <c r="AA223" s="101">
        <v>132</v>
      </c>
      <c r="AB223" s="101">
        <v>195</v>
      </c>
      <c r="AC223" s="101">
        <v>30990</v>
      </c>
      <c r="AE223" s="101">
        <v>127431.33500000001</v>
      </c>
      <c r="AF223" s="225"/>
      <c r="AG223" s="148"/>
      <c r="AH223" s="101"/>
      <c r="AI223" s="101"/>
      <c r="AJ223" s="101"/>
    </row>
    <row r="224" spans="1:36" hidden="1" x14ac:dyDescent="0.3">
      <c r="A224" s="126" t="s">
        <v>175</v>
      </c>
      <c r="B224" s="126">
        <v>14</v>
      </c>
      <c r="C224" s="126">
        <v>37</v>
      </c>
      <c r="D224" s="126" t="str">
        <f t="shared" si="32"/>
        <v>1437</v>
      </c>
      <c r="E224" s="101">
        <v>13.5</v>
      </c>
      <c r="F224" s="101">
        <v>39.25</v>
      </c>
      <c r="G224" s="101">
        <v>4500.25</v>
      </c>
      <c r="H224" s="101">
        <v>9552.994999999999</v>
      </c>
      <c r="I224" s="101">
        <v>5255.603250000001</v>
      </c>
      <c r="J224" s="101">
        <v>0</v>
      </c>
      <c r="K224" s="101">
        <v>0</v>
      </c>
      <c r="L224" s="101">
        <v>0</v>
      </c>
      <c r="M224" s="101">
        <v>0</v>
      </c>
      <c r="N224" s="101">
        <v>0</v>
      </c>
      <c r="O224" s="101">
        <v>1</v>
      </c>
      <c r="P224" s="101">
        <v>1</v>
      </c>
      <c r="Q224" s="101">
        <v>480</v>
      </c>
      <c r="R224" s="101">
        <v>782.4</v>
      </c>
      <c r="S224" s="101">
        <v>544.32000000000005</v>
      </c>
      <c r="T224" s="133">
        <v>1.02</v>
      </c>
      <c r="U224" s="101">
        <f t="shared" si="35"/>
        <v>1.02</v>
      </c>
      <c r="V224" s="101">
        <f t="shared" si="36"/>
        <v>1.02</v>
      </c>
      <c r="W224" s="101">
        <f t="shared" si="37"/>
        <v>489.6</v>
      </c>
      <c r="X224" s="101">
        <f t="shared" si="38"/>
        <v>798.048</v>
      </c>
      <c r="Y224" s="101">
        <f t="shared" si="39"/>
        <v>555.20640000000003</v>
      </c>
      <c r="AA224" s="101">
        <v>0</v>
      </c>
      <c r="AB224" s="101">
        <v>0</v>
      </c>
      <c r="AC224" s="101">
        <v>0</v>
      </c>
      <c r="AD224" s="101">
        <v>0</v>
      </c>
      <c r="AE224" s="101">
        <v>0</v>
      </c>
      <c r="AF224" s="225"/>
      <c r="AG224" s="148"/>
      <c r="AH224" s="101">
        <v>30000</v>
      </c>
      <c r="AI224" s="101">
        <f t="shared" si="33"/>
        <v>24000</v>
      </c>
      <c r="AJ224" s="101">
        <f t="shared" si="34"/>
        <v>36000</v>
      </c>
    </row>
    <row r="225" spans="1:36" hidden="1" x14ac:dyDescent="0.3">
      <c r="A225" s="126" t="s">
        <v>175</v>
      </c>
      <c r="B225" s="126">
        <v>15</v>
      </c>
      <c r="C225" s="126">
        <v>22</v>
      </c>
      <c r="D225" s="126" t="str">
        <f t="shared" si="32"/>
        <v>1522</v>
      </c>
      <c r="E225" s="101">
        <v>527</v>
      </c>
      <c r="F225" s="101">
        <v>6066</v>
      </c>
      <c r="G225" s="101">
        <v>41240</v>
      </c>
      <c r="H225" s="101">
        <v>148662.97999999998</v>
      </c>
      <c r="I225" s="101">
        <v>119897.76500000001</v>
      </c>
      <c r="J225" s="127">
        <v>391</v>
      </c>
      <c r="K225" s="127">
        <v>3138</v>
      </c>
      <c r="L225" s="127">
        <v>24321</v>
      </c>
      <c r="M225" s="127">
        <v>203683</v>
      </c>
      <c r="N225" s="127">
        <v>119365</v>
      </c>
      <c r="O225" s="101">
        <v>808</v>
      </c>
      <c r="P225" s="101">
        <v>4597</v>
      </c>
      <c r="Q225" s="101">
        <v>34177</v>
      </c>
      <c r="R225" s="101">
        <v>182233.22999999998</v>
      </c>
      <c r="S225" s="101">
        <v>119103.37900000002</v>
      </c>
      <c r="T225" s="133">
        <v>1.02</v>
      </c>
      <c r="U225" s="101">
        <f t="shared" si="35"/>
        <v>824.16</v>
      </c>
      <c r="V225" s="101">
        <f t="shared" si="36"/>
        <v>4688.9400000000005</v>
      </c>
      <c r="W225" s="101">
        <f t="shared" si="37"/>
        <v>34860.54</v>
      </c>
      <c r="X225" s="101">
        <f t="shared" si="38"/>
        <v>185877.89459999997</v>
      </c>
      <c r="Y225" s="101">
        <f t="shared" si="39"/>
        <v>121485.44658000002</v>
      </c>
      <c r="AA225" s="101">
        <v>480</v>
      </c>
      <c r="AB225" s="101">
        <v>3800</v>
      </c>
      <c r="AC225" s="101">
        <v>29198</v>
      </c>
      <c r="AD225" s="101">
        <v>137372.32</v>
      </c>
      <c r="AE225" s="101">
        <v>113509.06200000001</v>
      </c>
      <c r="AF225" s="225">
        <f t="shared" ref="AF225" si="40">SUM(AB225:AB240)</f>
        <v>22136</v>
      </c>
      <c r="AG225" s="148"/>
      <c r="AH225" s="101">
        <v>30000</v>
      </c>
      <c r="AI225" s="101">
        <f t="shared" si="33"/>
        <v>24000</v>
      </c>
      <c r="AJ225" s="101">
        <f t="shared" si="34"/>
        <v>36000</v>
      </c>
    </row>
    <row r="226" spans="1:36" hidden="1" x14ac:dyDescent="0.3">
      <c r="A226" s="126" t="s">
        <v>175</v>
      </c>
      <c r="B226" s="126">
        <v>15</v>
      </c>
      <c r="C226" s="126">
        <v>25</v>
      </c>
      <c r="D226" s="126" t="str">
        <f t="shared" si="32"/>
        <v>1525</v>
      </c>
      <c r="E226" s="101">
        <v>146</v>
      </c>
      <c r="F226" s="101">
        <v>1087</v>
      </c>
      <c r="G226" s="101">
        <v>41898</v>
      </c>
      <c r="H226" s="101">
        <v>372100.12000000011</v>
      </c>
      <c r="I226" s="101">
        <v>202048.09100000001</v>
      </c>
      <c r="J226" s="127">
        <v>193</v>
      </c>
      <c r="K226" s="127">
        <v>1129</v>
      </c>
      <c r="L226" s="127">
        <v>37824</v>
      </c>
      <c r="M226" s="127">
        <v>207891</v>
      </c>
      <c r="N226" s="127">
        <v>124888</v>
      </c>
      <c r="O226" s="101">
        <v>203</v>
      </c>
      <c r="P226" s="101">
        <v>2859</v>
      </c>
      <c r="Q226" s="101">
        <v>80396</v>
      </c>
      <c r="R226" s="101">
        <v>686259.69000000006</v>
      </c>
      <c r="S226" s="101">
        <v>317109.076</v>
      </c>
      <c r="T226" s="133">
        <v>1.02</v>
      </c>
      <c r="U226" s="101">
        <f t="shared" si="35"/>
        <v>207.06</v>
      </c>
      <c r="V226" s="101">
        <f t="shared" si="36"/>
        <v>2916.18</v>
      </c>
      <c r="W226" s="101">
        <f t="shared" si="37"/>
        <v>82003.92</v>
      </c>
      <c r="X226" s="101">
        <f t="shared" si="38"/>
        <v>699984.88380000007</v>
      </c>
      <c r="Y226" s="101">
        <f t="shared" si="39"/>
        <v>323451.25751999998</v>
      </c>
      <c r="AA226" s="101">
        <v>236</v>
      </c>
      <c r="AB226" s="101">
        <v>2239</v>
      </c>
      <c r="AC226" s="101">
        <v>36019</v>
      </c>
      <c r="AD226" s="101">
        <v>383063.73</v>
      </c>
      <c r="AE226" s="101">
        <v>187657.84400000001</v>
      </c>
      <c r="AF226" s="225"/>
      <c r="AG226" s="148"/>
      <c r="AH226" s="101">
        <v>30000</v>
      </c>
      <c r="AI226" s="101">
        <f t="shared" si="33"/>
        <v>24000</v>
      </c>
      <c r="AJ226" s="101">
        <f t="shared" si="34"/>
        <v>36000</v>
      </c>
    </row>
    <row r="227" spans="1:36" hidden="1" x14ac:dyDescent="0.3">
      <c r="A227" s="126" t="s">
        <v>175</v>
      </c>
      <c r="B227" s="126">
        <v>15</v>
      </c>
      <c r="C227" s="126">
        <v>27</v>
      </c>
      <c r="D227" s="126" t="str">
        <f t="shared" si="32"/>
        <v>1527</v>
      </c>
      <c r="E227" s="101">
        <v>11</v>
      </c>
      <c r="F227" s="101">
        <v>267</v>
      </c>
      <c r="G227" s="101">
        <v>3027</v>
      </c>
      <c r="H227" s="101">
        <v>36383.22</v>
      </c>
      <c r="I227" s="101">
        <v>8899.2259999999987</v>
      </c>
      <c r="J227" s="127">
        <v>10</v>
      </c>
      <c r="K227" s="127">
        <v>35</v>
      </c>
      <c r="L227" s="127">
        <v>333</v>
      </c>
      <c r="M227" s="127">
        <v>4646</v>
      </c>
      <c r="N227" s="127">
        <v>2804</v>
      </c>
      <c r="O227" s="101">
        <v>7</v>
      </c>
      <c r="P227" s="101">
        <v>12</v>
      </c>
      <c r="Q227" s="101">
        <v>587</v>
      </c>
      <c r="R227" s="101">
        <v>6458</v>
      </c>
      <c r="S227" s="101">
        <v>2661.4100000000003</v>
      </c>
      <c r="T227" s="133">
        <v>1.02</v>
      </c>
      <c r="U227" s="101">
        <f t="shared" si="35"/>
        <v>7.1400000000000006</v>
      </c>
      <c r="V227" s="101">
        <f t="shared" si="36"/>
        <v>12.24</v>
      </c>
      <c r="W227" s="101">
        <f t="shared" si="37"/>
        <v>598.74</v>
      </c>
      <c r="X227" s="101">
        <f t="shared" si="38"/>
        <v>6587.16</v>
      </c>
      <c r="Y227" s="101">
        <f t="shared" si="39"/>
        <v>2714.6382000000003</v>
      </c>
      <c r="AA227" s="101">
        <v>3</v>
      </c>
      <c r="AB227" s="101">
        <v>32</v>
      </c>
      <c r="AC227" s="101">
        <v>295</v>
      </c>
      <c r="AD227" s="101">
        <v>3858</v>
      </c>
      <c r="AE227" s="101">
        <v>1665.9570000000001</v>
      </c>
      <c r="AF227" s="225"/>
      <c r="AG227" s="148"/>
      <c r="AH227" s="101">
        <v>30000</v>
      </c>
      <c r="AI227" s="101">
        <f t="shared" si="33"/>
        <v>24000</v>
      </c>
      <c r="AJ227" s="101">
        <f t="shared" si="34"/>
        <v>36000</v>
      </c>
    </row>
    <row r="228" spans="1:36" hidden="1" x14ac:dyDescent="0.3">
      <c r="A228" s="126" t="s">
        <v>175</v>
      </c>
      <c r="B228" s="126">
        <v>15</v>
      </c>
      <c r="C228" s="126">
        <v>26</v>
      </c>
      <c r="D228" s="126" t="str">
        <f t="shared" si="32"/>
        <v>1526</v>
      </c>
      <c r="E228" s="101">
        <v>104</v>
      </c>
      <c r="F228" s="101">
        <v>3471</v>
      </c>
      <c r="G228" s="101">
        <v>48272</v>
      </c>
      <c r="H228" s="101">
        <v>537469.54</v>
      </c>
      <c r="I228" s="101">
        <v>177678.25600000002</v>
      </c>
      <c r="J228" s="127">
        <v>67</v>
      </c>
      <c r="K228" s="127">
        <v>1863</v>
      </c>
      <c r="L228" s="127">
        <v>19579</v>
      </c>
      <c r="M228" s="127">
        <v>193935</v>
      </c>
      <c r="N228" s="127">
        <v>90918</v>
      </c>
      <c r="O228" s="101">
        <v>35</v>
      </c>
      <c r="P228" s="101">
        <v>597</v>
      </c>
      <c r="Q228" s="101">
        <v>8721</v>
      </c>
      <c r="R228" s="101">
        <v>130736.19</v>
      </c>
      <c r="S228" s="101">
        <v>50542.425000000003</v>
      </c>
      <c r="T228" s="133">
        <v>1.02</v>
      </c>
      <c r="U228" s="101">
        <f t="shared" si="35"/>
        <v>35.700000000000003</v>
      </c>
      <c r="V228" s="101">
        <f t="shared" si="36"/>
        <v>608.94000000000005</v>
      </c>
      <c r="W228" s="101">
        <f t="shared" si="37"/>
        <v>8895.42</v>
      </c>
      <c r="X228" s="101">
        <f t="shared" si="38"/>
        <v>133350.91380000001</v>
      </c>
      <c r="Y228" s="101">
        <f t="shared" si="39"/>
        <v>51553.273500000003</v>
      </c>
      <c r="AA228" s="101">
        <v>10</v>
      </c>
      <c r="AB228" s="101">
        <v>492</v>
      </c>
      <c r="AC228" s="101">
        <v>4525</v>
      </c>
      <c r="AD228" s="101">
        <v>70295.740000000005</v>
      </c>
      <c r="AE228" s="101">
        <v>25545.749</v>
      </c>
      <c r="AF228" s="225"/>
      <c r="AG228" s="148"/>
      <c r="AH228" s="101">
        <v>30000</v>
      </c>
      <c r="AI228" s="101">
        <f t="shared" si="33"/>
        <v>24000</v>
      </c>
      <c r="AJ228" s="101">
        <f t="shared" si="34"/>
        <v>36000</v>
      </c>
    </row>
    <row r="229" spans="1:36" hidden="1" x14ac:dyDescent="0.3">
      <c r="A229" s="126" t="s">
        <v>175</v>
      </c>
      <c r="B229" s="126">
        <v>15</v>
      </c>
      <c r="C229" s="126">
        <v>32</v>
      </c>
      <c r="D229" s="126" t="str">
        <f t="shared" si="32"/>
        <v>1532</v>
      </c>
      <c r="E229" s="101">
        <v>671</v>
      </c>
      <c r="F229" s="101">
        <v>2383</v>
      </c>
      <c r="G229" s="101">
        <v>47324</v>
      </c>
      <c r="H229" s="101">
        <v>573385.02</v>
      </c>
      <c r="I229" s="101">
        <v>223256.63500000001</v>
      </c>
      <c r="J229" s="127">
        <v>257</v>
      </c>
      <c r="K229" s="127">
        <v>967</v>
      </c>
      <c r="L229" s="127">
        <v>21445</v>
      </c>
      <c r="M229" s="127">
        <v>142277</v>
      </c>
      <c r="N229" s="127">
        <v>67052</v>
      </c>
      <c r="O229" s="101">
        <v>252</v>
      </c>
      <c r="P229" s="101">
        <v>1242</v>
      </c>
      <c r="Q229" s="101">
        <v>25239</v>
      </c>
      <c r="R229" s="101">
        <v>233824.1</v>
      </c>
      <c r="S229" s="101">
        <v>181945.15700000001</v>
      </c>
      <c r="T229" s="133">
        <v>1.02</v>
      </c>
      <c r="U229" s="101">
        <f t="shared" si="35"/>
        <v>257.04000000000002</v>
      </c>
      <c r="V229" s="101">
        <f t="shared" si="36"/>
        <v>1266.8399999999999</v>
      </c>
      <c r="W229" s="101">
        <f t="shared" si="37"/>
        <v>25743.78</v>
      </c>
      <c r="X229" s="101">
        <f t="shared" si="38"/>
        <v>238500.58200000002</v>
      </c>
      <c r="Y229" s="101">
        <f t="shared" si="39"/>
        <v>185584.06014000002</v>
      </c>
      <c r="AA229" s="101">
        <v>217</v>
      </c>
      <c r="AB229" s="101">
        <v>1208</v>
      </c>
      <c r="AC229" s="101">
        <v>22917</v>
      </c>
      <c r="AD229" s="101">
        <v>158126.57</v>
      </c>
      <c r="AE229" s="101">
        <v>91901.317999999999</v>
      </c>
      <c r="AF229" s="225"/>
      <c r="AG229" s="148"/>
      <c r="AH229" s="101">
        <v>30000</v>
      </c>
      <c r="AI229" s="101">
        <f t="shared" si="33"/>
        <v>24000</v>
      </c>
      <c r="AJ229" s="101">
        <f t="shared" si="34"/>
        <v>36000</v>
      </c>
    </row>
    <row r="230" spans="1:36" hidden="1" x14ac:dyDescent="0.3">
      <c r="A230" s="126" t="s">
        <v>175</v>
      </c>
      <c r="B230" s="126">
        <v>15</v>
      </c>
      <c r="C230" s="126">
        <v>21</v>
      </c>
      <c r="D230" s="126" t="str">
        <f t="shared" si="32"/>
        <v>1521</v>
      </c>
      <c r="E230" s="101">
        <v>1932.5</v>
      </c>
      <c r="F230" s="101">
        <v>6439</v>
      </c>
      <c r="G230" s="101">
        <v>22898.5</v>
      </c>
      <c r="H230" s="101">
        <v>324343.11499999999</v>
      </c>
      <c r="I230" s="101">
        <v>79536.011499999993</v>
      </c>
      <c r="J230" s="127">
        <v>416</v>
      </c>
      <c r="K230" s="127">
        <v>3176</v>
      </c>
      <c r="L230" s="127">
        <v>13759</v>
      </c>
      <c r="M230" s="127">
        <v>228018</v>
      </c>
      <c r="N230" s="127">
        <v>183535</v>
      </c>
      <c r="O230" s="138"/>
      <c r="P230" s="138"/>
      <c r="Q230" s="138"/>
      <c r="R230" s="138"/>
      <c r="S230" s="138"/>
      <c r="T230" s="133">
        <v>1.02</v>
      </c>
      <c r="U230" s="101">
        <f t="shared" si="35"/>
        <v>0</v>
      </c>
      <c r="V230" s="101">
        <f t="shared" si="36"/>
        <v>0</v>
      </c>
      <c r="W230" s="101">
        <f t="shared" si="37"/>
        <v>0</v>
      </c>
      <c r="X230" s="101">
        <f t="shared" si="38"/>
        <v>0</v>
      </c>
      <c r="Y230" s="101">
        <f t="shared" si="39"/>
        <v>0</v>
      </c>
      <c r="AA230" s="101">
        <v>63</v>
      </c>
      <c r="AB230" s="101">
        <v>247</v>
      </c>
      <c r="AC230" s="101">
        <v>941</v>
      </c>
      <c r="AD230" s="101">
        <v>23442.27</v>
      </c>
      <c r="AE230" s="101">
        <v>8622.58</v>
      </c>
      <c r="AF230" s="225"/>
      <c r="AG230" s="148"/>
      <c r="AH230" s="101">
        <v>30000</v>
      </c>
      <c r="AI230" s="101">
        <f t="shared" si="33"/>
        <v>24000</v>
      </c>
      <c r="AJ230" s="101">
        <f t="shared" si="34"/>
        <v>36000</v>
      </c>
    </row>
    <row r="231" spans="1:36" hidden="1" x14ac:dyDescent="0.3">
      <c r="A231" s="126" t="s">
        <v>175</v>
      </c>
      <c r="B231" s="126">
        <v>15</v>
      </c>
      <c r="C231" s="126">
        <v>30</v>
      </c>
      <c r="D231" s="126" t="str">
        <f t="shared" si="32"/>
        <v>1530</v>
      </c>
      <c r="E231" s="101">
        <v>460.5</v>
      </c>
      <c r="F231" s="101">
        <v>3710</v>
      </c>
      <c r="G231" s="101">
        <v>12982.5</v>
      </c>
      <c r="H231" s="101">
        <v>296142.24</v>
      </c>
      <c r="I231" s="101">
        <v>90017.408500000005</v>
      </c>
      <c r="J231" s="127">
        <v>180</v>
      </c>
      <c r="K231" s="127">
        <v>2204</v>
      </c>
      <c r="L231" s="127">
        <v>10389</v>
      </c>
      <c r="M231" s="127">
        <v>237005</v>
      </c>
      <c r="N231" s="127">
        <v>86113</v>
      </c>
      <c r="O231" s="138">
        <v>428</v>
      </c>
      <c r="P231" s="138">
        <v>6875</v>
      </c>
      <c r="Q231" s="138">
        <v>25655</v>
      </c>
      <c r="R231" s="138">
        <v>487901.13</v>
      </c>
      <c r="S231" s="138">
        <v>172651.78699999995</v>
      </c>
      <c r="T231" s="133">
        <v>1.02</v>
      </c>
      <c r="U231" s="101">
        <f t="shared" si="35"/>
        <v>436.56</v>
      </c>
      <c r="V231" s="101">
        <f t="shared" si="36"/>
        <v>7012.5</v>
      </c>
      <c r="W231" s="101">
        <f t="shared" si="37"/>
        <v>26168.100000000002</v>
      </c>
      <c r="X231" s="101">
        <f t="shared" si="38"/>
        <v>497659.15260000003</v>
      </c>
      <c r="Y231" s="101">
        <f t="shared" si="39"/>
        <v>176104.82273999995</v>
      </c>
      <c r="AA231" s="101">
        <v>390</v>
      </c>
      <c r="AB231" s="101">
        <v>7933</v>
      </c>
      <c r="AC231" s="101">
        <v>31072</v>
      </c>
      <c r="AD231" s="101">
        <v>726938.97</v>
      </c>
      <c r="AE231" s="101">
        <v>260619.671</v>
      </c>
      <c r="AF231" s="225"/>
      <c r="AG231" s="148"/>
      <c r="AH231" s="101">
        <v>30000</v>
      </c>
      <c r="AI231" s="101">
        <f t="shared" si="33"/>
        <v>24000</v>
      </c>
      <c r="AJ231" s="101">
        <f t="shared" si="34"/>
        <v>36000</v>
      </c>
    </row>
    <row r="232" spans="1:36" hidden="1" x14ac:dyDescent="0.3">
      <c r="A232" s="126" t="s">
        <v>175</v>
      </c>
      <c r="B232" s="126">
        <v>15</v>
      </c>
      <c r="C232" s="126">
        <v>28</v>
      </c>
      <c r="D232" s="126" t="str">
        <f t="shared" si="32"/>
        <v>1528</v>
      </c>
      <c r="J232" s="127">
        <v>16</v>
      </c>
      <c r="K232" s="127">
        <v>45</v>
      </c>
      <c r="L232" s="127">
        <v>658</v>
      </c>
      <c r="M232" s="127">
        <v>11290</v>
      </c>
      <c r="N232" s="127">
        <v>3189</v>
      </c>
      <c r="O232" s="101">
        <v>63</v>
      </c>
      <c r="P232" s="101">
        <v>291</v>
      </c>
      <c r="Q232" s="101">
        <v>1252</v>
      </c>
      <c r="R232" s="101">
        <v>39692.950000000012</v>
      </c>
      <c r="S232" s="101">
        <v>9089.4790000000012</v>
      </c>
      <c r="T232" s="133">
        <v>1.02</v>
      </c>
      <c r="U232" s="101">
        <f t="shared" si="35"/>
        <v>64.260000000000005</v>
      </c>
      <c r="V232" s="101">
        <f t="shared" si="36"/>
        <v>296.82</v>
      </c>
      <c r="W232" s="101">
        <f t="shared" si="37"/>
        <v>1277.04</v>
      </c>
      <c r="X232" s="101">
        <f t="shared" si="38"/>
        <v>40486.809000000016</v>
      </c>
      <c r="Y232" s="101">
        <f t="shared" si="39"/>
        <v>9271.2685800000017</v>
      </c>
      <c r="AA232" s="101">
        <v>45</v>
      </c>
      <c r="AB232" s="101">
        <v>214</v>
      </c>
      <c r="AC232" s="101">
        <v>1573</v>
      </c>
      <c r="AD232" s="101">
        <v>27560.23</v>
      </c>
      <c r="AE232" s="101">
        <v>6686.4669999999996</v>
      </c>
      <c r="AF232" s="225"/>
      <c r="AG232" s="148"/>
      <c r="AH232" s="101"/>
      <c r="AI232" s="101"/>
      <c r="AJ232" s="101"/>
    </row>
    <row r="233" spans="1:36" hidden="1" x14ac:dyDescent="0.3">
      <c r="A233" s="126" t="s">
        <v>175</v>
      </c>
      <c r="B233" s="126">
        <v>15</v>
      </c>
      <c r="C233" s="126">
        <v>46</v>
      </c>
      <c r="D233" s="126" t="str">
        <f t="shared" si="32"/>
        <v>1546</v>
      </c>
      <c r="J233" s="127">
        <v>18</v>
      </c>
      <c r="K233" s="127">
        <v>20</v>
      </c>
      <c r="L233" s="127">
        <v>250</v>
      </c>
      <c r="M233" s="127">
        <v>3326</v>
      </c>
      <c r="N233" s="127">
        <v>384</v>
      </c>
      <c r="O233" s="101">
        <v>6</v>
      </c>
      <c r="P233" s="101">
        <v>6</v>
      </c>
      <c r="Q233" s="101">
        <v>247</v>
      </c>
      <c r="R233" s="101">
        <v>2457.9</v>
      </c>
      <c r="S233" s="101">
        <v>773.64300000000003</v>
      </c>
      <c r="T233" s="133">
        <v>1.02</v>
      </c>
      <c r="U233" s="101">
        <f t="shared" si="35"/>
        <v>6.12</v>
      </c>
      <c r="V233" s="101">
        <f t="shared" si="36"/>
        <v>6.12</v>
      </c>
      <c r="W233" s="101">
        <f t="shared" si="37"/>
        <v>251.94</v>
      </c>
      <c r="X233" s="101">
        <f t="shared" si="38"/>
        <v>2507.058</v>
      </c>
      <c r="Y233" s="101">
        <f t="shared" si="39"/>
        <v>789.11586</v>
      </c>
      <c r="AA233" s="101">
        <v>8</v>
      </c>
      <c r="AB233" s="101">
        <v>8</v>
      </c>
      <c r="AC233" s="101">
        <v>45</v>
      </c>
      <c r="AD233" s="101">
        <v>528.05999999999995</v>
      </c>
      <c r="AE233" s="101">
        <v>81.599000000000004</v>
      </c>
      <c r="AF233" s="225"/>
      <c r="AG233" s="148"/>
      <c r="AH233" s="101"/>
      <c r="AI233" s="101"/>
      <c r="AJ233" s="101"/>
    </row>
    <row r="234" spans="1:36" hidden="1" x14ac:dyDescent="0.3">
      <c r="A234" s="126" t="s">
        <v>175</v>
      </c>
      <c r="B234" s="126">
        <v>15</v>
      </c>
      <c r="C234" s="126">
        <v>66</v>
      </c>
      <c r="D234" s="126" t="str">
        <f t="shared" si="32"/>
        <v>1566</v>
      </c>
      <c r="J234" s="127">
        <v>5</v>
      </c>
      <c r="K234" s="127">
        <v>5</v>
      </c>
      <c r="L234" s="127">
        <v>20</v>
      </c>
      <c r="M234" s="127">
        <v>213</v>
      </c>
      <c r="N234" s="127">
        <v>147</v>
      </c>
      <c r="O234" s="101">
        <v>7</v>
      </c>
      <c r="P234" s="101">
        <v>20</v>
      </c>
      <c r="Q234" s="101">
        <v>1665</v>
      </c>
      <c r="R234" s="101">
        <v>27928.39</v>
      </c>
      <c r="S234" s="101">
        <v>9711.8389999999999</v>
      </c>
      <c r="T234" s="133">
        <v>1.02</v>
      </c>
      <c r="U234" s="101">
        <f t="shared" si="35"/>
        <v>7.1400000000000006</v>
      </c>
      <c r="V234" s="101">
        <f t="shared" si="36"/>
        <v>20.399999999999999</v>
      </c>
      <c r="W234" s="101">
        <f t="shared" si="37"/>
        <v>1698.3</v>
      </c>
      <c r="X234" s="101">
        <f t="shared" si="38"/>
        <v>28486.9578</v>
      </c>
      <c r="Y234" s="101">
        <f t="shared" si="39"/>
        <v>9906.0757799999992</v>
      </c>
      <c r="AA234" s="101">
        <v>5</v>
      </c>
      <c r="AB234" s="101">
        <v>17</v>
      </c>
      <c r="AC234" s="101">
        <v>457</v>
      </c>
      <c r="AD234" s="101">
        <v>5262.11</v>
      </c>
      <c r="AE234" s="101">
        <v>3682.6190000000001</v>
      </c>
      <c r="AF234" s="225"/>
      <c r="AG234" s="148"/>
      <c r="AH234" s="101"/>
      <c r="AI234" s="101"/>
      <c r="AJ234" s="101"/>
    </row>
    <row r="235" spans="1:36" hidden="1" x14ac:dyDescent="0.3">
      <c r="A235" s="126" t="s">
        <v>175</v>
      </c>
      <c r="B235" s="126">
        <v>15</v>
      </c>
      <c r="C235" s="126">
        <v>12</v>
      </c>
      <c r="D235" s="126" t="str">
        <f t="shared" si="32"/>
        <v>1512</v>
      </c>
      <c r="J235" s="127">
        <v>2</v>
      </c>
      <c r="K235" s="127">
        <v>2</v>
      </c>
      <c r="L235" s="127">
        <v>2</v>
      </c>
      <c r="M235" s="127">
        <v>229</v>
      </c>
      <c r="N235" s="127">
        <v>45</v>
      </c>
      <c r="O235" s="101">
        <v>0</v>
      </c>
      <c r="P235" s="101">
        <v>0</v>
      </c>
      <c r="Q235" s="101">
        <v>0</v>
      </c>
      <c r="R235" s="101">
        <v>0</v>
      </c>
      <c r="S235" s="101">
        <v>0</v>
      </c>
      <c r="T235" s="133">
        <v>1.02</v>
      </c>
      <c r="U235" s="101">
        <f t="shared" si="35"/>
        <v>0</v>
      </c>
      <c r="V235" s="101">
        <f t="shared" si="36"/>
        <v>0</v>
      </c>
      <c r="W235" s="101">
        <f t="shared" si="37"/>
        <v>0</v>
      </c>
      <c r="X235" s="101">
        <f t="shared" si="38"/>
        <v>0</v>
      </c>
      <c r="Y235" s="101">
        <f t="shared" si="39"/>
        <v>0</v>
      </c>
      <c r="AA235" s="101">
        <v>0</v>
      </c>
      <c r="AB235" s="101">
        <v>0</v>
      </c>
      <c r="AC235" s="101">
        <v>0</v>
      </c>
      <c r="AD235" s="101">
        <v>0</v>
      </c>
      <c r="AE235" s="101">
        <v>0</v>
      </c>
      <c r="AF235" s="225"/>
      <c r="AG235" s="148"/>
      <c r="AH235" s="101"/>
      <c r="AI235" s="101"/>
      <c r="AJ235" s="101"/>
    </row>
    <row r="236" spans="1:36" x14ac:dyDescent="0.3">
      <c r="A236" s="126" t="s">
        <v>175</v>
      </c>
      <c r="B236" s="126">
        <v>15</v>
      </c>
      <c r="C236" s="126">
        <v>91</v>
      </c>
      <c r="D236" s="126" t="str">
        <f t="shared" si="32"/>
        <v>1591</v>
      </c>
      <c r="J236" s="127">
        <v>11</v>
      </c>
      <c r="K236" s="127">
        <v>27</v>
      </c>
      <c r="L236" s="127">
        <v>857</v>
      </c>
      <c r="M236" s="127">
        <v>165</v>
      </c>
      <c r="N236" s="127">
        <v>130</v>
      </c>
      <c r="O236" s="101">
        <v>6</v>
      </c>
      <c r="P236" s="101">
        <v>6</v>
      </c>
      <c r="Q236" s="101">
        <v>11</v>
      </c>
      <c r="R236" s="101">
        <v>116.35</v>
      </c>
      <c r="S236" s="101">
        <v>88.858000000000004</v>
      </c>
      <c r="T236" s="133">
        <v>1.02</v>
      </c>
      <c r="U236" s="101">
        <f t="shared" si="35"/>
        <v>6.12</v>
      </c>
      <c r="V236" s="101">
        <f t="shared" si="36"/>
        <v>6.12</v>
      </c>
      <c r="W236" s="101">
        <f t="shared" si="37"/>
        <v>11.22</v>
      </c>
      <c r="X236" s="101">
        <f t="shared" si="38"/>
        <v>118.67699999999999</v>
      </c>
      <c r="Y236" s="101">
        <f t="shared" si="39"/>
        <v>90.635159999999999</v>
      </c>
      <c r="AA236" s="101">
        <v>5</v>
      </c>
      <c r="AB236" s="101">
        <v>6</v>
      </c>
      <c r="AC236" s="101">
        <v>11</v>
      </c>
      <c r="AD236" s="101">
        <v>383.64</v>
      </c>
      <c r="AE236" s="101">
        <v>53.198999999999998</v>
      </c>
      <c r="AF236" s="225"/>
      <c r="AG236" s="148"/>
      <c r="AH236" s="101"/>
      <c r="AI236" s="101"/>
      <c r="AJ236" s="101"/>
    </row>
    <row r="237" spans="1:36" hidden="1" x14ac:dyDescent="0.3">
      <c r="A237" s="126" t="s">
        <v>175</v>
      </c>
      <c r="B237" s="126">
        <v>15</v>
      </c>
      <c r="C237" s="126">
        <v>71</v>
      </c>
      <c r="D237" s="126" t="str">
        <f t="shared" si="32"/>
        <v>1571</v>
      </c>
      <c r="E237" s="101">
        <v>820</v>
      </c>
      <c r="F237" s="101">
        <v>5739.5</v>
      </c>
      <c r="G237" s="101">
        <v>17292.5</v>
      </c>
      <c r="H237" s="101">
        <v>129126.18</v>
      </c>
      <c r="I237" s="101">
        <v>47658.688999999998</v>
      </c>
      <c r="J237" s="127">
        <v>495</v>
      </c>
      <c r="K237" s="127">
        <v>6594</v>
      </c>
      <c r="L237" s="127">
        <v>22233</v>
      </c>
      <c r="M237" s="127">
        <v>189522</v>
      </c>
      <c r="N237" s="127">
        <v>66147</v>
      </c>
      <c r="O237" s="101">
        <v>652</v>
      </c>
      <c r="P237" s="101">
        <v>7658</v>
      </c>
      <c r="Q237" s="101">
        <v>35933</v>
      </c>
      <c r="R237" s="101">
        <v>262821.62</v>
      </c>
      <c r="S237" s="101">
        <v>149373.88500000001</v>
      </c>
      <c r="T237" s="133">
        <v>0.98</v>
      </c>
      <c r="U237" s="101">
        <f t="shared" si="35"/>
        <v>638.96</v>
      </c>
      <c r="V237" s="101">
        <f t="shared" si="36"/>
        <v>7504.84</v>
      </c>
      <c r="W237" s="101">
        <f t="shared" si="37"/>
        <v>35214.339999999997</v>
      </c>
      <c r="X237" s="101">
        <f t="shared" si="38"/>
        <v>257565.1876</v>
      </c>
      <c r="Y237" s="101">
        <f t="shared" si="39"/>
        <v>146386.40730000002</v>
      </c>
      <c r="AA237" s="101">
        <v>155</v>
      </c>
      <c r="AB237" s="101">
        <v>5747</v>
      </c>
      <c r="AC237" s="101">
        <v>16884</v>
      </c>
      <c r="AD237" s="101">
        <v>109954.39</v>
      </c>
      <c r="AE237" s="101">
        <v>50560.483</v>
      </c>
      <c r="AF237" s="225"/>
      <c r="AG237" s="148"/>
      <c r="AH237" s="101">
        <v>30000</v>
      </c>
      <c r="AI237" s="101">
        <f>(AH237/100)*80</f>
        <v>24000</v>
      </c>
      <c r="AJ237" s="101">
        <f>(AH237/100)*120</f>
        <v>36000</v>
      </c>
    </row>
    <row r="238" spans="1:36" hidden="1" x14ac:dyDescent="0.3">
      <c r="A238" s="126" t="s">
        <v>175</v>
      </c>
      <c r="B238" s="126">
        <v>15</v>
      </c>
      <c r="C238" s="126">
        <v>41</v>
      </c>
      <c r="D238" s="126" t="str">
        <f t="shared" si="32"/>
        <v>1541</v>
      </c>
      <c r="J238" s="127"/>
      <c r="K238" s="127"/>
      <c r="L238" s="127"/>
      <c r="M238" s="127"/>
      <c r="N238" s="127"/>
      <c r="O238" s="101">
        <v>9</v>
      </c>
      <c r="P238" s="101">
        <v>9</v>
      </c>
      <c r="Q238" s="101">
        <v>155</v>
      </c>
      <c r="R238" s="101">
        <v>2315.7300000000005</v>
      </c>
      <c r="S238" s="101">
        <v>922.53399999999999</v>
      </c>
      <c r="T238" s="133">
        <v>1.02</v>
      </c>
      <c r="U238" s="101">
        <f t="shared" si="35"/>
        <v>9.18</v>
      </c>
      <c r="V238" s="101">
        <f t="shared" si="36"/>
        <v>9.18</v>
      </c>
      <c r="W238" s="101">
        <f t="shared" si="37"/>
        <v>158.1</v>
      </c>
      <c r="X238" s="101">
        <f t="shared" si="38"/>
        <v>2362.0446000000006</v>
      </c>
      <c r="Y238" s="101">
        <f t="shared" si="39"/>
        <v>940.98468000000003</v>
      </c>
      <c r="AA238" s="101">
        <v>2</v>
      </c>
      <c r="AB238" s="101">
        <v>2</v>
      </c>
      <c r="AC238" s="101">
        <v>6</v>
      </c>
      <c r="AD238" s="101">
        <v>142.24</v>
      </c>
      <c r="AE238" s="101">
        <v>31.893000000000001</v>
      </c>
      <c r="AF238" s="225"/>
      <c r="AG238" s="148"/>
      <c r="AH238" s="101"/>
      <c r="AI238" s="101"/>
      <c r="AJ238" s="101"/>
    </row>
    <row r="239" spans="1:36" hidden="1" x14ac:dyDescent="0.3">
      <c r="A239" s="126" t="s">
        <v>175</v>
      </c>
      <c r="B239" s="126">
        <v>15</v>
      </c>
      <c r="C239" s="126">
        <v>1</v>
      </c>
      <c r="D239" s="126" t="str">
        <f t="shared" si="32"/>
        <v>151</v>
      </c>
      <c r="J239" s="127">
        <v>59</v>
      </c>
      <c r="K239" s="127">
        <v>59</v>
      </c>
      <c r="L239" s="127">
        <v>14142</v>
      </c>
      <c r="M239" s="127">
        <v>0</v>
      </c>
      <c r="N239" s="127">
        <v>141029</v>
      </c>
      <c r="O239" s="101">
        <v>78</v>
      </c>
      <c r="P239" s="101">
        <v>78</v>
      </c>
      <c r="Q239" s="101">
        <v>15598</v>
      </c>
      <c r="S239" s="101">
        <v>69687</v>
      </c>
      <c r="T239" s="133">
        <v>1.02</v>
      </c>
      <c r="U239" s="101">
        <f t="shared" si="35"/>
        <v>79.56</v>
      </c>
      <c r="V239" s="101">
        <f t="shared" si="36"/>
        <v>79.56</v>
      </c>
      <c r="W239" s="101">
        <f t="shared" si="37"/>
        <v>15909.960000000001</v>
      </c>
      <c r="X239" s="101">
        <f t="shared" si="38"/>
        <v>0</v>
      </c>
      <c r="Y239" s="101">
        <f t="shared" si="39"/>
        <v>71080.740000000005</v>
      </c>
      <c r="AA239" s="101">
        <v>145</v>
      </c>
      <c r="AB239" s="101">
        <v>176</v>
      </c>
      <c r="AC239" s="101">
        <v>19042</v>
      </c>
      <c r="AE239" s="101">
        <v>116836.07</v>
      </c>
      <c r="AF239" s="225"/>
      <c r="AG239" s="148"/>
      <c r="AH239" s="101">
        <v>30000</v>
      </c>
      <c r="AI239" s="101">
        <f>(AH239/100)*80</f>
        <v>24000</v>
      </c>
      <c r="AJ239" s="101">
        <f>(AH239/100)*120</f>
        <v>36000</v>
      </c>
    </row>
    <row r="240" spans="1:36" hidden="1" x14ac:dyDescent="0.3">
      <c r="A240" s="126" t="s">
        <v>175</v>
      </c>
      <c r="B240" s="126">
        <v>15</v>
      </c>
      <c r="C240" s="126">
        <v>37</v>
      </c>
      <c r="D240" s="126" t="str">
        <f t="shared" si="32"/>
        <v>1537</v>
      </c>
      <c r="E240" s="101">
        <v>12.25</v>
      </c>
      <c r="F240" s="101">
        <v>24.25</v>
      </c>
      <c r="G240" s="101">
        <v>541.5</v>
      </c>
      <c r="H240" s="101">
        <v>2759.5625</v>
      </c>
      <c r="I240" s="101">
        <v>1563.5339999999999</v>
      </c>
      <c r="J240" s="127">
        <v>0</v>
      </c>
      <c r="K240" s="127">
        <v>0</v>
      </c>
      <c r="L240" s="127">
        <v>0</v>
      </c>
      <c r="M240" s="127">
        <v>0</v>
      </c>
      <c r="N240" s="127">
        <v>0</v>
      </c>
      <c r="O240" s="101">
        <v>0</v>
      </c>
      <c r="P240" s="101">
        <v>0</v>
      </c>
      <c r="Q240" s="101">
        <v>0</v>
      </c>
      <c r="R240" s="101">
        <v>0</v>
      </c>
      <c r="S240" s="101">
        <v>0</v>
      </c>
      <c r="T240" s="133">
        <v>1.02</v>
      </c>
      <c r="U240" s="101">
        <f t="shared" si="35"/>
        <v>0</v>
      </c>
      <c r="V240" s="101">
        <f t="shared" si="36"/>
        <v>0</v>
      </c>
      <c r="W240" s="101">
        <f t="shared" si="37"/>
        <v>0</v>
      </c>
      <c r="X240" s="101">
        <f t="shared" si="38"/>
        <v>0</v>
      </c>
      <c r="Y240" s="101">
        <f t="shared" si="39"/>
        <v>0</v>
      </c>
      <c r="AA240" s="101">
        <v>3</v>
      </c>
      <c r="AB240" s="101">
        <v>15</v>
      </c>
      <c r="AC240" s="101">
        <v>2025</v>
      </c>
      <c r="AD240" s="101">
        <v>2814.75</v>
      </c>
      <c r="AE240" s="101">
        <v>1782.7139999999999</v>
      </c>
      <c r="AF240" s="225"/>
      <c r="AG240" s="148"/>
      <c r="AH240" s="101">
        <v>30000</v>
      </c>
      <c r="AI240" s="101">
        <f t="shared" si="33"/>
        <v>24000</v>
      </c>
      <c r="AJ240" s="101">
        <f t="shared" si="34"/>
        <v>36000</v>
      </c>
    </row>
    <row r="241" spans="1:36" hidden="1" x14ac:dyDescent="0.3">
      <c r="A241" s="126" t="s">
        <v>175</v>
      </c>
      <c r="B241" s="126">
        <v>16</v>
      </c>
      <c r="C241" s="126">
        <v>22</v>
      </c>
      <c r="D241" s="126" t="str">
        <f t="shared" si="32"/>
        <v>1622</v>
      </c>
      <c r="E241" s="101">
        <v>669</v>
      </c>
      <c r="F241" s="101">
        <v>4981</v>
      </c>
      <c r="G241" s="101">
        <v>51823</v>
      </c>
      <c r="H241" s="101">
        <v>207547.88</v>
      </c>
      <c r="I241" s="101">
        <v>172539.59400000001</v>
      </c>
      <c r="J241" s="127">
        <v>397</v>
      </c>
      <c r="K241" s="127">
        <v>3858</v>
      </c>
      <c r="L241" s="127">
        <v>34608</v>
      </c>
      <c r="M241" s="127">
        <v>187092.25</v>
      </c>
      <c r="N241" s="127">
        <v>114462.36500000001</v>
      </c>
      <c r="O241" s="101">
        <v>533</v>
      </c>
      <c r="P241" s="101">
        <v>2866</v>
      </c>
      <c r="Q241" s="101">
        <v>22986</v>
      </c>
      <c r="R241" s="101">
        <v>123950.41</v>
      </c>
      <c r="S241" s="101">
        <v>79877.388999999996</v>
      </c>
      <c r="T241" s="133">
        <v>1.02</v>
      </c>
      <c r="U241" s="101">
        <f t="shared" si="35"/>
        <v>543.66</v>
      </c>
      <c r="V241" s="101">
        <f t="shared" si="36"/>
        <v>2923.32</v>
      </c>
      <c r="W241" s="101">
        <f t="shared" si="37"/>
        <v>23445.72</v>
      </c>
      <c r="X241" s="101">
        <f t="shared" si="38"/>
        <v>126429.4182</v>
      </c>
      <c r="Y241" s="101">
        <f t="shared" si="39"/>
        <v>81474.936780000004</v>
      </c>
      <c r="AA241" s="101">
        <v>468</v>
      </c>
      <c r="AB241" s="101">
        <v>2695</v>
      </c>
      <c r="AC241" s="101">
        <v>22596</v>
      </c>
      <c r="AD241" s="101">
        <v>157404.82999999999</v>
      </c>
      <c r="AE241" s="101">
        <v>117231.958</v>
      </c>
      <c r="AF241" s="225">
        <f>SUM(AB241:AB257)</f>
        <v>15765</v>
      </c>
      <c r="AG241" s="148"/>
      <c r="AH241" s="101">
        <v>30000</v>
      </c>
      <c r="AI241" s="101">
        <f t="shared" si="33"/>
        <v>24000</v>
      </c>
      <c r="AJ241" s="101">
        <f t="shared" si="34"/>
        <v>36000</v>
      </c>
    </row>
    <row r="242" spans="1:36" hidden="1" x14ac:dyDescent="0.3">
      <c r="A242" s="126" t="s">
        <v>175</v>
      </c>
      <c r="B242" s="126">
        <v>16</v>
      </c>
      <c r="C242" s="126">
        <v>12</v>
      </c>
      <c r="D242" s="126" t="str">
        <f t="shared" si="32"/>
        <v>1612</v>
      </c>
      <c r="J242" s="127">
        <v>2</v>
      </c>
      <c r="K242" s="127">
        <v>2</v>
      </c>
      <c r="L242" s="127">
        <v>2</v>
      </c>
      <c r="M242" s="127">
        <v>0</v>
      </c>
      <c r="N242" s="127">
        <v>9.4E-2</v>
      </c>
      <c r="O242" s="101">
        <v>0</v>
      </c>
      <c r="P242" s="101">
        <v>0</v>
      </c>
      <c r="Q242" s="101">
        <v>0</v>
      </c>
      <c r="R242" s="101">
        <v>0</v>
      </c>
      <c r="S242" s="101">
        <v>0</v>
      </c>
      <c r="T242" s="133">
        <v>1.02</v>
      </c>
      <c r="U242" s="101">
        <f t="shared" si="35"/>
        <v>0</v>
      </c>
      <c r="V242" s="101">
        <f t="shared" si="36"/>
        <v>0</v>
      </c>
      <c r="W242" s="101">
        <f t="shared" si="37"/>
        <v>0</v>
      </c>
      <c r="X242" s="101">
        <f t="shared" si="38"/>
        <v>0</v>
      </c>
      <c r="Y242" s="101">
        <f t="shared" si="39"/>
        <v>0</v>
      </c>
      <c r="AA242" s="101">
        <v>0</v>
      </c>
      <c r="AB242" s="101">
        <v>0</v>
      </c>
      <c r="AC242" s="101">
        <v>0</v>
      </c>
      <c r="AD242" s="101">
        <v>0</v>
      </c>
      <c r="AE242" s="101">
        <v>0</v>
      </c>
      <c r="AF242" s="225"/>
      <c r="AG242" s="148"/>
      <c r="AH242" s="101"/>
      <c r="AI242" s="101"/>
      <c r="AJ242" s="101"/>
    </row>
    <row r="243" spans="1:36" hidden="1" x14ac:dyDescent="0.3">
      <c r="A243" s="126" t="s">
        <v>175</v>
      </c>
      <c r="B243" s="126">
        <v>16</v>
      </c>
      <c r="C243" s="126">
        <v>25</v>
      </c>
      <c r="D243" s="126" t="str">
        <f t="shared" si="32"/>
        <v>1625</v>
      </c>
      <c r="E243" s="101">
        <v>152</v>
      </c>
      <c r="F243" s="101">
        <v>845</v>
      </c>
      <c r="G243" s="101">
        <v>33494</v>
      </c>
      <c r="H243" s="101">
        <v>416948.72000000003</v>
      </c>
      <c r="I243" s="101">
        <v>159689.79500000001</v>
      </c>
      <c r="J243" s="127">
        <v>128</v>
      </c>
      <c r="K243" s="127">
        <v>1148</v>
      </c>
      <c r="L243" s="127">
        <v>31817</v>
      </c>
      <c r="M243" s="127">
        <v>332936.15999999997</v>
      </c>
      <c r="N243" s="127">
        <v>195206.42800000001</v>
      </c>
      <c r="O243" s="101">
        <v>241</v>
      </c>
      <c r="P243" s="101">
        <v>2508</v>
      </c>
      <c r="Q243" s="101">
        <v>47549</v>
      </c>
      <c r="R243" s="101">
        <v>434580.26</v>
      </c>
      <c r="S243" s="101">
        <v>209744.71900000004</v>
      </c>
      <c r="T243" s="133">
        <v>1.02</v>
      </c>
      <c r="U243" s="101">
        <f t="shared" si="35"/>
        <v>245.82</v>
      </c>
      <c r="V243" s="101">
        <f t="shared" si="36"/>
        <v>2558.16</v>
      </c>
      <c r="W243" s="101">
        <f t="shared" si="37"/>
        <v>48499.98</v>
      </c>
      <c r="X243" s="101">
        <f t="shared" si="38"/>
        <v>443271.8652</v>
      </c>
      <c r="Y243" s="101">
        <f t="shared" si="39"/>
        <v>213939.61338000005</v>
      </c>
      <c r="AA243" s="101">
        <v>179</v>
      </c>
      <c r="AB243" s="101">
        <v>1790</v>
      </c>
      <c r="AC243" s="101">
        <v>26426</v>
      </c>
      <c r="AD243" s="101">
        <v>369728.93</v>
      </c>
      <c r="AE243" s="101">
        <v>149846.76500000001</v>
      </c>
      <c r="AF243" s="225"/>
      <c r="AG243" s="148"/>
      <c r="AH243" s="101">
        <v>30000</v>
      </c>
      <c r="AI243" s="101">
        <f t="shared" si="33"/>
        <v>24000</v>
      </c>
      <c r="AJ243" s="101">
        <f t="shared" si="34"/>
        <v>36000</v>
      </c>
    </row>
    <row r="244" spans="1:36" hidden="1" x14ac:dyDescent="0.3">
      <c r="A244" s="126" t="s">
        <v>175</v>
      </c>
      <c r="B244" s="126">
        <v>16</v>
      </c>
      <c r="C244" s="126">
        <v>27</v>
      </c>
      <c r="D244" s="126" t="str">
        <f t="shared" si="32"/>
        <v>1627</v>
      </c>
      <c r="E244" s="101">
        <v>10</v>
      </c>
      <c r="F244" s="101">
        <v>296</v>
      </c>
      <c r="G244" s="101">
        <v>3158</v>
      </c>
      <c r="H244" s="101">
        <v>24407.820000000003</v>
      </c>
      <c r="I244" s="101">
        <v>8230.4040000000005</v>
      </c>
      <c r="J244" s="127">
        <v>5</v>
      </c>
      <c r="K244" s="127">
        <v>26</v>
      </c>
      <c r="L244" s="127">
        <v>127</v>
      </c>
      <c r="M244" s="127">
        <v>1572.8</v>
      </c>
      <c r="N244" s="127">
        <v>743.42</v>
      </c>
      <c r="O244" s="101">
        <v>9</v>
      </c>
      <c r="P244" s="101">
        <v>53</v>
      </c>
      <c r="Q244" s="101">
        <v>902</v>
      </c>
      <c r="R244" s="101">
        <v>5726.4599999999991</v>
      </c>
      <c r="S244" s="101">
        <v>3566.8499999999995</v>
      </c>
      <c r="T244" s="133">
        <v>1.02</v>
      </c>
      <c r="U244" s="101">
        <f t="shared" si="35"/>
        <v>9.18</v>
      </c>
      <c r="V244" s="101">
        <f t="shared" si="36"/>
        <v>54.06</v>
      </c>
      <c r="W244" s="101">
        <f t="shared" si="37"/>
        <v>920.04</v>
      </c>
      <c r="X244" s="101">
        <f t="shared" si="38"/>
        <v>5840.9891999999991</v>
      </c>
      <c r="Y244" s="101">
        <f t="shared" si="39"/>
        <v>3638.1869999999994</v>
      </c>
      <c r="AA244" s="101">
        <v>10</v>
      </c>
      <c r="AB244" s="101">
        <v>42</v>
      </c>
      <c r="AC244" s="101">
        <v>232</v>
      </c>
      <c r="AD244" s="101">
        <v>5044.76</v>
      </c>
      <c r="AE244" s="101">
        <v>1820.2380000000001</v>
      </c>
      <c r="AF244" s="225"/>
      <c r="AG244" s="148"/>
      <c r="AH244" s="101">
        <v>30000</v>
      </c>
      <c r="AI244" s="101">
        <f t="shared" si="33"/>
        <v>24000</v>
      </c>
      <c r="AJ244" s="101">
        <f t="shared" si="34"/>
        <v>36000</v>
      </c>
    </row>
    <row r="245" spans="1:36" hidden="1" x14ac:dyDescent="0.3">
      <c r="A245" s="126" t="s">
        <v>175</v>
      </c>
      <c r="B245" s="126">
        <v>16</v>
      </c>
      <c r="C245" s="126">
        <v>26</v>
      </c>
      <c r="D245" s="126" t="str">
        <f t="shared" si="32"/>
        <v>1626</v>
      </c>
      <c r="E245" s="101">
        <v>177</v>
      </c>
      <c r="F245" s="101">
        <v>2840</v>
      </c>
      <c r="G245" s="101">
        <v>80990</v>
      </c>
      <c r="H245" s="101">
        <v>1390150.95</v>
      </c>
      <c r="I245" s="101">
        <v>431919.70199999999</v>
      </c>
      <c r="J245" s="127">
        <v>64</v>
      </c>
      <c r="K245" s="127">
        <v>666</v>
      </c>
      <c r="L245" s="127">
        <v>30874</v>
      </c>
      <c r="M245" s="127">
        <v>177012.87</v>
      </c>
      <c r="N245" s="127">
        <v>202786.97700000001</v>
      </c>
      <c r="O245" s="101">
        <v>28</v>
      </c>
      <c r="P245" s="101">
        <v>1101</v>
      </c>
      <c r="Q245" s="101">
        <v>8885</v>
      </c>
      <c r="R245" s="101">
        <v>148754.29</v>
      </c>
      <c r="S245" s="101">
        <v>55060.165999999997</v>
      </c>
      <c r="T245" s="133">
        <v>1.02</v>
      </c>
      <c r="U245" s="101">
        <f t="shared" si="35"/>
        <v>28.560000000000002</v>
      </c>
      <c r="V245" s="101">
        <f t="shared" si="36"/>
        <v>1123.02</v>
      </c>
      <c r="W245" s="101">
        <f t="shared" si="37"/>
        <v>9062.7000000000007</v>
      </c>
      <c r="X245" s="101">
        <f t="shared" si="38"/>
        <v>151729.37580000001</v>
      </c>
      <c r="Y245" s="101">
        <f t="shared" si="39"/>
        <v>56161.369319999998</v>
      </c>
      <c r="AA245" s="101">
        <v>11</v>
      </c>
      <c r="AB245" s="101">
        <v>248</v>
      </c>
      <c r="AC245" s="101">
        <v>8070</v>
      </c>
      <c r="AD245" s="101">
        <v>118228.33</v>
      </c>
      <c r="AE245" s="101">
        <v>48375.572</v>
      </c>
      <c r="AF245" s="225"/>
      <c r="AG245" s="148"/>
      <c r="AH245" s="101">
        <v>30000</v>
      </c>
      <c r="AI245" s="101">
        <f t="shared" si="33"/>
        <v>24000</v>
      </c>
      <c r="AJ245" s="101">
        <f t="shared" si="34"/>
        <v>36000</v>
      </c>
    </row>
    <row r="246" spans="1:36" hidden="1" x14ac:dyDescent="0.3">
      <c r="A246" s="126" t="s">
        <v>175</v>
      </c>
      <c r="B246" s="126">
        <v>16</v>
      </c>
      <c r="C246" s="126">
        <v>32</v>
      </c>
      <c r="D246" s="126" t="str">
        <f t="shared" si="32"/>
        <v>1632</v>
      </c>
      <c r="E246" s="101">
        <v>586</v>
      </c>
      <c r="F246" s="101">
        <v>1766</v>
      </c>
      <c r="G246" s="101">
        <v>28248</v>
      </c>
      <c r="H246" s="101">
        <v>366125.73</v>
      </c>
      <c r="I246" s="101">
        <v>108433.76800000001</v>
      </c>
      <c r="J246" s="127">
        <v>188</v>
      </c>
      <c r="K246" s="127">
        <v>769</v>
      </c>
      <c r="L246" s="127">
        <v>14637</v>
      </c>
      <c r="M246" s="127">
        <v>223932.33</v>
      </c>
      <c r="N246" s="127">
        <v>109813.04700000001</v>
      </c>
      <c r="O246" s="101">
        <v>402</v>
      </c>
      <c r="P246" s="101">
        <v>1265</v>
      </c>
      <c r="Q246" s="101">
        <v>24175</v>
      </c>
      <c r="R246" s="101">
        <v>293259.49</v>
      </c>
      <c r="S246" s="101">
        <v>132392.50200000001</v>
      </c>
      <c r="T246" s="133">
        <v>1.02</v>
      </c>
      <c r="U246" s="101">
        <f t="shared" si="35"/>
        <v>410.04</v>
      </c>
      <c r="V246" s="101">
        <f t="shared" si="36"/>
        <v>1290.3</v>
      </c>
      <c r="W246" s="101">
        <f t="shared" si="37"/>
        <v>24658.5</v>
      </c>
      <c r="X246" s="101">
        <f t="shared" si="38"/>
        <v>299124.67979999998</v>
      </c>
      <c r="Y246" s="101">
        <f t="shared" si="39"/>
        <v>135040.35204</v>
      </c>
      <c r="AA246" s="101">
        <v>174</v>
      </c>
      <c r="AB246" s="101">
        <v>1016</v>
      </c>
      <c r="AC246" s="101">
        <v>12473</v>
      </c>
      <c r="AD246" s="101">
        <v>101821.6</v>
      </c>
      <c r="AE246" s="101">
        <v>32292.767</v>
      </c>
      <c r="AF246" s="225"/>
      <c r="AG246" s="148"/>
      <c r="AH246" s="101">
        <v>30000</v>
      </c>
      <c r="AI246" s="101">
        <f t="shared" si="33"/>
        <v>24000</v>
      </c>
      <c r="AJ246" s="101">
        <f t="shared" si="34"/>
        <v>36000</v>
      </c>
    </row>
    <row r="247" spans="1:36" hidden="1" x14ac:dyDescent="0.3">
      <c r="A247" s="126" t="s">
        <v>175</v>
      </c>
      <c r="B247" s="126">
        <v>16</v>
      </c>
      <c r="C247" s="126">
        <v>28</v>
      </c>
      <c r="D247" s="126" t="str">
        <f t="shared" si="32"/>
        <v>1628</v>
      </c>
      <c r="J247" s="127">
        <v>5</v>
      </c>
      <c r="K247" s="127">
        <v>5</v>
      </c>
      <c r="L247" s="127">
        <v>191</v>
      </c>
      <c r="M247" s="127">
        <v>2511.1799999999998</v>
      </c>
      <c r="N247" s="127">
        <v>375.51</v>
      </c>
      <c r="O247" s="101">
        <v>54</v>
      </c>
      <c r="P247" s="101">
        <v>396</v>
      </c>
      <c r="Q247" s="101">
        <v>1583</v>
      </c>
      <c r="R247" s="101">
        <v>42415.609999999993</v>
      </c>
      <c r="S247" s="101">
        <v>11403.048000000001</v>
      </c>
      <c r="T247" s="133">
        <v>1.02</v>
      </c>
      <c r="U247" s="101">
        <f t="shared" si="35"/>
        <v>55.08</v>
      </c>
      <c r="V247" s="101">
        <f t="shared" si="36"/>
        <v>403.92</v>
      </c>
      <c r="W247" s="101">
        <f t="shared" si="37"/>
        <v>1614.66</v>
      </c>
      <c r="X247" s="101">
        <f t="shared" si="38"/>
        <v>43263.922199999994</v>
      </c>
      <c r="Y247" s="101">
        <f t="shared" si="39"/>
        <v>11631.108960000001</v>
      </c>
      <c r="AA247" s="101">
        <v>73</v>
      </c>
      <c r="AB247" s="101">
        <v>275</v>
      </c>
      <c r="AC247" s="101">
        <v>2348</v>
      </c>
      <c r="AD247" s="101">
        <v>29475.73</v>
      </c>
      <c r="AE247" s="101">
        <v>9864.3549999999996</v>
      </c>
      <c r="AF247" s="225"/>
      <c r="AG247" s="148"/>
      <c r="AH247" s="101"/>
      <c r="AI247" s="101"/>
      <c r="AJ247" s="101"/>
    </row>
    <row r="248" spans="1:36" hidden="1" x14ac:dyDescent="0.3">
      <c r="A248" s="126" t="s">
        <v>175</v>
      </c>
      <c r="B248" s="126">
        <v>16</v>
      </c>
      <c r="C248" s="126">
        <v>21</v>
      </c>
      <c r="D248" s="126" t="str">
        <f t="shared" si="32"/>
        <v>1621</v>
      </c>
      <c r="E248" s="101">
        <v>2114.5</v>
      </c>
      <c r="F248" s="101">
        <v>6824</v>
      </c>
      <c r="G248" s="101">
        <v>29278</v>
      </c>
      <c r="H248" s="101">
        <v>491458.435</v>
      </c>
      <c r="I248" s="101">
        <v>141711.27499999999</v>
      </c>
      <c r="J248" s="127">
        <v>356</v>
      </c>
      <c r="K248" s="127">
        <v>3035</v>
      </c>
      <c r="L248" s="127">
        <v>11206</v>
      </c>
      <c r="M248" s="127">
        <v>228297.58</v>
      </c>
      <c r="N248" s="127">
        <v>64935.188999999998</v>
      </c>
      <c r="O248" s="138"/>
      <c r="P248" s="138"/>
      <c r="Q248" s="138"/>
      <c r="R248" s="138"/>
      <c r="S248" s="138"/>
      <c r="T248" s="133">
        <v>1.02</v>
      </c>
      <c r="U248" s="101">
        <f t="shared" si="35"/>
        <v>0</v>
      </c>
      <c r="V248" s="101">
        <f t="shared" si="36"/>
        <v>0</v>
      </c>
      <c r="W248" s="101">
        <f t="shared" si="37"/>
        <v>0</v>
      </c>
      <c r="X248" s="101">
        <f t="shared" si="38"/>
        <v>0</v>
      </c>
      <c r="Y248" s="101">
        <f t="shared" si="39"/>
        <v>0</v>
      </c>
      <c r="AA248" s="101">
        <v>55</v>
      </c>
      <c r="AB248" s="101">
        <v>230</v>
      </c>
      <c r="AC248" s="101">
        <v>536</v>
      </c>
      <c r="AD248" s="101">
        <v>12772.28</v>
      </c>
      <c r="AE248" s="101">
        <v>4949.5119999999997</v>
      </c>
      <c r="AF248" s="225"/>
      <c r="AG248" s="148"/>
      <c r="AH248" s="101">
        <v>30000</v>
      </c>
      <c r="AI248" s="101">
        <f t="shared" si="33"/>
        <v>24000</v>
      </c>
      <c r="AJ248" s="101">
        <f t="shared" si="34"/>
        <v>36000</v>
      </c>
    </row>
    <row r="249" spans="1:36" hidden="1" x14ac:dyDescent="0.3">
      <c r="A249" s="126" t="s">
        <v>175</v>
      </c>
      <c r="B249" s="126">
        <v>16</v>
      </c>
      <c r="C249" s="126">
        <v>30</v>
      </c>
      <c r="D249" s="126" t="str">
        <f t="shared" si="32"/>
        <v>1630</v>
      </c>
      <c r="E249" s="101">
        <v>325.5</v>
      </c>
      <c r="F249" s="101">
        <v>3918.5</v>
      </c>
      <c r="G249" s="101">
        <v>23767</v>
      </c>
      <c r="H249" s="101">
        <v>632825.99</v>
      </c>
      <c r="I249" s="101">
        <v>184660.14100000003</v>
      </c>
      <c r="J249" s="127">
        <v>172</v>
      </c>
      <c r="K249" s="127">
        <v>3020</v>
      </c>
      <c r="L249" s="127">
        <v>10789</v>
      </c>
      <c r="M249" s="127">
        <v>174937.67</v>
      </c>
      <c r="N249" s="127">
        <v>55317.281000000003</v>
      </c>
      <c r="O249" s="138">
        <v>535</v>
      </c>
      <c r="P249" s="138">
        <v>7470</v>
      </c>
      <c r="Q249" s="138">
        <v>26523</v>
      </c>
      <c r="R249" s="138">
        <v>565722.25</v>
      </c>
      <c r="S249" s="138">
        <v>198177.28700000001</v>
      </c>
      <c r="T249" s="133">
        <v>1.02</v>
      </c>
      <c r="U249" s="101">
        <f t="shared" si="35"/>
        <v>545.70000000000005</v>
      </c>
      <c r="V249" s="101">
        <f t="shared" si="36"/>
        <v>7619.4000000000005</v>
      </c>
      <c r="W249" s="101">
        <f t="shared" si="37"/>
        <v>27053.46</v>
      </c>
      <c r="X249" s="101">
        <f t="shared" si="38"/>
        <v>577036.69500000007</v>
      </c>
      <c r="Y249" s="101">
        <f t="shared" si="39"/>
        <v>202140.83274000001</v>
      </c>
      <c r="AA249" s="101">
        <v>271</v>
      </c>
      <c r="AB249" s="101">
        <v>4648</v>
      </c>
      <c r="AC249" s="101">
        <v>18555</v>
      </c>
      <c r="AD249" s="101">
        <v>402288.74</v>
      </c>
      <c r="AE249" s="101">
        <v>119663.52800000001</v>
      </c>
      <c r="AF249" s="225"/>
      <c r="AG249" s="148"/>
      <c r="AH249" s="101">
        <v>30000</v>
      </c>
      <c r="AI249" s="101">
        <f t="shared" si="33"/>
        <v>24000</v>
      </c>
      <c r="AJ249" s="101">
        <f t="shared" si="34"/>
        <v>36000</v>
      </c>
    </row>
    <row r="250" spans="1:36" hidden="1" x14ac:dyDescent="0.3">
      <c r="A250" s="126" t="s">
        <v>175</v>
      </c>
      <c r="B250" s="126">
        <v>16</v>
      </c>
      <c r="C250" s="126">
        <v>35</v>
      </c>
      <c r="D250" s="126" t="str">
        <f t="shared" si="32"/>
        <v>1635</v>
      </c>
      <c r="J250" s="127">
        <v>1</v>
      </c>
      <c r="K250" s="127">
        <v>3</v>
      </c>
      <c r="L250" s="127">
        <v>45</v>
      </c>
      <c r="M250" s="127">
        <v>218.19</v>
      </c>
      <c r="N250" s="127">
        <v>9.76</v>
      </c>
      <c r="O250" s="101">
        <v>0</v>
      </c>
      <c r="P250" s="101">
        <v>0</v>
      </c>
      <c r="Q250" s="101">
        <v>0</v>
      </c>
      <c r="R250" s="101">
        <v>0</v>
      </c>
      <c r="S250" s="101">
        <v>0</v>
      </c>
      <c r="T250" s="133">
        <v>1.02</v>
      </c>
      <c r="U250" s="101">
        <f t="shared" si="35"/>
        <v>0</v>
      </c>
      <c r="V250" s="101">
        <f t="shared" si="36"/>
        <v>0</v>
      </c>
      <c r="W250" s="101">
        <f t="shared" si="37"/>
        <v>0</v>
      </c>
      <c r="X250" s="101">
        <f t="shared" si="38"/>
        <v>0</v>
      </c>
      <c r="Y250" s="101">
        <f t="shared" si="39"/>
        <v>0</v>
      </c>
      <c r="AA250" s="101">
        <v>0</v>
      </c>
      <c r="AB250" s="101">
        <v>0</v>
      </c>
      <c r="AC250" s="101">
        <v>0</v>
      </c>
      <c r="AD250" s="101">
        <v>0</v>
      </c>
      <c r="AE250" s="101">
        <v>0</v>
      </c>
      <c r="AF250" s="225"/>
      <c r="AG250" s="148"/>
      <c r="AH250" s="101"/>
      <c r="AI250" s="101"/>
      <c r="AJ250" s="101"/>
    </row>
    <row r="251" spans="1:36" hidden="1" x14ac:dyDescent="0.3">
      <c r="A251" s="126" t="s">
        <v>175</v>
      </c>
      <c r="B251" s="126">
        <v>16</v>
      </c>
      <c r="C251" s="126">
        <v>71</v>
      </c>
      <c r="D251" s="126" t="str">
        <f t="shared" si="32"/>
        <v>1671</v>
      </c>
      <c r="E251" s="101">
        <v>664.5</v>
      </c>
      <c r="F251" s="101">
        <v>5631.5</v>
      </c>
      <c r="G251" s="101">
        <v>17213</v>
      </c>
      <c r="H251" s="101">
        <v>109962.16</v>
      </c>
      <c r="I251" s="101">
        <v>58631.479999999996</v>
      </c>
      <c r="J251" s="127">
        <v>377</v>
      </c>
      <c r="K251" s="127">
        <v>5764</v>
      </c>
      <c r="L251" s="127">
        <v>12533</v>
      </c>
      <c r="M251" s="127">
        <v>89754.4</v>
      </c>
      <c r="N251" s="127">
        <v>40455.728000000003</v>
      </c>
      <c r="O251" s="101">
        <v>443</v>
      </c>
      <c r="P251" s="101">
        <v>7270</v>
      </c>
      <c r="Q251" s="101">
        <v>25816</v>
      </c>
      <c r="R251" s="101">
        <v>163332.13</v>
      </c>
      <c r="S251" s="101">
        <v>91826.388000000006</v>
      </c>
      <c r="T251" s="133">
        <v>0.98</v>
      </c>
      <c r="U251" s="101">
        <f t="shared" si="35"/>
        <v>434.14</v>
      </c>
      <c r="V251" s="101">
        <f t="shared" si="36"/>
        <v>7124.5999999999995</v>
      </c>
      <c r="W251" s="101">
        <f t="shared" si="37"/>
        <v>25299.68</v>
      </c>
      <c r="X251" s="101">
        <f t="shared" si="38"/>
        <v>160065.48740000001</v>
      </c>
      <c r="Y251" s="101">
        <f t="shared" si="39"/>
        <v>89989.860240000009</v>
      </c>
      <c r="AA251" s="101">
        <v>233</v>
      </c>
      <c r="AB251" s="101">
        <v>4634</v>
      </c>
      <c r="AC251" s="101">
        <v>14337</v>
      </c>
      <c r="AD251" s="101">
        <v>130062.16</v>
      </c>
      <c r="AE251" s="101">
        <v>61049.08</v>
      </c>
      <c r="AF251" s="225"/>
      <c r="AG251" s="148"/>
      <c r="AH251" s="101">
        <v>30000</v>
      </c>
      <c r="AI251" s="101">
        <f t="shared" si="33"/>
        <v>24000</v>
      </c>
      <c r="AJ251" s="101">
        <f t="shared" si="34"/>
        <v>36000</v>
      </c>
    </row>
    <row r="252" spans="1:36" hidden="1" x14ac:dyDescent="0.3">
      <c r="A252" s="126" t="s">
        <v>175</v>
      </c>
      <c r="B252" s="126">
        <v>16</v>
      </c>
      <c r="C252" s="126">
        <v>46</v>
      </c>
      <c r="D252" s="126" t="str">
        <f t="shared" si="32"/>
        <v>1646</v>
      </c>
      <c r="J252" s="127">
        <v>6</v>
      </c>
      <c r="K252" s="127">
        <v>9</v>
      </c>
      <c r="L252" s="127">
        <v>122</v>
      </c>
      <c r="M252" s="127">
        <v>2188.1</v>
      </c>
      <c r="N252" s="127">
        <v>908.10799999999995</v>
      </c>
      <c r="O252" s="101">
        <v>14</v>
      </c>
      <c r="P252" s="101">
        <v>18</v>
      </c>
      <c r="Q252" s="101">
        <v>70</v>
      </c>
      <c r="R252" s="101">
        <v>1489.38</v>
      </c>
      <c r="S252" s="101">
        <v>273.40299999999996</v>
      </c>
      <c r="T252" s="133">
        <v>1.02</v>
      </c>
      <c r="U252" s="101">
        <f t="shared" si="35"/>
        <v>14.280000000000001</v>
      </c>
      <c r="V252" s="101">
        <f t="shared" si="36"/>
        <v>18.36</v>
      </c>
      <c r="W252" s="101">
        <f t="shared" si="37"/>
        <v>71.400000000000006</v>
      </c>
      <c r="X252" s="101">
        <f t="shared" si="38"/>
        <v>1519.1676000000002</v>
      </c>
      <c r="Y252" s="101">
        <f t="shared" si="39"/>
        <v>278.87105999999994</v>
      </c>
      <c r="AA252" s="101">
        <v>5</v>
      </c>
      <c r="AB252" s="101">
        <v>6</v>
      </c>
      <c r="AC252" s="101">
        <v>13</v>
      </c>
      <c r="AD252" s="101">
        <v>430.5</v>
      </c>
      <c r="AE252" s="101">
        <v>82.587999999999994</v>
      </c>
      <c r="AF252" s="225"/>
      <c r="AG252" s="148"/>
      <c r="AH252" s="101"/>
      <c r="AI252" s="101"/>
      <c r="AJ252" s="101"/>
    </row>
    <row r="253" spans="1:36" hidden="1" x14ac:dyDescent="0.3">
      <c r="A253" s="126" t="s">
        <v>175</v>
      </c>
      <c r="B253" s="126">
        <v>16</v>
      </c>
      <c r="C253" s="126">
        <v>66</v>
      </c>
      <c r="D253" s="126" t="str">
        <f t="shared" si="32"/>
        <v>1666</v>
      </c>
      <c r="J253" s="127">
        <v>4</v>
      </c>
      <c r="K253" s="127">
        <v>5</v>
      </c>
      <c r="L253" s="127">
        <v>6</v>
      </c>
      <c r="M253" s="127">
        <v>19.8</v>
      </c>
      <c r="N253" s="127">
        <v>58.316000000000003</v>
      </c>
      <c r="O253" s="101">
        <v>21</v>
      </c>
      <c r="P253" s="101">
        <v>43</v>
      </c>
      <c r="Q253" s="101">
        <v>6007</v>
      </c>
      <c r="R253" s="101">
        <v>23285.719999999998</v>
      </c>
      <c r="S253" s="101">
        <v>18830.3</v>
      </c>
      <c r="T253" s="133">
        <v>1.02</v>
      </c>
      <c r="U253" s="101">
        <f t="shared" si="35"/>
        <v>21.42</v>
      </c>
      <c r="V253" s="101">
        <f t="shared" si="36"/>
        <v>43.86</v>
      </c>
      <c r="W253" s="101">
        <f t="shared" si="37"/>
        <v>6127.14</v>
      </c>
      <c r="X253" s="101">
        <f t="shared" si="38"/>
        <v>23751.434399999998</v>
      </c>
      <c r="Y253" s="101">
        <f t="shared" si="39"/>
        <v>19206.905999999999</v>
      </c>
      <c r="AA253" s="101">
        <v>20</v>
      </c>
      <c r="AB253" s="101">
        <v>42</v>
      </c>
      <c r="AC253" s="101">
        <v>740</v>
      </c>
      <c r="AD253" s="101">
        <v>16507.03</v>
      </c>
      <c r="AE253" s="101">
        <v>9179.6039999999994</v>
      </c>
      <c r="AF253" s="225"/>
      <c r="AG253" s="148"/>
      <c r="AH253" s="101"/>
      <c r="AI253" s="101"/>
      <c r="AJ253" s="101"/>
    </row>
    <row r="254" spans="1:36" hidden="1" x14ac:dyDescent="0.3">
      <c r="A254" s="126" t="s">
        <v>175</v>
      </c>
      <c r="B254" s="126">
        <v>16</v>
      </c>
      <c r="C254" s="126">
        <v>41</v>
      </c>
      <c r="D254" s="126" t="str">
        <f t="shared" si="32"/>
        <v>1641</v>
      </c>
      <c r="J254" s="127"/>
      <c r="K254" s="127"/>
      <c r="L254" s="127"/>
      <c r="M254" s="127"/>
      <c r="N254" s="127"/>
      <c r="O254" s="101">
        <v>9</v>
      </c>
      <c r="P254" s="101">
        <v>22</v>
      </c>
      <c r="Q254" s="101">
        <v>86</v>
      </c>
      <c r="R254" s="101">
        <v>709.95</v>
      </c>
      <c r="S254" s="101">
        <v>363.94299999999998</v>
      </c>
      <c r="T254" s="133">
        <v>1.02</v>
      </c>
      <c r="U254" s="101">
        <f t="shared" si="35"/>
        <v>9.18</v>
      </c>
      <c r="V254" s="101">
        <f t="shared" si="36"/>
        <v>22.44</v>
      </c>
      <c r="W254" s="101">
        <f t="shared" si="37"/>
        <v>87.72</v>
      </c>
      <c r="X254" s="101">
        <f t="shared" si="38"/>
        <v>724.14900000000011</v>
      </c>
      <c r="Y254" s="101">
        <f t="shared" si="39"/>
        <v>371.22185999999999</v>
      </c>
      <c r="AA254" s="101">
        <v>2</v>
      </c>
      <c r="AB254" s="101">
        <v>2</v>
      </c>
      <c r="AC254" s="101">
        <v>7</v>
      </c>
      <c r="AD254" s="101">
        <v>94.21</v>
      </c>
      <c r="AE254" s="101">
        <v>61.944000000000003</v>
      </c>
      <c r="AF254" s="225"/>
      <c r="AG254" s="148"/>
      <c r="AH254" s="101"/>
      <c r="AI254" s="101"/>
      <c r="AJ254" s="101"/>
    </row>
    <row r="255" spans="1:36" hidden="1" x14ac:dyDescent="0.3">
      <c r="A255" s="126" t="s">
        <v>175</v>
      </c>
      <c r="B255" s="126">
        <v>16</v>
      </c>
      <c r="C255" s="126">
        <v>1</v>
      </c>
      <c r="D255" s="126" t="str">
        <f t="shared" si="32"/>
        <v>161</v>
      </c>
      <c r="J255" s="127">
        <v>119</v>
      </c>
      <c r="K255" s="127">
        <v>119</v>
      </c>
      <c r="L255" s="127">
        <v>55924</v>
      </c>
      <c r="M255" s="127">
        <v>0</v>
      </c>
      <c r="N255" s="127">
        <v>307555</v>
      </c>
      <c r="O255" s="101">
        <v>92</v>
      </c>
      <c r="P255" s="101">
        <v>100</v>
      </c>
      <c r="Q255" s="101">
        <v>26685</v>
      </c>
      <c r="S255" s="101">
        <v>93853</v>
      </c>
      <c r="T255" s="133">
        <v>1.02</v>
      </c>
      <c r="U255" s="101">
        <f t="shared" si="35"/>
        <v>93.84</v>
      </c>
      <c r="V255" s="101">
        <f t="shared" si="36"/>
        <v>102</v>
      </c>
      <c r="W255" s="101">
        <f t="shared" si="37"/>
        <v>27218.7</v>
      </c>
      <c r="X255" s="101">
        <f t="shared" si="38"/>
        <v>0</v>
      </c>
      <c r="Y255" s="101">
        <f t="shared" si="39"/>
        <v>95730.06</v>
      </c>
      <c r="AA255" s="101">
        <v>96</v>
      </c>
      <c r="AB255" s="101">
        <v>114</v>
      </c>
      <c r="AC255" s="101">
        <v>26194</v>
      </c>
      <c r="AE255" s="101">
        <v>197775.345</v>
      </c>
      <c r="AF255" s="225"/>
      <c r="AG255" s="148"/>
      <c r="AH255" s="101"/>
      <c r="AI255" s="101"/>
      <c r="AJ255" s="101"/>
    </row>
    <row r="256" spans="1:36" x14ac:dyDescent="0.3">
      <c r="A256" s="126" t="s">
        <v>175</v>
      </c>
      <c r="B256" s="126">
        <v>16</v>
      </c>
      <c r="C256" s="126">
        <v>91</v>
      </c>
      <c r="D256" s="126" t="str">
        <f t="shared" si="32"/>
        <v>1691</v>
      </c>
      <c r="J256" s="127">
        <v>8</v>
      </c>
      <c r="K256" s="127">
        <v>41</v>
      </c>
      <c r="L256" s="127">
        <v>296</v>
      </c>
      <c r="M256" s="127">
        <v>1090.31</v>
      </c>
      <c r="N256" s="127">
        <v>234.142</v>
      </c>
      <c r="O256" s="101">
        <v>33</v>
      </c>
      <c r="P256" s="101">
        <v>72</v>
      </c>
      <c r="Q256" s="101">
        <v>124</v>
      </c>
      <c r="R256" s="101">
        <v>1517.35</v>
      </c>
      <c r="S256" s="101">
        <v>976.61099999999988</v>
      </c>
      <c r="T256" s="133">
        <v>1.02</v>
      </c>
      <c r="U256" s="101">
        <f t="shared" si="35"/>
        <v>33.660000000000004</v>
      </c>
      <c r="V256" s="101">
        <f t="shared" si="36"/>
        <v>73.44</v>
      </c>
      <c r="W256" s="101">
        <f t="shared" si="37"/>
        <v>126.48</v>
      </c>
      <c r="X256" s="101">
        <f t="shared" si="38"/>
        <v>1547.6969999999999</v>
      </c>
      <c r="Y256" s="101">
        <f t="shared" si="39"/>
        <v>996.14321999999993</v>
      </c>
      <c r="AA256" s="101">
        <v>9</v>
      </c>
      <c r="AB256" s="101">
        <v>18</v>
      </c>
      <c r="AC256" s="101">
        <v>160</v>
      </c>
      <c r="AD256" s="101">
        <v>918.83</v>
      </c>
      <c r="AE256" s="101">
        <v>198.52199999999999</v>
      </c>
      <c r="AF256" s="225"/>
      <c r="AG256" s="148"/>
      <c r="AH256" s="101"/>
      <c r="AI256" s="101"/>
      <c r="AJ256" s="101"/>
    </row>
    <row r="257" spans="1:36" hidden="1" x14ac:dyDescent="0.3">
      <c r="A257" s="126" t="s">
        <v>175</v>
      </c>
      <c r="B257" s="126">
        <v>16</v>
      </c>
      <c r="C257" s="126">
        <v>37</v>
      </c>
      <c r="D257" s="126" t="str">
        <f t="shared" si="32"/>
        <v>1637</v>
      </c>
      <c r="E257" s="101">
        <v>15.25</v>
      </c>
      <c r="F257" s="101">
        <v>26</v>
      </c>
      <c r="G257" s="101">
        <v>956.25</v>
      </c>
      <c r="H257" s="101">
        <v>2223.2249999999999</v>
      </c>
      <c r="I257" s="101">
        <v>1105.94975</v>
      </c>
      <c r="J257" s="127">
        <v>0</v>
      </c>
      <c r="K257" s="127">
        <v>0</v>
      </c>
      <c r="L257" s="127">
        <v>0</v>
      </c>
      <c r="M257" s="127">
        <v>0</v>
      </c>
      <c r="N257" s="127">
        <v>0</v>
      </c>
      <c r="O257" s="101">
        <v>4</v>
      </c>
      <c r="P257" s="101">
        <v>9</v>
      </c>
      <c r="Q257" s="101">
        <v>3730</v>
      </c>
      <c r="R257" s="101">
        <v>5527.26</v>
      </c>
      <c r="S257" s="101">
        <v>8180.8580000000002</v>
      </c>
      <c r="T257" s="133">
        <v>1.02</v>
      </c>
      <c r="U257" s="101">
        <f t="shared" si="35"/>
        <v>4.08</v>
      </c>
      <c r="V257" s="101">
        <f t="shared" si="36"/>
        <v>9.18</v>
      </c>
      <c r="W257" s="101">
        <f t="shared" si="37"/>
        <v>3804.6</v>
      </c>
      <c r="X257" s="101">
        <f t="shared" si="38"/>
        <v>5637.8052000000007</v>
      </c>
      <c r="Y257" s="101">
        <f t="shared" si="39"/>
        <v>8344.47516</v>
      </c>
      <c r="AA257" s="101">
        <v>1</v>
      </c>
      <c r="AB257" s="101">
        <v>5</v>
      </c>
      <c r="AC257" s="101">
        <v>15000</v>
      </c>
      <c r="AD257" s="101">
        <v>20850</v>
      </c>
      <c r="AE257" s="101">
        <v>13205.286</v>
      </c>
      <c r="AF257" s="225"/>
      <c r="AG257" s="148"/>
      <c r="AH257" s="101">
        <v>30000</v>
      </c>
      <c r="AI257" s="101">
        <f t="shared" si="33"/>
        <v>24000</v>
      </c>
      <c r="AJ257" s="101">
        <f t="shared" si="34"/>
        <v>36000</v>
      </c>
    </row>
    <row r="258" spans="1:36" hidden="1" x14ac:dyDescent="0.3">
      <c r="A258" s="126" t="s">
        <v>175</v>
      </c>
      <c r="B258" s="126">
        <v>17</v>
      </c>
      <c r="C258" s="126">
        <v>22</v>
      </c>
      <c r="D258" s="126" t="str">
        <f t="shared" si="32"/>
        <v>1722</v>
      </c>
      <c r="E258" s="101">
        <v>482</v>
      </c>
      <c r="F258" s="101">
        <v>5554</v>
      </c>
      <c r="G258" s="101">
        <v>42948</v>
      </c>
      <c r="H258" s="101">
        <v>175785.00000000003</v>
      </c>
      <c r="I258" s="101">
        <v>128024.401</v>
      </c>
      <c r="J258" s="101">
        <v>458</v>
      </c>
      <c r="K258" s="101">
        <v>4000</v>
      </c>
      <c r="L258" s="101">
        <v>46800</v>
      </c>
      <c r="M258" s="101">
        <v>222589</v>
      </c>
      <c r="N258" s="101">
        <v>154429</v>
      </c>
      <c r="O258" s="101">
        <v>534</v>
      </c>
      <c r="P258" s="101">
        <v>3572</v>
      </c>
      <c r="Q258" s="101">
        <v>26628</v>
      </c>
      <c r="R258" s="101">
        <v>126839.59000000001</v>
      </c>
      <c r="S258" s="101">
        <v>93355.171999999991</v>
      </c>
      <c r="T258" s="133">
        <v>1.02</v>
      </c>
      <c r="U258" s="101">
        <f t="shared" si="35"/>
        <v>544.68000000000006</v>
      </c>
      <c r="V258" s="101">
        <f t="shared" si="36"/>
        <v>3643.44</v>
      </c>
      <c r="W258" s="101">
        <f t="shared" si="37"/>
        <v>27160.560000000001</v>
      </c>
      <c r="X258" s="101">
        <f t="shared" si="38"/>
        <v>129376.38180000002</v>
      </c>
      <c r="Y258" s="101">
        <f t="shared" si="39"/>
        <v>95222.275439999998</v>
      </c>
      <c r="AA258" s="101">
        <v>357</v>
      </c>
      <c r="AB258" s="101">
        <v>3228</v>
      </c>
      <c r="AC258" s="101">
        <v>31041</v>
      </c>
      <c r="AD258" s="101">
        <v>112767.03999999999</v>
      </c>
      <c r="AE258" s="101">
        <v>83699.303</v>
      </c>
      <c r="AF258" s="225">
        <f>SUM(AB258:AB275)</f>
        <v>20099</v>
      </c>
      <c r="AG258" s="148"/>
      <c r="AH258" s="101">
        <v>30000</v>
      </c>
      <c r="AI258" s="101">
        <f t="shared" si="33"/>
        <v>24000</v>
      </c>
      <c r="AJ258" s="101">
        <f t="shared" si="34"/>
        <v>36000</v>
      </c>
    </row>
    <row r="259" spans="1:36" hidden="1" x14ac:dyDescent="0.3">
      <c r="A259" s="126" t="s">
        <v>175</v>
      </c>
      <c r="B259" s="126">
        <v>17</v>
      </c>
      <c r="C259" s="126">
        <v>25</v>
      </c>
      <c r="D259" s="126" t="str">
        <f t="shared" si="32"/>
        <v>1725</v>
      </c>
      <c r="E259" s="101">
        <v>221</v>
      </c>
      <c r="F259" s="101">
        <v>1452</v>
      </c>
      <c r="G259" s="101">
        <v>8359</v>
      </c>
      <c r="H259" s="101">
        <v>88161.290000000008</v>
      </c>
      <c r="I259" s="101">
        <v>28426.951999999997</v>
      </c>
      <c r="J259" s="101">
        <v>158</v>
      </c>
      <c r="K259" s="101">
        <v>1444</v>
      </c>
      <c r="L259" s="101">
        <v>37979</v>
      </c>
      <c r="M259" s="101">
        <v>724261</v>
      </c>
      <c r="N259" s="101">
        <v>353976</v>
      </c>
      <c r="O259" s="101">
        <v>228</v>
      </c>
      <c r="P259" s="101">
        <v>2019</v>
      </c>
      <c r="Q259" s="101">
        <v>42010</v>
      </c>
      <c r="R259" s="101">
        <v>723550.20000000007</v>
      </c>
      <c r="S259" s="101">
        <v>333901.61499999999</v>
      </c>
      <c r="T259" s="133">
        <v>1.02</v>
      </c>
      <c r="U259" s="101">
        <f t="shared" si="35"/>
        <v>232.56</v>
      </c>
      <c r="V259" s="101">
        <f t="shared" si="36"/>
        <v>2059.38</v>
      </c>
      <c r="W259" s="101">
        <f t="shared" si="37"/>
        <v>42850.200000000004</v>
      </c>
      <c r="X259" s="101">
        <f t="shared" si="38"/>
        <v>738021.20400000003</v>
      </c>
      <c r="Y259" s="101">
        <f t="shared" si="39"/>
        <v>340579.64730000001</v>
      </c>
      <c r="AA259" s="101">
        <v>209</v>
      </c>
      <c r="AB259" s="101">
        <v>1788</v>
      </c>
      <c r="AC259" s="101">
        <v>20593</v>
      </c>
      <c r="AD259" s="101">
        <v>199860.67</v>
      </c>
      <c r="AE259" s="101">
        <v>93392.705000000002</v>
      </c>
      <c r="AF259" s="225"/>
      <c r="AG259" s="148"/>
      <c r="AH259" s="101">
        <v>30000</v>
      </c>
      <c r="AI259" s="101">
        <f t="shared" si="33"/>
        <v>24000</v>
      </c>
      <c r="AJ259" s="101">
        <f t="shared" si="34"/>
        <v>36000</v>
      </c>
    </row>
    <row r="260" spans="1:36" hidden="1" x14ac:dyDescent="0.3">
      <c r="A260" s="126" t="s">
        <v>175</v>
      </c>
      <c r="B260" s="126">
        <v>17</v>
      </c>
      <c r="C260" s="126">
        <v>27</v>
      </c>
      <c r="D260" s="126" t="str">
        <f t="shared" si="32"/>
        <v>1727</v>
      </c>
      <c r="E260" s="101">
        <v>9</v>
      </c>
      <c r="F260" s="101">
        <v>161</v>
      </c>
      <c r="G260" s="101">
        <v>1762</v>
      </c>
      <c r="H260" s="101">
        <v>20145.78</v>
      </c>
      <c r="I260" s="101">
        <v>5586.4750000000004</v>
      </c>
      <c r="J260" s="101">
        <v>9</v>
      </c>
      <c r="K260" s="101">
        <v>122</v>
      </c>
      <c r="L260" s="101">
        <v>968</v>
      </c>
      <c r="M260" s="101">
        <v>10906</v>
      </c>
      <c r="N260" s="101">
        <v>5517</v>
      </c>
      <c r="O260" s="101">
        <v>3</v>
      </c>
      <c r="P260" s="101">
        <v>19</v>
      </c>
      <c r="Q260" s="101">
        <v>152</v>
      </c>
      <c r="R260" s="101">
        <v>2268.84</v>
      </c>
      <c r="S260" s="101">
        <v>826.75200000000007</v>
      </c>
      <c r="T260" s="133">
        <v>1.02</v>
      </c>
      <c r="U260" s="101">
        <f t="shared" si="35"/>
        <v>3.06</v>
      </c>
      <c r="V260" s="101">
        <f t="shared" si="36"/>
        <v>19.38</v>
      </c>
      <c r="W260" s="101">
        <f t="shared" si="37"/>
        <v>155.04</v>
      </c>
      <c r="X260" s="101">
        <f t="shared" si="38"/>
        <v>2314.2168000000001</v>
      </c>
      <c r="Y260" s="101">
        <f t="shared" si="39"/>
        <v>843.28704000000005</v>
      </c>
      <c r="AA260" s="101">
        <v>7</v>
      </c>
      <c r="AB260" s="101">
        <v>10</v>
      </c>
      <c r="AC260" s="101">
        <v>149</v>
      </c>
      <c r="AD260" s="101">
        <v>1716.72</v>
      </c>
      <c r="AE260" s="101">
        <v>1148.4480000000001</v>
      </c>
      <c r="AF260" s="225"/>
      <c r="AG260" s="148"/>
      <c r="AH260" s="101">
        <v>30000</v>
      </c>
      <c r="AI260" s="101">
        <f t="shared" ref="AI260:AI369" si="41">(AH260/100)*80</f>
        <v>24000</v>
      </c>
      <c r="AJ260" s="101">
        <f t="shared" ref="AJ260:AJ369" si="42">(AH260/100)*120</f>
        <v>36000</v>
      </c>
    </row>
    <row r="261" spans="1:36" hidden="1" x14ac:dyDescent="0.3">
      <c r="A261" s="126" t="s">
        <v>175</v>
      </c>
      <c r="B261" s="126">
        <v>17</v>
      </c>
      <c r="C261" s="126">
        <v>26</v>
      </c>
      <c r="D261" s="126" t="str">
        <f t="shared" si="32"/>
        <v>1726</v>
      </c>
      <c r="E261" s="101">
        <v>149</v>
      </c>
      <c r="F261" s="101">
        <v>3220</v>
      </c>
      <c r="G261" s="101">
        <v>27980</v>
      </c>
      <c r="H261" s="101">
        <v>537705.75</v>
      </c>
      <c r="I261" s="101">
        <v>138034</v>
      </c>
      <c r="J261" s="101">
        <v>81</v>
      </c>
      <c r="K261" s="101">
        <v>2415</v>
      </c>
      <c r="L261" s="101">
        <v>40323</v>
      </c>
      <c r="M261" s="101">
        <v>401961</v>
      </c>
      <c r="N261" s="101">
        <v>192790</v>
      </c>
      <c r="O261" s="101">
        <v>48</v>
      </c>
      <c r="P261" s="101">
        <v>1685</v>
      </c>
      <c r="Q261" s="101">
        <v>21373</v>
      </c>
      <c r="R261" s="101">
        <v>205153.03</v>
      </c>
      <c r="S261" s="101">
        <v>73622.093000000008</v>
      </c>
      <c r="T261" s="133">
        <v>1.02</v>
      </c>
      <c r="U261" s="101">
        <f t="shared" si="35"/>
        <v>48.96</v>
      </c>
      <c r="V261" s="101">
        <f t="shared" si="36"/>
        <v>1718.7</v>
      </c>
      <c r="W261" s="101">
        <f t="shared" si="37"/>
        <v>21800.46</v>
      </c>
      <c r="X261" s="101">
        <f t="shared" si="38"/>
        <v>209256.0906</v>
      </c>
      <c r="Y261" s="101">
        <f t="shared" si="39"/>
        <v>75094.534860000014</v>
      </c>
      <c r="AA261" s="101">
        <v>9</v>
      </c>
      <c r="AB261" s="101">
        <v>173</v>
      </c>
      <c r="AC261" s="101">
        <v>5415</v>
      </c>
      <c r="AD261" s="101">
        <v>55857.53</v>
      </c>
      <c r="AE261" s="101">
        <v>26224.435000000001</v>
      </c>
      <c r="AF261" s="225"/>
      <c r="AG261" s="148"/>
      <c r="AH261" s="101">
        <v>30000</v>
      </c>
      <c r="AI261" s="101">
        <f t="shared" si="41"/>
        <v>24000</v>
      </c>
      <c r="AJ261" s="101">
        <f t="shared" si="42"/>
        <v>36000</v>
      </c>
    </row>
    <row r="262" spans="1:36" hidden="1" x14ac:dyDescent="0.3">
      <c r="A262" s="126" t="s">
        <v>175</v>
      </c>
      <c r="B262" s="126">
        <v>17</v>
      </c>
      <c r="C262" s="126">
        <v>32</v>
      </c>
      <c r="D262" s="126" t="str">
        <f t="shared" si="32"/>
        <v>1732</v>
      </c>
      <c r="E262" s="101">
        <v>595</v>
      </c>
      <c r="F262" s="101">
        <v>2719</v>
      </c>
      <c r="G262" s="101">
        <v>56487</v>
      </c>
      <c r="H262" s="101">
        <v>945518.29</v>
      </c>
      <c r="I262" s="101">
        <v>322972.34600000002</v>
      </c>
      <c r="J262" s="101">
        <v>315</v>
      </c>
      <c r="K262" s="101">
        <v>1175</v>
      </c>
      <c r="L262" s="101">
        <v>20274</v>
      </c>
      <c r="M262" s="101">
        <v>121431</v>
      </c>
      <c r="N262" s="101">
        <v>39989</v>
      </c>
      <c r="O262" s="101">
        <v>171</v>
      </c>
      <c r="P262" s="101">
        <v>771</v>
      </c>
      <c r="Q262" s="101">
        <v>19278</v>
      </c>
      <c r="R262" s="101">
        <v>192952.53</v>
      </c>
      <c r="S262" s="101">
        <v>57364.302000000003</v>
      </c>
      <c r="T262" s="133">
        <v>1.02</v>
      </c>
      <c r="U262" s="101">
        <f t="shared" ref="U262:U325" si="43">O262*T262</f>
        <v>174.42000000000002</v>
      </c>
      <c r="V262" s="101">
        <f t="shared" ref="V262:V325" si="44">P262*T262</f>
        <v>786.42</v>
      </c>
      <c r="W262" s="101">
        <f t="shared" ref="W262:W325" si="45">Q262*T262</f>
        <v>19663.560000000001</v>
      </c>
      <c r="X262" s="101">
        <f t="shared" ref="X262:X325" si="46">R262*T262</f>
        <v>196811.58060000002</v>
      </c>
      <c r="Y262" s="101">
        <f t="shared" ref="Y262:Y325" si="47">S262*T262</f>
        <v>58511.588040000002</v>
      </c>
      <c r="AA262" s="101">
        <v>148</v>
      </c>
      <c r="AB262" s="101">
        <v>964</v>
      </c>
      <c r="AC262" s="101">
        <v>12269</v>
      </c>
      <c r="AD262" s="101">
        <v>95771.839999999997</v>
      </c>
      <c r="AE262" s="101">
        <v>41574.453000000001</v>
      </c>
      <c r="AF262" s="225"/>
      <c r="AG262" s="148"/>
      <c r="AH262" s="101">
        <v>30000</v>
      </c>
      <c r="AI262" s="101">
        <f t="shared" si="41"/>
        <v>24000</v>
      </c>
      <c r="AJ262" s="101">
        <f t="shared" si="42"/>
        <v>36000</v>
      </c>
    </row>
    <row r="263" spans="1:36" hidden="1" x14ac:dyDescent="0.3">
      <c r="A263" s="126" t="s">
        <v>175</v>
      </c>
      <c r="B263" s="126">
        <v>17</v>
      </c>
      <c r="C263" s="126">
        <v>21</v>
      </c>
      <c r="D263" s="126" t="str">
        <f t="shared" si="32"/>
        <v>1721</v>
      </c>
      <c r="E263" s="101">
        <v>1824</v>
      </c>
      <c r="F263" s="101">
        <v>6038.5</v>
      </c>
      <c r="G263" s="101">
        <v>29089</v>
      </c>
      <c r="H263" s="101">
        <v>498226.55</v>
      </c>
      <c r="I263" s="101">
        <v>133383.9975</v>
      </c>
      <c r="J263" s="101">
        <v>842</v>
      </c>
      <c r="K263" s="101">
        <v>5656</v>
      </c>
      <c r="L263" s="101">
        <v>34870</v>
      </c>
      <c r="M263" s="101">
        <v>420779</v>
      </c>
      <c r="N263" s="101">
        <v>94328</v>
      </c>
      <c r="O263" s="138"/>
      <c r="P263" s="138"/>
      <c r="Q263" s="138"/>
      <c r="R263" s="138"/>
      <c r="S263" s="138"/>
      <c r="T263" s="133">
        <v>1.02</v>
      </c>
      <c r="U263" s="101">
        <f t="shared" si="43"/>
        <v>0</v>
      </c>
      <c r="V263" s="101">
        <f t="shared" si="44"/>
        <v>0</v>
      </c>
      <c r="W263" s="101">
        <f t="shared" si="45"/>
        <v>0</v>
      </c>
      <c r="X263" s="101">
        <f t="shared" si="46"/>
        <v>0</v>
      </c>
      <c r="Y263" s="101">
        <f t="shared" si="47"/>
        <v>0</v>
      </c>
      <c r="AA263" s="101">
        <v>81</v>
      </c>
      <c r="AB263" s="101">
        <v>255</v>
      </c>
      <c r="AC263" s="101">
        <v>1549</v>
      </c>
      <c r="AD263" s="101">
        <v>34202.58</v>
      </c>
      <c r="AE263" s="101">
        <v>19137.310000000001</v>
      </c>
      <c r="AF263" s="225"/>
      <c r="AG263" s="148"/>
      <c r="AH263" s="101">
        <v>30000</v>
      </c>
      <c r="AI263" s="101">
        <f t="shared" si="41"/>
        <v>24000</v>
      </c>
      <c r="AJ263" s="101">
        <f t="shared" si="42"/>
        <v>36000</v>
      </c>
    </row>
    <row r="264" spans="1:36" hidden="1" x14ac:dyDescent="0.3">
      <c r="A264" s="126" t="s">
        <v>175</v>
      </c>
      <c r="B264" s="126">
        <v>17</v>
      </c>
      <c r="C264" s="126">
        <v>30</v>
      </c>
      <c r="D264" s="126" t="str">
        <f t="shared" si="32"/>
        <v>1730</v>
      </c>
      <c r="E264" s="101">
        <v>313</v>
      </c>
      <c r="F264" s="101">
        <v>3159</v>
      </c>
      <c r="G264" s="101">
        <v>13645.5</v>
      </c>
      <c r="H264" s="101">
        <v>395212.86499999999</v>
      </c>
      <c r="I264" s="101">
        <v>124305.38500000001</v>
      </c>
      <c r="J264" s="101">
        <v>324</v>
      </c>
      <c r="K264" s="101">
        <v>4119</v>
      </c>
      <c r="L264" s="101">
        <v>19884</v>
      </c>
      <c r="M264" s="101">
        <v>355319</v>
      </c>
      <c r="N264" s="101">
        <v>129108</v>
      </c>
      <c r="O264" s="138">
        <v>433</v>
      </c>
      <c r="P264" s="138">
        <v>6821</v>
      </c>
      <c r="Q264" s="138">
        <v>27036</v>
      </c>
      <c r="R264" s="138">
        <v>496291.47</v>
      </c>
      <c r="S264" s="138">
        <v>166256.984</v>
      </c>
      <c r="T264" s="133">
        <v>1.02</v>
      </c>
      <c r="U264" s="101">
        <f t="shared" si="43"/>
        <v>441.66</v>
      </c>
      <c r="V264" s="101">
        <f t="shared" si="44"/>
        <v>6957.42</v>
      </c>
      <c r="W264" s="101">
        <f t="shared" si="45"/>
        <v>27576.720000000001</v>
      </c>
      <c r="X264" s="101">
        <f t="shared" si="46"/>
        <v>506217.29939999996</v>
      </c>
      <c r="Y264" s="101">
        <f t="shared" si="47"/>
        <v>169582.12367999999</v>
      </c>
      <c r="AA264" s="101">
        <v>298</v>
      </c>
      <c r="AB264" s="101">
        <v>7062</v>
      </c>
      <c r="AC264" s="101">
        <v>21863</v>
      </c>
      <c r="AD264" s="101">
        <v>419859.89</v>
      </c>
      <c r="AE264" s="101">
        <v>123882.173</v>
      </c>
      <c r="AF264" s="225"/>
      <c r="AG264" s="148"/>
      <c r="AH264" s="101">
        <v>30000</v>
      </c>
      <c r="AI264" s="101">
        <f t="shared" si="41"/>
        <v>24000</v>
      </c>
      <c r="AJ264" s="101">
        <f t="shared" si="42"/>
        <v>36000</v>
      </c>
    </row>
    <row r="265" spans="1:36" hidden="1" x14ac:dyDescent="0.3">
      <c r="A265" s="126" t="s">
        <v>175</v>
      </c>
      <c r="B265" s="126">
        <v>17</v>
      </c>
      <c r="C265" s="126">
        <v>71</v>
      </c>
      <c r="D265" s="126" t="str">
        <f t="shared" si="32"/>
        <v>1771</v>
      </c>
      <c r="E265" s="101">
        <v>654</v>
      </c>
      <c r="F265" s="101">
        <v>5644</v>
      </c>
      <c r="G265" s="101">
        <v>14894</v>
      </c>
      <c r="H265" s="101">
        <v>105197.12</v>
      </c>
      <c r="I265" s="101">
        <v>49602.601499999997</v>
      </c>
      <c r="J265" s="101">
        <v>657</v>
      </c>
      <c r="K265" s="101">
        <v>8086</v>
      </c>
      <c r="L265" s="101">
        <v>41358</v>
      </c>
      <c r="M265" s="101">
        <v>193064</v>
      </c>
      <c r="N265" s="101">
        <v>92474</v>
      </c>
      <c r="O265" s="101">
        <v>552</v>
      </c>
      <c r="P265" s="101">
        <v>6272</v>
      </c>
      <c r="Q265" s="101">
        <v>26531</v>
      </c>
      <c r="R265" s="101">
        <v>192384.63999999998</v>
      </c>
      <c r="S265" s="101">
        <v>134151.20500000002</v>
      </c>
      <c r="T265" s="133">
        <v>0.98</v>
      </c>
      <c r="U265" s="101">
        <f t="shared" si="43"/>
        <v>540.96</v>
      </c>
      <c r="V265" s="101">
        <f t="shared" si="44"/>
        <v>6146.5599999999995</v>
      </c>
      <c r="W265" s="101">
        <f t="shared" si="45"/>
        <v>26000.38</v>
      </c>
      <c r="X265" s="101">
        <f t="shared" si="46"/>
        <v>188536.9472</v>
      </c>
      <c r="Y265" s="101">
        <f t="shared" si="47"/>
        <v>131468.18090000001</v>
      </c>
      <c r="AA265" s="101">
        <v>156</v>
      </c>
      <c r="AB265" s="101">
        <v>6203</v>
      </c>
      <c r="AC265" s="101">
        <v>17137</v>
      </c>
      <c r="AD265" s="101">
        <v>107837.65</v>
      </c>
      <c r="AE265" s="101">
        <v>53685.603999999999</v>
      </c>
      <c r="AF265" s="225"/>
      <c r="AG265" s="148"/>
      <c r="AH265" s="101">
        <v>30000</v>
      </c>
      <c r="AI265" s="101">
        <f t="shared" si="41"/>
        <v>24000</v>
      </c>
      <c r="AJ265" s="101">
        <f t="shared" si="42"/>
        <v>36000</v>
      </c>
    </row>
    <row r="266" spans="1:36" hidden="1" x14ac:dyDescent="0.3">
      <c r="A266" s="126" t="s">
        <v>175</v>
      </c>
      <c r="B266" s="126">
        <v>17</v>
      </c>
      <c r="C266" s="126">
        <v>66</v>
      </c>
      <c r="D266" s="126" t="str">
        <f t="shared" si="32"/>
        <v>1766</v>
      </c>
      <c r="J266" s="101">
        <v>3</v>
      </c>
      <c r="K266" s="101">
        <v>5</v>
      </c>
      <c r="L266" s="101">
        <v>22</v>
      </c>
      <c r="M266" s="101">
        <v>45</v>
      </c>
      <c r="N266" s="101">
        <v>121</v>
      </c>
      <c r="O266" s="101">
        <v>21</v>
      </c>
      <c r="P266" s="101">
        <v>114</v>
      </c>
      <c r="Q266" s="101">
        <v>32506</v>
      </c>
      <c r="R266" s="101">
        <v>253055.00999999998</v>
      </c>
      <c r="S266" s="101">
        <v>171745.505</v>
      </c>
      <c r="T266" s="133">
        <v>1.02</v>
      </c>
      <c r="U266" s="101">
        <f t="shared" si="43"/>
        <v>21.42</v>
      </c>
      <c r="V266" s="101">
        <f t="shared" si="44"/>
        <v>116.28</v>
      </c>
      <c r="W266" s="101">
        <f t="shared" si="45"/>
        <v>33156.120000000003</v>
      </c>
      <c r="X266" s="101">
        <f t="shared" si="46"/>
        <v>258116.1102</v>
      </c>
      <c r="Y266" s="101">
        <f t="shared" si="47"/>
        <v>175180.41510000001</v>
      </c>
      <c r="AA266" s="101">
        <v>14</v>
      </c>
      <c r="AB266" s="101">
        <v>63</v>
      </c>
      <c r="AC266" s="101">
        <v>1371</v>
      </c>
      <c r="AD266" s="101">
        <v>13786.47</v>
      </c>
      <c r="AE266" s="101">
        <v>10642.13</v>
      </c>
      <c r="AF266" s="225"/>
      <c r="AG266" s="148"/>
      <c r="AH266" s="101"/>
      <c r="AI266" s="101"/>
      <c r="AJ266" s="101"/>
    </row>
    <row r="267" spans="1:36" hidden="1" x14ac:dyDescent="0.3">
      <c r="A267" s="126" t="s">
        <v>175</v>
      </c>
      <c r="B267" s="126">
        <v>17</v>
      </c>
      <c r="C267" s="126">
        <v>46</v>
      </c>
      <c r="D267" s="126" t="str">
        <f t="shared" si="32"/>
        <v>1746</v>
      </c>
      <c r="J267" s="101">
        <v>19</v>
      </c>
      <c r="K267" s="101">
        <v>22</v>
      </c>
      <c r="L267" s="101">
        <v>1675</v>
      </c>
      <c r="M267" s="101">
        <v>4657</v>
      </c>
      <c r="N267" s="101">
        <v>422</v>
      </c>
      <c r="O267" s="101">
        <v>7</v>
      </c>
      <c r="P267" s="101">
        <v>9</v>
      </c>
      <c r="Q267" s="101">
        <v>39</v>
      </c>
      <c r="R267" s="101">
        <v>487.54999999999995</v>
      </c>
      <c r="S267" s="101">
        <v>125.148</v>
      </c>
      <c r="T267" s="133">
        <v>1.02</v>
      </c>
      <c r="U267" s="101">
        <f t="shared" si="43"/>
        <v>7.1400000000000006</v>
      </c>
      <c r="V267" s="101">
        <f t="shared" si="44"/>
        <v>9.18</v>
      </c>
      <c r="W267" s="101">
        <f t="shared" si="45"/>
        <v>39.78</v>
      </c>
      <c r="X267" s="101">
        <f t="shared" si="46"/>
        <v>497.30099999999999</v>
      </c>
      <c r="Y267" s="101">
        <f t="shared" si="47"/>
        <v>127.65096</v>
      </c>
      <c r="AA267" s="101">
        <v>5</v>
      </c>
      <c r="AB267" s="101">
        <v>8</v>
      </c>
      <c r="AC267" s="101">
        <v>545</v>
      </c>
      <c r="AD267" s="101">
        <v>3406.17</v>
      </c>
      <c r="AE267" s="101">
        <v>170.00200000000001</v>
      </c>
      <c r="AF267" s="225"/>
      <c r="AG267" s="148"/>
      <c r="AH267" s="101"/>
      <c r="AI267" s="101"/>
      <c r="AJ267" s="101"/>
    </row>
    <row r="268" spans="1:36" hidden="1" x14ac:dyDescent="0.3">
      <c r="A268" s="126" t="s">
        <v>175</v>
      </c>
      <c r="B268" s="126">
        <v>17</v>
      </c>
      <c r="C268" s="126">
        <v>12</v>
      </c>
      <c r="D268" s="126" t="str">
        <f t="shared" si="32"/>
        <v>1712</v>
      </c>
      <c r="J268" s="101">
        <v>2</v>
      </c>
      <c r="K268" s="101">
        <v>2</v>
      </c>
      <c r="L268" s="101">
        <v>5</v>
      </c>
      <c r="M268" s="101">
        <v>30</v>
      </c>
      <c r="N268" s="101">
        <v>21</v>
      </c>
      <c r="O268" s="101">
        <v>0</v>
      </c>
      <c r="P268" s="101">
        <v>0</v>
      </c>
      <c r="Q268" s="101">
        <v>0</v>
      </c>
      <c r="R268" s="101">
        <v>0</v>
      </c>
      <c r="S268" s="101">
        <v>0</v>
      </c>
      <c r="T268" s="133">
        <v>1.02</v>
      </c>
      <c r="U268" s="101">
        <f t="shared" si="43"/>
        <v>0</v>
      </c>
      <c r="V268" s="101">
        <f t="shared" si="44"/>
        <v>0</v>
      </c>
      <c r="W268" s="101">
        <f t="shared" si="45"/>
        <v>0</v>
      </c>
      <c r="X268" s="101">
        <f t="shared" si="46"/>
        <v>0</v>
      </c>
      <c r="Y268" s="101">
        <f t="shared" si="47"/>
        <v>0</v>
      </c>
      <c r="AA268" s="101">
        <v>0</v>
      </c>
      <c r="AB268" s="101">
        <v>0</v>
      </c>
      <c r="AC268" s="101">
        <v>0</v>
      </c>
      <c r="AD268" s="101">
        <v>0</v>
      </c>
      <c r="AE268" s="101">
        <v>0</v>
      </c>
      <c r="AF268" s="225"/>
      <c r="AG268" s="148"/>
      <c r="AH268" s="101"/>
      <c r="AI268" s="101"/>
      <c r="AJ268" s="101"/>
    </row>
    <row r="269" spans="1:36" hidden="1" x14ac:dyDescent="0.3">
      <c r="A269" s="126" t="s">
        <v>175</v>
      </c>
      <c r="B269" s="126">
        <v>17</v>
      </c>
      <c r="C269" s="126">
        <v>28</v>
      </c>
      <c r="D269" s="126" t="str">
        <f t="shared" si="32"/>
        <v>1728</v>
      </c>
      <c r="J269" s="101">
        <v>37</v>
      </c>
      <c r="K269" s="101">
        <v>66</v>
      </c>
      <c r="L269" s="101">
        <v>1033</v>
      </c>
      <c r="M269" s="101">
        <v>28335</v>
      </c>
      <c r="N269" s="101">
        <v>9472</v>
      </c>
      <c r="O269" s="101">
        <v>50</v>
      </c>
      <c r="P269" s="101">
        <v>112</v>
      </c>
      <c r="Q269" s="101">
        <v>812</v>
      </c>
      <c r="R269" s="101">
        <v>10022.65</v>
      </c>
      <c r="S269" s="101">
        <v>3009.5130000000004</v>
      </c>
      <c r="T269" s="133">
        <v>1.02</v>
      </c>
      <c r="U269" s="101">
        <f t="shared" si="43"/>
        <v>51</v>
      </c>
      <c r="V269" s="101">
        <f t="shared" si="44"/>
        <v>114.24000000000001</v>
      </c>
      <c r="W269" s="101">
        <f t="shared" si="45"/>
        <v>828.24</v>
      </c>
      <c r="X269" s="101">
        <f t="shared" si="46"/>
        <v>10223.102999999999</v>
      </c>
      <c r="Y269" s="101">
        <f t="shared" si="47"/>
        <v>3069.7032600000002</v>
      </c>
      <c r="AA269" s="101">
        <v>48</v>
      </c>
      <c r="AB269" s="101">
        <v>166</v>
      </c>
      <c r="AC269" s="101">
        <v>2298</v>
      </c>
      <c r="AD269" s="101">
        <v>25634.45</v>
      </c>
      <c r="AE269" s="101">
        <v>8073.6570000000002</v>
      </c>
      <c r="AF269" s="225"/>
      <c r="AG269" s="148"/>
      <c r="AH269" s="101"/>
      <c r="AI269" s="101"/>
      <c r="AJ269" s="101"/>
    </row>
    <row r="270" spans="1:36" hidden="1" x14ac:dyDescent="0.3">
      <c r="A270" s="126" t="s">
        <v>175</v>
      </c>
      <c r="B270" s="126">
        <v>17</v>
      </c>
      <c r="C270" s="126">
        <v>34</v>
      </c>
      <c r="D270" s="126" t="str">
        <f t="shared" si="32"/>
        <v>1734</v>
      </c>
      <c r="J270" s="101">
        <v>1</v>
      </c>
      <c r="K270" s="101">
        <v>5</v>
      </c>
      <c r="L270" s="101">
        <v>14</v>
      </c>
      <c r="M270" s="101">
        <v>0</v>
      </c>
      <c r="N270" s="101">
        <v>44</v>
      </c>
      <c r="O270" s="101">
        <v>0</v>
      </c>
      <c r="P270" s="101">
        <v>0</v>
      </c>
      <c r="Q270" s="101">
        <v>0</v>
      </c>
      <c r="R270" s="101">
        <v>0</v>
      </c>
      <c r="S270" s="101">
        <v>0</v>
      </c>
      <c r="T270" s="133">
        <v>1.02</v>
      </c>
      <c r="U270" s="101">
        <f t="shared" si="43"/>
        <v>0</v>
      </c>
      <c r="V270" s="101">
        <f t="shared" si="44"/>
        <v>0</v>
      </c>
      <c r="W270" s="101">
        <f t="shared" si="45"/>
        <v>0</v>
      </c>
      <c r="X270" s="101">
        <f t="shared" si="46"/>
        <v>0</v>
      </c>
      <c r="Y270" s="101">
        <f t="shared" si="47"/>
        <v>0</v>
      </c>
      <c r="AA270" s="101">
        <v>0</v>
      </c>
      <c r="AB270" s="101">
        <v>0</v>
      </c>
      <c r="AC270" s="101">
        <v>0</v>
      </c>
      <c r="AD270" s="101">
        <v>0</v>
      </c>
      <c r="AE270" s="101">
        <v>0</v>
      </c>
      <c r="AF270" s="225"/>
      <c r="AG270" s="148"/>
      <c r="AH270" s="101"/>
      <c r="AI270" s="101"/>
      <c r="AJ270" s="101"/>
    </row>
    <row r="271" spans="1:36" hidden="1" x14ac:dyDescent="0.3">
      <c r="A271" s="126" t="s">
        <v>175</v>
      </c>
      <c r="B271" s="126">
        <v>17</v>
      </c>
      <c r="C271" s="126">
        <v>35</v>
      </c>
      <c r="D271" s="126" t="str">
        <f t="shared" si="32"/>
        <v>1735</v>
      </c>
      <c r="J271" s="101">
        <v>2</v>
      </c>
      <c r="K271" s="101">
        <v>9</v>
      </c>
      <c r="L271" s="101">
        <v>20</v>
      </c>
      <c r="M271" s="101">
        <v>0</v>
      </c>
      <c r="N271" s="101">
        <v>15</v>
      </c>
      <c r="O271" s="101">
        <v>0</v>
      </c>
      <c r="P271" s="101">
        <v>0</v>
      </c>
      <c r="Q271" s="101">
        <v>0</v>
      </c>
      <c r="R271" s="101">
        <v>0</v>
      </c>
      <c r="S271" s="101">
        <v>0</v>
      </c>
      <c r="T271" s="133">
        <v>1.02</v>
      </c>
      <c r="U271" s="101">
        <f t="shared" si="43"/>
        <v>0</v>
      </c>
      <c r="V271" s="101">
        <f t="shared" si="44"/>
        <v>0</v>
      </c>
      <c r="W271" s="101">
        <f t="shared" si="45"/>
        <v>0</v>
      </c>
      <c r="X271" s="101">
        <f t="shared" si="46"/>
        <v>0</v>
      </c>
      <c r="Y271" s="101">
        <f t="shared" si="47"/>
        <v>0</v>
      </c>
      <c r="AA271" s="101">
        <v>0</v>
      </c>
      <c r="AB271" s="101">
        <v>0</v>
      </c>
      <c r="AC271" s="101">
        <v>0</v>
      </c>
      <c r="AD271" s="101">
        <v>0</v>
      </c>
      <c r="AE271" s="101">
        <v>0</v>
      </c>
      <c r="AF271" s="225"/>
      <c r="AG271" s="148"/>
      <c r="AH271" s="101"/>
      <c r="AI271" s="101"/>
      <c r="AJ271" s="101"/>
    </row>
    <row r="272" spans="1:36" x14ac:dyDescent="0.3">
      <c r="A272" s="126" t="s">
        <v>175</v>
      </c>
      <c r="B272" s="126">
        <v>17</v>
      </c>
      <c r="C272" s="126">
        <v>91</v>
      </c>
      <c r="D272" s="126" t="str">
        <f t="shared" si="32"/>
        <v>1791</v>
      </c>
      <c r="J272" s="101">
        <v>17</v>
      </c>
      <c r="K272" s="101">
        <v>42</v>
      </c>
      <c r="L272" s="101">
        <v>577</v>
      </c>
      <c r="M272" s="101">
        <v>9344</v>
      </c>
      <c r="N272" s="101">
        <v>1700</v>
      </c>
      <c r="O272" s="101">
        <v>7</v>
      </c>
      <c r="P272" s="101">
        <v>74</v>
      </c>
      <c r="Q272" s="101">
        <v>213</v>
      </c>
      <c r="R272" s="101">
        <v>1876.51</v>
      </c>
      <c r="S272" s="101">
        <v>821.61099999999999</v>
      </c>
      <c r="T272" s="133">
        <v>1.02</v>
      </c>
      <c r="U272" s="101">
        <f t="shared" si="43"/>
        <v>7.1400000000000006</v>
      </c>
      <c r="V272" s="101">
        <f t="shared" si="44"/>
        <v>75.48</v>
      </c>
      <c r="W272" s="101">
        <f t="shared" si="45"/>
        <v>217.26</v>
      </c>
      <c r="X272" s="101">
        <f t="shared" si="46"/>
        <v>1914.0401999999999</v>
      </c>
      <c r="Y272" s="101">
        <f t="shared" si="47"/>
        <v>838.04322000000002</v>
      </c>
      <c r="AA272" s="101">
        <v>3</v>
      </c>
      <c r="AB272" s="101">
        <v>3</v>
      </c>
      <c r="AC272" s="101">
        <v>23</v>
      </c>
      <c r="AD272" s="101">
        <v>152.07</v>
      </c>
      <c r="AE272" s="101">
        <v>55.871000000000002</v>
      </c>
      <c r="AF272" s="225"/>
      <c r="AG272" s="148"/>
      <c r="AH272" s="101"/>
      <c r="AI272" s="101"/>
      <c r="AJ272" s="101"/>
    </row>
    <row r="273" spans="1:36" hidden="1" x14ac:dyDescent="0.3">
      <c r="A273" s="126" t="s">
        <v>175</v>
      </c>
      <c r="B273" s="126">
        <v>17</v>
      </c>
      <c r="C273" s="126">
        <v>41</v>
      </c>
      <c r="D273" s="126" t="str">
        <f t="shared" si="32"/>
        <v>1741</v>
      </c>
      <c r="O273" s="101">
        <v>10</v>
      </c>
      <c r="P273" s="101">
        <v>14</v>
      </c>
      <c r="Q273" s="101">
        <v>177</v>
      </c>
      <c r="R273" s="101">
        <v>1256.6100000000001</v>
      </c>
      <c r="S273" s="101">
        <v>509.94499999999999</v>
      </c>
      <c r="T273" s="133">
        <v>1.02</v>
      </c>
      <c r="U273" s="101">
        <f t="shared" si="43"/>
        <v>10.199999999999999</v>
      </c>
      <c r="V273" s="101">
        <f t="shared" si="44"/>
        <v>14.280000000000001</v>
      </c>
      <c r="W273" s="101">
        <f t="shared" si="45"/>
        <v>180.54</v>
      </c>
      <c r="X273" s="101">
        <f t="shared" si="46"/>
        <v>1281.7422000000001</v>
      </c>
      <c r="Y273" s="101">
        <f t="shared" si="47"/>
        <v>520.14390000000003</v>
      </c>
      <c r="AA273" s="101">
        <v>1</v>
      </c>
      <c r="AB273" s="101">
        <v>1</v>
      </c>
      <c r="AC273" s="101">
        <v>6</v>
      </c>
      <c r="AD273" s="101">
        <v>114</v>
      </c>
      <c r="AE273" s="101">
        <v>44.688000000000002</v>
      </c>
      <c r="AF273" s="225"/>
      <c r="AG273" s="148"/>
      <c r="AH273" s="101"/>
      <c r="AI273" s="101"/>
      <c r="AJ273" s="101"/>
    </row>
    <row r="274" spans="1:36" hidden="1" x14ac:dyDescent="0.3">
      <c r="A274" s="126" t="s">
        <v>175</v>
      </c>
      <c r="B274" s="126">
        <v>17</v>
      </c>
      <c r="C274" s="126">
        <v>1</v>
      </c>
      <c r="D274" s="126" t="str">
        <f t="shared" si="32"/>
        <v>171</v>
      </c>
      <c r="J274" s="101">
        <v>137</v>
      </c>
      <c r="K274" s="101">
        <v>137</v>
      </c>
      <c r="L274" s="101">
        <v>52375</v>
      </c>
      <c r="M274" s="101">
        <v>0</v>
      </c>
      <c r="N274" s="101">
        <v>220949</v>
      </c>
      <c r="O274" s="101">
        <v>97</v>
      </c>
      <c r="P274" s="101">
        <v>97</v>
      </c>
      <c r="Q274" s="101">
        <v>31023</v>
      </c>
      <c r="S274" s="101">
        <v>107943</v>
      </c>
      <c r="T274" s="133">
        <v>1.02</v>
      </c>
      <c r="U274" s="101">
        <f t="shared" si="43"/>
        <v>98.94</v>
      </c>
      <c r="V274" s="101">
        <f t="shared" si="44"/>
        <v>98.94</v>
      </c>
      <c r="W274" s="101">
        <f t="shared" si="45"/>
        <v>31643.46</v>
      </c>
      <c r="X274" s="101">
        <f t="shared" si="46"/>
        <v>0</v>
      </c>
      <c r="Y274" s="101">
        <f t="shared" si="47"/>
        <v>110101.86</v>
      </c>
      <c r="AA274" s="101">
        <v>152</v>
      </c>
      <c r="AB274" s="101">
        <v>173</v>
      </c>
      <c r="AC274" s="101">
        <v>29133</v>
      </c>
      <c r="AE274" s="101">
        <v>109065.27099999999</v>
      </c>
      <c r="AF274" s="225"/>
      <c r="AG274" s="148"/>
      <c r="AH274" s="101"/>
      <c r="AI274" s="101"/>
      <c r="AJ274" s="101"/>
    </row>
    <row r="275" spans="1:36" hidden="1" x14ac:dyDescent="0.3">
      <c r="A275" s="126" t="s">
        <v>175</v>
      </c>
      <c r="B275" s="126">
        <v>17</v>
      </c>
      <c r="C275" s="126">
        <v>37</v>
      </c>
      <c r="D275" s="126" t="str">
        <f t="shared" si="32"/>
        <v>1737</v>
      </c>
      <c r="E275" s="101">
        <v>13.5</v>
      </c>
      <c r="F275" s="101">
        <v>40.75</v>
      </c>
      <c r="G275" s="101">
        <v>2503.25</v>
      </c>
      <c r="H275" s="101">
        <v>8413.6849999999995</v>
      </c>
      <c r="I275" s="101">
        <v>9130.8342499999999</v>
      </c>
      <c r="J275" s="101">
        <v>0</v>
      </c>
      <c r="K275" s="101">
        <v>0</v>
      </c>
      <c r="L275" s="101">
        <v>0</v>
      </c>
      <c r="M275" s="101">
        <v>0</v>
      </c>
      <c r="N275" s="101">
        <v>0</v>
      </c>
      <c r="O275" s="101">
        <v>3</v>
      </c>
      <c r="P275" s="101">
        <v>12</v>
      </c>
      <c r="Q275" s="101">
        <v>12746</v>
      </c>
      <c r="R275" s="101">
        <v>17332.310000000001</v>
      </c>
      <c r="S275" s="101">
        <v>5810.1970000000001</v>
      </c>
      <c r="T275" s="133">
        <v>1.02</v>
      </c>
      <c r="U275" s="101">
        <f t="shared" si="43"/>
        <v>3.06</v>
      </c>
      <c r="V275" s="101">
        <f t="shared" si="44"/>
        <v>12.24</v>
      </c>
      <c r="W275" s="101">
        <f t="shared" si="45"/>
        <v>13000.92</v>
      </c>
      <c r="X275" s="101">
        <f t="shared" si="46"/>
        <v>17678.956200000001</v>
      </c>
      <c r="Y275" s="101">
        <f t="shared" si="47"/>
        <v>5926.4009400000004</v>
      </c>
      <c r="AA275" s="101">
        <v>1</v>
      </c>
      <c r="AB275" s="101">
        <v>2</v>
      </c>
      <c r="AC275" s="101">
        <v>6000</v>
      </c>
      <c r="AD275" s="101">
        <v>4740</v>
      </c>
      <c r="AE275" s="101">
        <v>600</v>
      </c>
      <c r="AF275" s="225"/>
      <c r="AG275" s="148"/>
      <c r="AH275" s="101">
        <v>30000</v>
      </c>
      <c r="AI275" s="101">
        <f t="shared" si="41"/>
        <v>24000</v>
      </c>
      <c r="AJ275" s="101">
        <f t="shared" si="42"/>
        <v>36000</v>
      </c>
    </row>
    <row r="276" spans="1:36" hidden="1" x14ac:dyDescent="0.3">
      <c r="A276" s="126" t="s">
        <v>176</v>
      </c>
      <c r="B276" s="126">
        <v>18</v>
      </c>
      <c r="C276" s="126">
        <v>22</v>
      </c>
      <c r="D276" s="126" t="str">
        <f t="shared" si="32"/>
        <v>1822</v>
      </c>
      <c r="E276" s="101">
        <v>331</v>
      </c>
      <c r="F276" s="101">
        <v>2525</v>
      </c>
      <c r="G276" s="101">
        <v>28177</v>
      </c>
      <c r="H276" s="101">
        <v>115385.03</v>
      </c>
      <c r="I276" s="101">
        <v>94955.722000000009</v>
      </c>
      <c r="J276" s="101">
        <v>725</v>
      </c>
      <c r="K276" s="101">
        <v>3878</v>
      </c>
      <c r="L276" s="101">
        <v>29006</v>
      </c>
      <c r="M276" s="101">
        <v>290380.94</v>
      </c>
      <c r="N276" s="101">
        <v>151591.155</v>
      </c>
      <c r="O276" s="101">
        <v>573</v>
      </c>
      <c r="P276" s="101">
        <v>2685</v>
      </c>
      <c r="Q276" s="101">
        <v>20027</v>
      </c>
      <c r="R276" s="101">
        <v>114289.51</v>
      </c>
      <c r="S276" s="101">
        <v>74553.948999999993</v>
      </c>
      <c r="T276" s="133">
        <v>1.02</v>
      </c>
      <c r="U276" s="101">
        <f t="shared" si="43"/>
        <v>584.46</v>
      </c>
      <c r="V276" s="101">
        <f t="shared" si="44"/>
        <v>2738.7000000000003</v>
      </c>
      <c r="W276" s="101">
        <f t="shared" si="45"/>
        <v>20427.54</v>
      </c>
      <c r="X276" s="101">
        <f t="shared" si="46"/>
        <v>116575.3002</v>
      </c>
      <c r="Y276" s="101">
        <f t="shared" si="47"/>
        <v>76045.027979999999</v>
      </c>
      <c r="AA276" s="101">
        <v>281</v>
      </c>
      <c r="AB276" s="101">
        <v>2146</v>
      </c>
      <c r="AC276" s="101">
        <v>22872</v>
      </c>
      <c r="AD276" s="101">
        <v>89475.08</v>
      </c>
      <c r="AE276" s="101">
        <v>75257.423999999999</v>
      </c>
      <c r="AF276" s="225">
        <f>SUM(AB276:AB290)</f>
        <v>18761</v>
      </c>
      <c r="AG276" s="148"/>
      <c r="AH276" s="101">
        <v>30000</v>
      </c>
      <c r="AI276" s="101">
        <f t="shared" si="41"/>
        <v>24000</v>
      </c>
      <c r="AJ276" s="101">
        <f t="shared" si="42"/>
        <v>36000</v>
      </c>
    </row>
    <row r="277" spans="1:36" hidden="1" x14ac:dyDescent="0.3">
      <c r="A277" s="126" t="s">
        <v>176</v>
      </c>
      <c r="B277" s="126">
        <v>18</v>
      </c>
      <c r="C277" s="126">
        <v>25</v>
      </c>
      <c r="D277" s="126" t="str">
        <f t="shared" si="32"/>
        <v>1825</v>
      </c>
      <c r="E277" s="101">
        <v>123</v>
      </c>
      <c r="F277" s="101">
        <v>773</v>
      </c>
      <c r="G277" s="101">
        <v>25072</v>
      </c>
      <c r="H277" s="101">
        <v>568299.1399999999</v>
      </c>
      <c r="I277" s="101">
        <v>104930.224</v>
      </c>
      <c r="J277" s="101">
        <v>129</v>
      </c>
      <c r="K277" s="101">
        <v>1022</v>
      </c>
      <c r="L277" s="101">
        <v>25640</v>
      </c>
      <c r="M277" s="101">
        <v>234103.7</v>
      </c>
      <c r="N277" s="101">
        <v>100516.901</v>
      </c>
      <c r="O277" s="101">
        <v>212</v>
      </c>
      <c r="P277" s="101">
        <v>1578</v>
      </c>
      <c r="Q277" s="101">
        <v>59534</v>
      </c>
      <c r="R277" s="101">
        <v>383434.1</v>
      </c>
      <c r="S277" s="101">
        <v>245039.00599999999</v>
      </c>
      <c r="T277" s="133">
        <v>1.02</v>
      </c>
      <c r="U277" s="101">
        <f t="shared" si="43"/>
        <v>216.24</v>
      </c>
      <c r="V277" s="101">
        <f t="shared" si="44"/>
        <v>1609.56</v>
      </c>
      <c r="W277" s="101">
        <f t="shared" si="45"/>
        <v>60724.68</v>
      </c>
      <c r="X277" s="101">
        <f t="shared" si="46"/>
        <v>391102.78200000001</v>
      </c>
      <c r="Y277" s="101">
        <f t="shared" si="47"/>
        <v>249939.78612</v>
      </c>
      <c r="AA277" s="101">
        <v>177</v>
      </c>
      <c r="AB277" s="101">
        <v>1817</v>
      </c>
      <c r="AC277" s="101">
        <v>21469</v>
      </c>
      <c r="AD277" s="101">
        <v>209383.76</v>
      </c>
      <c r="AE277" s="101">
        <v>100393.049</v>
      </c>
      <c r="AF277" s="225"/>
      <c r="AG277" s="148"/>
      <c r="AH277" s="101">
        <v>30000</v>
      </c>
      <c r="AI277" s="101">
        <f t="shared" si="41"/>
        <v>24000</v>
      </c>
      <c r="AJ277" s="101">
        <f t="shared" si="42"/>
        <v>36000</v>
      </c>
    </row>
    <row r="278" spans="1:36" hidden="1" x14ac:dyDescent="0.3">
      <c r="A278" s="126" t="s">
        <v>176</v>
      </c>
      <c r="B278" s="126">
        <v>18</v>
      </c>
      <c r="C278" s="126">
        <v>27</v>
      </c>
      <c r="D278" s="126" t="str">
        <f t="shared" si="32"/>
        <v>1827</v>
      </c>
      <c r="E278" s="101">
        <v>7</v>
      </c>
      <c r="F278" s="101">
        <v>145</v>
      </c>
      <c r="G278" s="101">
        <v>1310</v>
      </c>
      <c r="H278" s="101">
        <v>17606.82</v>
      </c>
      <c r="I278" s="101">
        <v>3952.4250000000002</v>
      </c>
      <c r="J278" s="101">
        <v>15</v>
      </c>
      <c r="K278" s="101">
        <v>54</v>
      </c>
      <c r="L278" s="101">
        <v>383</v>
      </c>
      <c r="M278" s="101">
        <v>9821.5300000000007</v>
      </c>
      <c r="N278" s="101">
        <v>6048.3</v>
      </c>
      <c r="O278" s="101">
        <v>6</v>
      </c>
      <c r="P278" s="101">
        <v>70</v>
      </c>
      <c r="Q278" s="101">
        <v>530</v>
      </c>
      <c r="R278" s="101">
        <v>5187.45</v>
      </c>
      <c r="S278" s="101">
        <v>2373.6379999999999</v>
      </c>
      <c r="T278" s="133">
        <v>1.02</v>
      </c>
      <c r="U278" s="101">
        <f t="shared" si="43"/>
        <v>6.12</v>
      </c>
      <c r="V278" s="101">
        <f t="shared" si="44"/>
        <v>71.400000000000006</v>
      </c>
      <c r="W278" s="101">
        <f t="shared" si="45"/>
        <v>540.6</v>
      </c>
      <c r="X278" s="101">
        <f t="shared" si="46"/>
        <v>5291.1989999999996</v>
      </c>
      <c r="Y278" s="101">
        <f t="shared" si="47"/>
        <v>2421.11076</v>
      </c>
      <c r="AA278" s="101">
        <v>4</v>
      </c>
      <c r="AB278" s="101">
        <v>68</v>
      </c>
      <c r="AC278" s="101">
        <v>627</v>
      </c>
      <c r="AD278" s="101">
        <v>6387.37</v>
      </c>
      <c r="AE278" s="101">
        <v>3285.7190000000001</v>
      </c>
      <c r="AF278" s="225"/>
      <c r="AG278" s="148"/>
      <c r="AH278" s="101">
        <v>30000</v>
      </c>
      <c r="AI278" s="101">
        <f t="shared" si="41"/>
        <v>24000</v>
      </c>
      <c r="AJ278" s="101">
        <f t="shared" si="42"/>
        <v>36000</v>
      </c>
    </row>
    <row r="279" spans="1:36" hidden="1" x14ac:dyDescent="0.3">
      <c r="A279" s="126" t="s">
        <v>176</v>
      </c>
      <c r="B279" s="126">
        <v>18</v>
      </c>
      <c r="C279" s="126">
        <v>26</v>
      </c>
      <c r="D279" s="126" t="str">
        <f t="shared" si="32"/>
        <v>1826</v>
      </c>
      <c r="E279" s="101">
        <v>53</v>
      </c>
      <c r="F279" s="101">
        <v>1451</v>
      </c>
      <c r="G279" s="101">
        <v>15675</v>
      </c>
      <c r="H279" s="101">
        <v>171595.19</v>
      </c>
      <c r="I279" s="101">
        <v>75709.347000000009</v>
      </c>
      <c r="J279" s="101">
        <v>61</v>
      </c>
      <c r="K279" s="101">
        <v>1504</v>
      </c>
      <c r="L279" s="101">
        <v>21733</v>
      </c>
      <c r="M279" s="101">
        <v>267327.61</v>
      </c>
      <c r="N279" s="101">
        <v>78681.457999999999</v>
      </c>
      <c r="O279" s="101">
        <v>17</v>
      </c>
      <c r="P279" s="101">
        <v>583</v>
      </c>
      <c r="Q279" s="101">
        <v>11185</v>
      </c>
      <c r="R279" s="101">
        <v>111067.4</v>
      </c>
      <c r="S279" s="101">
        <v>53634.345000000001</v>
      </c>
      <c r="T279" s="133">
        <v>1.02</v>
      </c>
      <c r="U279" s="101">
        <f t="shared" si="43"/>
        <v>17.34</v>
      </c>
      <c r="V279" s="101">
        <f t="shared" si="44"/>
        <v>594.66</v>
      </c>
      <c r="W279" s="101">
        <f t="shared" si="45"/>
        <v>11408.7</v>
      </c>
      <c r="X279" s="101">
        <f t="shared" si="46"/>
        <v>113288.74799999999</v>
      </c>
      <c r="Y279" s="101">
        <f t="shared" si="47"/>
        <v>54707.031900000002</v>
      </c>
      <c r="AA279" s="101">
        <v>13</v>
      </c>
      <c r="AB279" s="101">
        <v>213</v>
      </c>
      <c r="AC279" s="101">
        <v>16732</v>
      </c>
      <c r="AD279" s="101">
        <v>90692.34</v>
      </c>
      <c r="AE279" s="101">
        <v>15576.858</v>
      </c>
      <c r="AF279" s="225"/>
      <c r="AG279" s="148"/>
      <c r="AH279" s="101">
        <v>30000</v>
      </c>
      <c r="AI279" s="101">
        <f t="shared" si="41"/>
        <v>24000</v>
      </c>
      <c r="AJ279" s="101">
        <f t="shared" si="42"/>
        <v>36000</v>
      </c>
    </row>
    <row r="280" spans="1:36" hidden="1" x14ac:dyDescent="0.3">
      <c r="A280" s="126" t="s">
        <v>176</v>
      </c>
      <c r="B280" s="126">
        <v>18</v>
      </c>
      <c r="C280" s="126">
        <v>32</v>
      </c>
      <c r="D280" s="126" t="str">
        <f t="shared" si="32"/>
        <v>1832</v>
      </c>
      <c r="E280" s="101">
        <v>429</v>
      </c>
      <c r="F280" s="101">
        <v>1200</v>
      </c>
      <c r="G280" s="101">
        <v>35040</v>
      </c>
      <c r="H280" s="101">
        <v>325872.61</v>
      </c>
      <c r="I280" s="101">
        <v>216389.32399999999</v>
      </c>
      <c r="J280" s="101">
        <v>298</v>
      </c>
      <c r="K280" s="101">
        <v>1076</v>
      </c>
      <c r="L280" s="101">
        <v>22374</v>
      </c>
      <c r="M280" s="101">
        <v>306724.53000000003</v>
      </c>
      <c r="N280" s="101">
        <v>145234.72899999999</v>
      </c>
      <c r="O280" s="101">
        <v>139</v>
      </c>
      <c r="P280" s="101">
        <v>794</v>
      </c>
      <c r="Q280" s="101">
        <v>12147</v>
      </c>
      <c r="R280" s="101">
        <v>96427.94</v>
      </c>
      <c r="S280" s="101">
        <v>45176.277999999998</v>
      </c>
      <c r="T280" s="133">
        <v>1.02</v>
      </c>
      <c r="U280" s="101">
        <f>O280*$T$5+3</f>
        <v>144.78</v>
      </c>
      <c r="V280" s="101">
        <f>P280*$T$5+3</f>
        <v>812.88</v>
      </c>
      <c r="W280" s="101">
        <f>Q280*$T$5+317</f>
        <v>12706.94</v>
      </c>
      <c r="X280" s="101">
        <f>R280*$T$5+5991</f>
        <v>104347.4988</v>
      </c>
      <c r="Y280" s="101">
        <f>S280*$T$5+1158</f>
        <v>47237.80356</v>
      </c>
      <c r="AA280" s="101">
        <v>100</v>
      </c>
      <c r="AB280" s="101">
        <v>878</v>
      </c>
      <c r="AC280" s="101">
        <v>20835</v>
      </c>
      <c r="AD280" s="101">
        <v>272758.09999999998</v>
      </c>
      <c r="AE280" s="101">
        <v>111178.117</v>
      </c>
      <c r="AF280" s="225"/>
      <c r="AG280" s="148"/>
      <c r="AH280" s="101">
        <v>30000</v>
      </c>
      <c r="AI280" s="101">
        <f t="shared" si="41"/>
        <v>24000</v>
      </c>
      <c r="AJ280" s="101">
        <f t="shared" si="42"/>
        <v>36000</v>
      </c>
    </row>
    <row r="281" spans="1:36" hidden="1" x14ac:dyDescent="0.3">
      <c r="A281" s="126" t="s">
        <v>176</v>
      </c>
      <c r="B281" s="126">
        <v>18</v>
      </c>
      <c r="C281" s="126">
        <v>21</v>
      </c>
      <c r="D281" s="126" t="str">
        <f t="shared" si="32"/>
        <v>1821</v>
      </c>
      <c r="E281" s="101">
        <v>759</v>
      </c>
      <c r="F281" s="101">
        <v>3468</v>
      </c>
      <c r="G281" s="101">
        <v>17797</v>
      </c>
      <c r="H281" s="101">
        <v>293549.42499999999</v>
      </c>
      <c r="I281" s="101">
        <v>74432.682499999995</v>
      </c>
      <c r="J281" s="101">
        <v>778</v>
      </c>
      <c r="K281" s="101">
        <v>3787</v>
      </c>
      <c r="L281" s="101">
        <v>13611</v>
      </c>
      <c r="M281" s="101">
        <v>199327.47</v>
      </c>
      <c r="N281" s="101">
        <v>61135.406999999999</v>
      </c>
      <c r="O281" s="138"/>
      <c r="P281" s="138"/>
      <c r="Q281" s="138"/>
      <c r="R281" s="138"/>
      <c r="S281" s="138"/>
      <c r="T281" s="133">
        <v>1.02</v>
      </c>
      <c r="U281" s="101">
        <f t="shared" si="43"/>
        <v>0</v>
      </c>
      <c r="V281" s="101">
        <f t="shared" si="44"/>
        <v>0</v>
      </c>
      <c r="W281" s="101">
        <f t="shared" si="45"/>
        <v>0</v>
      </c>
      <c r="X281" s="101">
        <f t="shared" si="46"/>
        <v>0</v>
      </c>
      <c r="Y281" s="101">
        <f t="shared" si="47"/>
        <v>0</v>
      </c>
      <c r="AA281" s="101">
        <v>120</v>
      </c>
      <c r="AB281" s="101">
        <v>270</v>
      </c>
      <c r="AC281" s="101">
        <v>472</v>
      </c>
      <c r="AD281" s="101">
        <v>9988.48</v>
      </c>
      <c r="AE281" s="101">
        <v>6321.4219999999996</v>
      </c>
      <c r="AF281" s="225"/>
      <c r="AG281" s="148"/>
      <c r="AH281" s="101">
        <v>30000</v>
      </c>
      <c r="AI281" s="101">
        <f t="shared" si="41"/>
        <v>24000</v>
      </c>
      <c r="AJ281" s="101">
        <f t="shared" si="42"/>
        <v>36000</v>
      </c>
    </row>
    <row r="282" spans="1:36" hidden="1" x14ac:dyDescent="0.3">
      <c r="A282" s="126" t="s">
        <v>176</v>
      </c>
      <c r="B282" s="126">
        <v>18</v>
      </c>
      <c r="C282" s="126">
        <v>30</v>
      </c>
      <c r="D282" s="126" t="str">
        <f t="shared" si="32"/>
        <v>1830</v>
      </c>
      <c r="E282" s="101">
        <v>293</v>
      </c>
      <c r="F282" s="101">
        <v>3161</v>
      </c>
      <c r="G282" s="101">
        <v>11797</v>
      </c>
      <c r="H282" s="101">
        <v>241637.905</v>
      </c>
      <c r="I282" s="101">
        <v>63533.453500000003</v>
      </c>
      <c r="J282" s="101">
        <v>377</v>
      </c>
      <c r="K282" s="101">
        <v>5514</v>
      </c>
      <c r="L282" s="101">
        <v>21822</v>
      </c>
      <c r="M282" s="101">
        <v>308220.06</v>
      </c>
      <c r="N282" s="101">
        <v>101812.129</v>
      </c>
      <c r="O282" s="138">
        <v>319</v>
      </c>
      <c r="P282" s="138">
        <v>5578</v>
      </c>
      <c r="Q282" s="138">
        <v>19638</v>
      </c>
      <c r="R282" s="138">
        <v>418344.36</v>
      </c>
      <c r="S282" s="138">
        <v>141390.636</v>
      </c>
      <c r="T282" s="133">
        <v>1.02</v>
      </c>
      <c r="U282" s="101">
        <f t="shared" si="43"/>
        <v>325.38</v>
      </c>
      <c r="V282" s="101">
        <f t="shared" si="44"/>
        <v>5689.56</v>
      </c>
      <c r="W282" s="101">
        <f t="shared" si="45"/>
        <v>20030.760000000002</v>
      </c>
      <c r="X282" s="101">
        <f t="shared" si="46"/>
        <v>426711.24719999998</v>
      </c>
      <c r="Y282" s="101">
        <f t="shared" si="47"/>
        <v>144218.44872000001</v>
      </c>
      <c r="AA282" s="101">
        <v>262</v>
      </c>
      <c r="AB282" s="101">
        <v>8807</v>
      </c>
      <c r="AC282" s="101">
        <v>27833</v>
      </c>
      <c r="AD282" s="101">
        <v>525323.96</v>
      </c>
      <c r="AE282" s="101">
        <v>139550.44699999999</v>
      </c>
      <c r="AF282" s="225"/>
      <c r="AG282" s="148"/>
      <c r="AH282" s="101">
        <v>30000</v>
      </c>
      <c r="AI282" s="101">
        <f t="shared" si="41"/>
        <v>24000</v>
      </c>
      <c r="AJ282" s="101">
        <f t="shared" si="42"/>
        <v>36000</v>
      </c>
    </row>
    <row r="283" spans="1:36" hidden="1" x14ac:dyDescent="0.3">
      <c r="A283" s="126" t="s">
        <v>176</v>
      </c>
      <c r="B283" s="126">
        <v>18</v>
      </c>
      <c r="C283" s="126">
        <v>28</v>
      </c>
      <c r="D283" s="126" t="str">
        <f t="shared" si="32"/>
        <v>1828</v>
      </c>
      <c r="J283" s="101">
        <v>34</v>
      </c>
      <c r="K283" s="101">
        <v>69</v>
      </c>
      <c r="L283" s="101">
        <v>1378</v>
      </c>
      <c r="M283" s="101">
        <v>28625.89</v>
      </c>
      <c r="N283" s="101">
        <v>9686.0689999999995</v>
      </c>
      <c r="O283" s="101">
        <v>43</v>
      </c>
      <c r="P283" s="101">
        <v>569</v>
      </c>
      <c r="Q283" s="101">
        <v>2125</v>
      </c>
      <c r="R283" s="101">
        <v>66406.62</v>
      </c>
      <c r="S283" s="101">
        <v>18521.498</v>
      </c>
      <c r="T283" s="133">
        <v>1.02</v>
      </c>
      <c r="U283" s="101">
        <f t="shared" si="43"/>
        <v>43.86</v>
      </c>
      <c r="V283" s="101">
        <f t="shared" si="44"/>
        <v>580.38</v>
      </c>
      <c r="W283" s="101">
        <f t="shared" si="45"/>
        <v>2167.5</v>
      </c>
      <c r="X283" s="101">
        <f t="shared" si="46"/>
        <v>67734.752399999998</v>
      </c>
      <c r="Y283" s="101">
        <f t="shared" si="47"/>
        <v>18891.927960000001</v>
      </c>
      <c r="AA283" s="101">
        <v>41</v>
      </c>
      <c r="AB283" s="101">
        <v>116</v>
      </c>
      <c r="AC283" s="101">
        <v>771</v>
      </c>
      <c r="AD283" s="101">
        <v>11215.5</v>
      </c>
      <c r="AE283" s="101">
        <v>4116.6869999999999</v>
      </c>
      <c r="AF283" s="225"/>
      <c r="AG283" s="148"/>
      <c r="AH283" s="101"/>
      <c r="AI283" s="101"/>
      <c r="AJ283" s="101"/>
    </row>
    <row r="284" spans="1:36" hidden="1" x14ac:dyDescent="0.3">
      <c r="A284" s="126" t="s">
        <v>176</v>
      </c>
      <c r="B284" s="126">
        <v>18</v>
      </c>
      <c r="C284" s="126">
        <v>46</v>
      </c>
      <c r="D284" s="126" t="str">
        <f t="shared" si="32"/>
        <v>1846</v>
      </c>
      <c r="J284" s="101">
        <v>12</v>
      </c>
      <c r="K284" s="101">
        <v>14</v>
      </c>
      <c r="L284" s="101">
        <v>82</v>
      </c>
      <c r="M284" s="101">
        <v>2570.2399999999998</v>
      </c>
      <c r="N284" s="101">
        <v>413.84</v>
      </c>
      <c r="O284" s="101">
        <v>7</v>
      </c>
      <c r="P284" s="101">
        <v>9</v>
      </c>
      <c r="Q284" s="101">
        <v>124</v>
      </c>
      <c r="R284" s="101">
        <v>2136.89</v>
      </c>
      <c r="S284" s="101">
        <v>178.81700000000001</v>
      </c>
      <c r="T284" s="133">
        <v>1.02</v>
      </c>
      <c r="U284" s="101">
        <f t="shared" si="43"/>
        <v>7.1400000000000006</v>
      </c>
      <c r="V284" s="101">
        <f t="shared" si="44"/>
        <v>9.18</v>
      </c>
      <c r="W284" s="101">
        <f t="shared" si="45"/>
        <v>126.48</v>
      </c>
      <c r="X284" s="101">
        <f t="shared" si="46"/>
        <v>2179.6277999999998</v>
      </c>
      <c r="Y284" s="101">
        <f t="shared" si="47"/>
        <v>182.39334000000002</v>
      </c>
      <c r="AA284" s="101">
        <v>4</v>
      </c>
      <c r="AB284" s="101">
        <v>5</v>
      </c>
      <c r="AC284" s="101">
        <v>256</v>
      </c>
      <c r="AD284" s="101">
        <v>450.04</v>
      </c>
      <c r="AE284" s="101">
        <v>1936.8309999999999</v>
      </c>
      <c r="AF284" s="225"/>
      <c r="AG284" s="148"/>
      <c r="AH284" s="101"/>
      <c r="AI284" s="101"/>
      <c r="AJ284" s="101"/>
    </row>
    <row r="285" spans="1:36" hidden="1" x14ac:dyDescent="0.3">
      <c r="A285" s="126" t="s">
        <v>176</v>
      </c>
      <c r="B285" s="126">
        <v>18</v>
      </c>
      <c r="C285" s="126">
        <v>66</v>
      </c>
      <c r="D285" s="126" t="str">
        <f t="shared" si="32"/>
        <v>1866</v>
      </c>
      <c r="J285" s="101">
        <v>8</v>
      </c>
      <c r="K285" s="101">
        <v>9</v>
      </c>
      <c r="L285" s="101">
        <v>104</v>
      </c>
      <c r="M285" s="101">
        <v>3086.35</v>
      </c>
      <c r="N285" s="101">
        <v>3069.7979999999998</v>
      </c>
      <c r="O285" s="101">
        <v>15</v>
      </c>
      <c r="P285" s="101">
        <v>20</v>
      </c>
      <c r="Q285" s="101">
        <v>639</v>
      </c>
      <c r="R285" s="101">
        <v>6030.27</v>
      </c>
      <c r="S285" s="101">
        <v>4368.7939999999999</v>
      </c>
      <c r="T285" s="133">
        <v>1.02</v>
      </c>
      <c r="U285" s="101">
        <f t="shared" si="43"/>
        <v>15.3</v>
      </c>
      <c r="V285" s="101">
        <f t="shared" si="44"/>
        <v>20.399999999999999</v>
      </c>
      <c r="W285" s="101">
        <f t="shared" si="45"/>
        <v>651.78</v>
      </c>
      <c r="X285" s="101">
        <f t="shared" si="46"/>
        <v>6150.8754000000008</v>
      </c>
      <c r="Y285" s="101">
        <f t="shared" si="47"/>
        <v>4456.1698800000004</v>
      </c>
      <c r="AA285" s="101">
        <v>7</v>
      </c>
      <c r="AB285" s="101">
        <v>17</v>
      </c>
      <c r="AC285" s="101">
        <v>859</v>
      </c>
      <c r="AD285" s="101">
        <v>9357.6200000000008</v>
      </c>
      <c r="AE285" s="101">
        <v>8601.2549999999992</v>
      </c>
      <c r="AF285" s="225"/>
      <c r="AG285" s="148"/>
      <c r="AH285" s="101"/>
      <c r="AI285" s="101"/>
      <c r="AJ285" s="101"/>
    </row>
    <row r="286" spans="1:36" hidden="1" x14ac:dyDescent="0.3">
      <c r="A286" s="126" t="s">
        <v>176</v>
      </c>
      <c r="B286" s="126">
        <v>18</v>
      </c>
      <c r="C286" s="126">
        <v>71</v>
      </c>
      <c r="D286" s="126" t="str">
        <f t="shared" si="32"/>
        <v>1871</v>
      </c>
      <c r="E286" s="101">
        <v>395</v>
      </c>
      <c r="F286" s="101">
        <v>5083</v>
      </c>
      <c r="G286" s="101">
        <v>18059</v>
      </c>
      <c r="H286" s="101">
        <v>119561.565</v>
      </c>
      <c r="I286" s="101">
        <v>63913.965500000006</v>
      </c>
      <c r="J286" s="101">
        <v>390</v>
      </c>
      <c r="K286" s="101">
        <v>6659</v>
      </c>
      <c r="L286" s="101">
        <v>20816</v>
      </c>
      <c r="M286" s="101">
        <v>188587.69</v>
      </c>
      <c r="N286" s="101">
        <v>76398.148000000001</v>
      </c>
      <c r="O286" s="101">
        <v>365</v>
      </c>
      <c r="P286" s="101">
        <v>6906</v>
      </c>
      <c r="Q286" s="101">
        <v>18162</v>
      </c>
      <c r="R286" s="101">
        <v>170392.79</v>
      </c>
      <c r="S286" s="101">
        <v>76148.123999999996</v>
      </c>
      <c r="T286" s="133">
        <v>0.98</v>
      </c>
      <c r="U286" s="101">
        <f t="shared" si="43"/>
        <v>357.7</v>
      </c>
      <c r="V286" s="101">
        <f t="shared" si="44"/>
        <v>6767.88</v>
      </c>
      <c r="W286" s="101">
        <f t="shared" si="45"/>
        <v>17798.759999999998</v>
      </c>
      <c r="X286" s="101">
        <f t="shared" si="46"/>
        <v>166984.93420000002</v>
      </c>
      <c r="Y286" s="101">
        <f t="shared" si="47"/>
        <v>74625.161519999994</v>
      </c>
      <c r="AA286" s="101">
        <v>144</v>
      </c>
      <c r="AB286" s="101">
        <v>4289</v>
      </c>
      <c r="AC286" s="101">
        <v>14328</v>
      </c>
      <c r="AD286" s="101">
        <v>89027.71</v>
      </c>
      <c r="AE286" s="101">
        <v>48712.862999999998</v>
      </c>
      <c r="AF286" s="225"/>
      <c r="AG286" s="148"/>
      <c r="AH286" s="101">
        <v>30000</v>
      </c>
      <c r="AI286" s="101">
        <f t="shared" si="41"/>
        <v>24000</v>
      </c>
      <c r="AJ286" s="101">
        <f t="shared" si="42"/>
        <v>36000</v>
      </c>
    </row>
    <row r="287" spans="1:36" hidden="1" x14ac:dyDescent="0.3">
      <c r="A287" s="126" t="s">
        <v>176</v>
      </c>
      <c r="B287" s="126">
        <v>18</v>
      </c>
      <c r="C287" s="126">
        <v>41</v>
      </c>
      <c r="D287" s="126" t="str">
        <f t="shared" si="32"/>
        <v>1841</v>
      </c>
      <c r="O287" s="101">
        <v>3</v>
      </c>
      <c r="P287" s="101">
        <v>14</v>
      </c>
      <c r="Q287" s="101">
        <v>31</v>
      </c>
      <c r="R287" s="101">
        <v>229.52</v>
      </c>
      <c r="S287" s="101">
        <v>78.619</v>
      </c>
      <c r="T287" s="133">
        <v>1.02</v>
      </c>
      <c r="U287" s="101">
        <f t="shared" si="43"/>
        <v>3.06</v>
      </c>
      <c r="V287" s="101">
        <f t="shared" si="44"/>
        <v>14.280000000000001</v>
      </c>
      <c r="W287" s="101">
        <f t="shared" si="45"/>
        <v>31.62</v>
      </c>
      <c r="X287" s="101">
        <f t="shared" si="46"/>
        <v>234.11040000000003</v>
      </c>
      <c r="Y287" s="101">
        <f t="shared" si="47"/>
        <v>80.191379999999995</v>
      </c>
      <c r="AA287" s="101">
        <v>1</v>
      </c>
      <c r="AB287" s="101">
        <v>1</v>
      </c>
      <c r="AC287" s="101">
        <v>2</v>
      </c>
      <c r="AD287" s="101">
        <v>18.54</v>
      </c>
      <c r="AE287" s="101">
        <v>5.1029999999999998</v>
      </c>
      <c r="AF287" s="225"/>
      <c r="AG287" s="148"/>
      <c r="AH287" s="101"/>
      <c r="AI287" s="101"/>
      <c r="AJ287" s="101"/>
    </row>
    <row r="288" spans="1:36" hidden="1" x14ac:dyDescent="0.3">
      <c r="A288" s="126" t="s">
        <v>176</v>
      </c>
      <c r="B288" s="126">
        <v>18</v>
      </c>
      <c r="C288" s="126">
        <v>1</v>
      </c>
      <c r="D288" s="126" t="str">
        <f t="shared" si="32"/>
        <v>181</v>
      </c>
      <c r="J288" s="101">
        <v>143</v>
      </c>
      <c r="K288" s="101">
        <v>143</v>
      </c>
      <c r="L288" s="101">
        <v>55954</v>
      </c>
      <c r="N288" s="101">
        <v>840051</v>
      </c>
      <c r="O288" s="101">
        <v>48</v>
      </c>
      <c r="P288" s="101">
        <v>48</v>
      </c>
      <c r="Q288" s="101">
        <v>11695</v>
      </c>
      <c r="S288" s="101">
        <v>70030</v>
      </c>
      <c r="T288" s="133">
        <v>1.02</v>
      </c>
      <c r="U288" s="101">
        <f t="shared" si="43"/>
        <v>48.96</v>
      </c>
      <c r="V288" s="101">
        <f t="shared" si="44"/>
        <v>48.96</v>
      </c>
      <c r="W288" s="101">
        <f t="shared" si="45"/>
        <v>11928.9</v>
      </c>
      <c r="X288" s="101">
        <f t="shared" si="46"/>
        <v>0</v>
      </c>
      <c r="Y288" s="101">
        <f t="shared" si="47"/>
        <v>71430.600000000006</v>
      </c>
      <c r="AA288" s="101">
        <v>98</v>
      </c>
      <c r="AB288" s="101">
        <v>123</v>
      </c>
      <c r="AC288" s="101">
        <v>18701</v>
      </c>
      <c r="AE288" s="101">
        <v>94681.570999999996</v>
      </c>
      <c r="AF288" s="225"/>
      <c r="AG288" s="148"/>
      <c r="AH288" s="101"/>
      <c r="AI288" s="101"/>
      <c r="AJ288" s="101"/>
    </row>
    <row r="289" spans="1:36" x14ac:dyDescent="0.3">
      <c r="A289" s="126" t="s">
        <v>176</v>
      </c>
      <c r="B289" s="126">
        <v>18</v>
      </c>
      <c r="C289" s="126">
        <v>91</v>
      </c>
      <c r="D289" s="126" t="str">
        <f t="shared" si="32"/>
        <v>1891</v>
      </c>
      <c r="J289" s="101">
        <v>24</v>
      </c>
      <c r="K289" s="101">
        <v>66</v>
      </c>
      <c r="L289" s="101">
        <v>118</v>
      </c>
      <c r="M289" s="101">
        <v>1662.1</v>
      </c>
      <c r="N289" s="101">
        <v>1036.2919999999999</v>
      </c>
      <c r="O289" s="101">
        <v>2</v>
      </c>
      <c r="P289" s="101">
        <v>2</v>
      </c>
      <c r="Q289" s="101">
        <v>2</v>
      </c>
      <c r="R289" s="101">
        <v>11.64</v>
      </c>
      <c r="S289" s="101">
        <v>0.85599999999999998</v>
      </c>
      <c r="T289" s="133">
        <v>1.02</v>
      </c>
      <c r="U289" s="101">
        <f t="shared" si="43"/>
        <v>2.04</v>
      </c>
      <c r="V289" s="101">
        <f t="shared" si="44"/>
        <v>2.04</v>
      </c>
      <c r="W289" s="101">
        <f t="shared" si="45"/>
        <v>2.04</v>
      </c>
      <c r="X289" s="101">
        <f t="shared" si="46"/>
        <v>11.872800000000002</v>
      </c>
      <c r="Y289" s="101">
        <f t="shared" si="47"/>
        <v>0.87312000000000001</v>
      </c>
      <c r="AA289" s="101">
        <v>4</v>
      </c>
      <c r="AB289" s="101">
        <v>7</v>
      </c>
      <c r="AC289" s="101">
        <v>26</v>
      </c>
      <c r="AD289" s="101">
        <v>130.38999999999999</v>
      </c>
      <c r="AE289" s="101">
        <v>114.267</v>
      </c>
      <c r="AF289" s="225"/>
      <c r="AG289" s="148"/>
      <c r="AH289" s="101"/>
      <c r="AI289" s="101"/>
      <c r="AJ289" s="101"/>
    </row>
    <row r="290" spans="1:36" hidden="1" x14ac:dyDescent="0.3">
      <c r="A290" s="126" t="s">
        <v>176</v>
      </c>
      <c r="B290" s="126">
        <v>18</v>
      </c>
      <c r="C290" s="126">
        <v>37</v>
      </c>
      <c r="D290" s="126" t="str">
        <f t="shared" si="32"/>
        <v>1837</v>
      </c>
      <c r="E290" s="101">
        <v>8.75</v>
      </c>
      <c r="F290" s="101">
        <v>25.75</v>
      </c>
      <c r="G290" s="101">
        <v>395.75</v>
      </c>
      <c r="H290" s="101">
        <v>2188.145</v>
      </c>
      <c r="I290" s="101">
        <v>1353.5842500000001</v>
      </c>
      <c r="J290" s="101">
        <v>1</v>
      </c>
      <c r="K290" s="101">
        <v>9</v>
      </c>
      <c r="L290" s="101">
        <v>330</v>
      </c>
      <c r="M290" s="101">
        <v>1214.95</v>
      </c>
      <c r="N290" s="101">
        <v>422.38200000000001</v>
      </c>
      <c r="O290" s="101">
        <v>1</v>
      </c>
      <c r="P290" s="101">
        <v>1</v>
      </c>
      <c r="Q290" s="101">
        <v>13215</v>
      </c>
      <c r="R290" s="101">
        <v>22333.35</v>
      </c>
      <c r="S290" s="101">
        <v>24976.35</v>
      </c>
      <c r="T290" s="133">
        <v>1.02</v>
      </c>
      <c r="U290" s="101">
        <f t="shared" si="43"/>
        <v>1.02</v>
      </c>
      <c r="V290" s="101">
        <f t="shared" si="44"/>
        <v>1.02</v>
      </c>
      <c r="W290" s="101">
        <f t="shared" si="45"/>
        <v>13479.300000000001</v>
      </c>
      <c r="X290" s="101">
        <f t="shared" si="46"/>
        <v>22780.017</v>
      </c>
      <c r="Y290" s="101">
        <f t="shared" si="47"/>
        <v>25475.877</v>
      </c>
      <c r="AA290" s="101">
        <v>1</v>
      </c>
      <c r="AB290" s="101">
        <v>4</v>
      </c>
      <c r="AC290" s="101">
        <v>12000</v>
      </c>
      <c r="AD290" s="101">
        <v>8725</v>
      </c>
      <c r="AE290" s="101">
        <v>1015</v>
      </c>
      <c r="AF290" s="225"/>
      <c r="AG290" s="148"/>
      <c r="AH290" s="101">
        <v>30000</v>
      </c>
      <c r="AI290" s="101">
        <f t="shared" si="41"/>
        <v>24000</v>
      </c>
      <c r="AJ290" s="101">
        <f t="shared" si="42"/>
        <v>36000</v>
      </c>
    </row>
    <row r="291" spans="1:36" hidden="1" x14ac:dyDescent="0.3">
      <c r="A291" s="126" t="s">
        <v>176</v>
      </c>
      <c r="B291" s="126">
        <v>19</v>
      </c>
      <c r="C291" s="126">
        <v>22</v>
      </c>
      <c r="D291" s="126" t="str">
        <f t="shared" si="32"/>
        <v>1922</v>
      </c>
      <c r="E291" s="101">
        <v>453</v>
      </c>
      <c r="F291" s="101">
        <v>3677</v>
      </c>
      <c r="G291" s="101">
        <v>29596</v>
      </c>
      <c r="H291" s="101">
        <v>123546.33</v>
      </c>
      <c r="I291" s="101">
        <v>95255.707999999999</v>
      </c>
      <c r="J291" s="101">
        <v>450</v>
      </c>
      <c r="K291" s="101">
        <v>3783</v>
      </c>
      <c r="L291" s="101">
        <v>33587</v>
      </c>
      <c r="M291" s="101">
        <v>295957.88</v>
      </c>
      <c r="N291" s="101">
        <v>176482.25799999997</v>
      </c>
      <c r="O291" s="101">
        <v>430</v>
      </c>
      <c r="P291" s="101">
        <v>2583</v>
      </c>
      <c r="Q291" s="101">
        <v>38156</v>
      </c>
      <c r="R291" s="101">
        <v>138897.51999999999</v>
      </c>
      <c r="S291" s="101">
        <v>95808.218999999983</v>
      </c>
      <c r="T291" s="133">
        <v>1.02</v>
      </c>
      <c r="U291" s="101">
        <f t="shared" si="43"/>
        <v>438.6</v>
      </c>
      <c r="V291" s="101">
        <f t="shared" si="44"/>
        <v>2634.66</v>
      </c>
      <c r="W291" s="101">
        <f t="shared" si="45"/>
        <v>38919.120000000003</v>
      </c>
      <c r="X291" s="101">
        <f t="shared" si="46"/>
        <v>141675.47039999999</v>
      </c>
      <c r="Y291" s="101">
        <f t="shared" si="47"/>
        <v>97724.383379999985</v>
      </c>
      <c r="AA291" s="101">
        <v>380</v>
      </c>
      <c r="AB291" s="101">
        <v>3180</v>
      </c>
      <c r="AC291" s="101">
        <v>23403</v>
      </c>
      <c r="AD291" s="101">
        <v>108449.85</v>
      </c>
      <c r="AE291" s="101">
        <v>70225.865000000005</v>
      </c>
      <c r="AF291" s="225">
        <f>SUM(AB291:AB306)</f>
        <v>22543</v>
      </c>
      <c r="AG291" s="148"/>
      <c r="AH291" s="101">
        <v>30000</v>
      </c>
      <c r="AI291" s="101">
        <f t="shared" si="41"/>
        <v>24000</v>
      </c>
      <c r="AJ291" s="101">
        <f t="shared" si="42"/>
        <v>36000</v>
      </c>
    </row>
    <row r="292" spans="1:36" hidden="1" x14ac:dyDescent="0.3">
      <c r="A292" s="126" t="s">
        <v>176</v>
      </c>
      <c r="B292" s="126">
        <v>19</v>
      </c>
      <c r="C292" s="126">
        <v>12</v>
      </c>
      <c r="D292" s="126" t="str">
        <f t="shared" si="32"/>
        <v>1912</v>
      </c>
      <c r="J292" s="101">
        <v>3</v>
      </c>
      <c r="K292" s="101">
        <v>3</v>
      </c>
      <c r="L292" s="101">
        <v>3</v>
      </c>
      <c r="M292" s="101">
        <v>0</v>
      </c>
      <c r="N292" s="101">
        <v>22.521000000000001</v>
      </c>
      <c r="O292" s="101">
        <v>1</v>
      </c>
      <c r="P292" s="101">
        <v>1</v>
      </c>
      <c r="Q292" s="101">
        <v>1</v>
      </c>
      <c r="R292" s="101">
        <v>62.68</v>
      </c>
      <c r="S292" s="101">
        <v>8.1</v>
      </c>
      <c r="T292" s="133">
        <v>1.02</v>
      </c>
      <c r="U292" s="101">
        <f t="shared" si="43"/>
        <v>1.02</v>
      </c>
      <c r="V292" s="101">
        <f t="shared" si="44"/>
        <v>1.02</v>
      </c>
      <c r="W292" s="101">
        <f t="shared" si="45"/>
        <v>1.02</v>
      </c>
      <c r="X292" s="101">
        <f t="shared" si="46"/>
        <v>63.933599999999998</v>
      </c>
      <c r="Y292" s="101">
        <f t="shared" si="47"/>
        <v>8.2620000000000005</v>
      </c>
      <c r="AA292" s="101">
        <v>0</v>
      </c>
      <c r="AB292" s="101">
        <v>0</v>
      </c>
      <c r="AC292" s="101">
        <v>0</v>
      </c>
      <c r="AD292" s="101">
        <v>0</v>
      </c>
      <c r="AE292" s="101">
        <v>0</v>
      </c>
      <c r="AF292" s="225"/>
      <c r="AG292" s="148"/>
      <c r="AH292" s="101"/>
      <c r="AI292" s="101"/>
      <c r="AJ292" s="101"/>
    </row>
    <row r="293" spans="1:36" hidden="1" x14ac:dyDescent="0.3">
      <c r="A293" s="126" t="s">
        <v>176</v>
      </c>
      <c r="B293" s="126">
        <v>19</v>
      </c>
      <c r="C293" s="126">
        <v>25</v>
      </c>
      <c r="D293" s="126" t="str">
        <f>CONCATENATE(B293,C293)</f>
        <v>1925</v>
      </c>
      <c r="E293" s="101">
        <v>112</v>
      </c>
      <c r="F293" s="101">
        <v>652</v>
      </c>
      <c r="G293" s="101">
        <v>102972</v>
      </c>
      <c r="H293" s="101">
        <v>472691.70000000007</v>
      </c>
      <c r="I293" s="101">
        <v>191676.85599999997</v>
      </c>
      <c r="J293" s="101">
        <v>140</v>
      </c>
      <c r="K293" s="101">
        <v>1359</v>
      </c>
      <c r="L293" s="101">
        <v>27879</v>
      </c>
      <c r="M293" s="101">
        <v>281157.06</v>
      </c>
      <c r="N293" s="101">
        <v>139048.67499999999</v>
      </c>
      <c r="O293" s="101">
        <v>141</v>
      </c>
      <c r="P293" s="101">
        <v>1476</v>
      </c>
      <c r="Q293" s="101">
        <v>22462</v>
      </c>
      <c r="R293" s="101">
        <v>297857.46999999997</v>
      </c>
      <c r="S293" s="101">
        <v>119255.599</v>
      </c>
      <c r="T293" s="133">
        <v>1.02</v>
      </c>
      <c r="U293" s="101">
        <f t="shared" si="43"/>
        <v>143.82</v>
      </c>
      <c r="V293" s="101">
        <f t="shared" si="44"/>
        <v>1505.52</v>
      </c>
      <c r="W293" s="101">
        <f t="shared" si="45"/>
        <v>22911.24</v>
      </c>
      <c r="X293" s="101">
        <f t="shared" si="46"/>
        <v>303814.61939999997</v>
      </c>
      <c r="Y293" s="101">
        <f t="shared" si="47"/>
        <v>121640.71098</v>
      </c>
      <c r="AA293" s="101">
        <v>240</v>
      </c>
      <c r="AB293" s="101">
        <v>2620</v>
      </c>
      <c r="AC293" s="101">
        <v>59575</v>
      </c>
      <c r="AD293" s="101">
        <v>544039.24</v>
      </c>
      <c r="AE293" s="101">
        <v>269088.40100000001</v>
      </c>
      <c r="AF293" s="225"/>
      <c r="AG293" s="148"/>
      <c r="AH293" s="101">
        <v>30000</v>
      </c>
      <c r="AI293" s="101">
        <f t="shared" si="41"/>
        <v>24000</v>
      </c>
      <c r="AJ293" s="101">
        <f t="shared" si="42"/>
        <v>36000</v>
      </c>
    </row>
    <row r="294" spans="1:36" hidden="1" x14ac:dyDescent="0.3">
      <c r="A294" s="126" t="s">
        <v>176</v>
      </c>
      <c r="B294" s="126">
        <v>19</v>
      </c>
      <c r="C294" s="126">
        <v>28</v>
      </c>
      <c r="D294" s="126" t="str">
        <f>CONCATENATE(B294,C294)</f>
        <v>1928</v>
      </c>
      <c r="J294" s="101">
        <v>73</v>
      </c>
      <c r="K294" s="101">
        <v>121</v>
      </c>
      <c r="L294" s="101">
        <v>2228</v>
      </c>
      <c r="M294" s="101">
        <v>97635.709999999992</v>
      </c>
      <c r="N294" s="101">
        <v>23119.277999999998</v>
      </c>
      <c r="O294" s="101">
        <v>48</v>
      </c>
      <c r="P294" s="101">
        <v>362</v>
      </c>
      <c r="Q294" s="101">
        <v>1327</v>
      </c>
      <c r="R294" s="101">
        <v>32190.319999999996</v>
      </c>
      <c r="S294" s="101">
        <v>7345.9540000000006</v>
      </c>
      <c r="T294" s="133">
        <v>1.02</v>
      </c>
      <c r="U294" s="101">
        <f t="shared" si="43"/>
        <v>48.96</v>
      </c>
      <c r="V294" s="101">
        <f t="shared" si="44"/>
        <v>369.24</v>
      </c>
      <c r="W294" s="101">
        <f t="shared" si="45"/>
        <v>1353.54</v>
      </c>
      <c r="X294" s="101">
        <f t="shared" si="46"/>
        <v>32834.126399999994</v>
      </c>
      <c r="Y294" s="101">
        <f t="shared" si="47"/>
        <v>7492.8730800000012</v>
      </c>
      <c r="AA294" s="101">
        <v>55</v>
      </c>
      <c r="AB294" s="101">
        <v>263</v>
      </c>
      <c r="AC294" s="101">
        <v>2787</v>
      </c>
      <c r="AD294" s="101">
        <v>48577.09</v>
      </c>
      <c r="AE294" s="101">
        <v>10449.022000000001</v>
      </c>
      <c r="AF294" s="225"/>
      <c r="AG294" s="148"/>
      <c r="AH294" s="101"/>
      <c r="AI294" s="101"/>
      <c r="AJ294" s="101"/>
    </row>
    <row r="295" spans="1:36" hidden="1" x14ac:dyDescent="0.3">
      <c r="A295" s="126" t="s">
        <v>176</v>
      </c>
      <c r="B295" s="126">
        <v>19</v>
      </c>
      <c r="C295" s="126">
        <v>46</v>
      </c>
      <c r="D295" s="126" t="str">
        <f>CONCATENATE(B295,C295)</f>
        <v>1946</v>
      </c>
      <c r="J295" s="101">
        <v>20</v>
      </c>
      <c r="K295" s="101">
        <v>24</v>
      </c>
      <c r="L295" s="101">
        <v>804</v>
      </c>
      <c r="M295" s="101">
        <v>24477.78</v>
      </c>
      <c r="N295" s="101">
        <v>14620.772999999999</v>
      </c>
      <c r="O295" s="101">
        <v>12</v>
      </c>
      <c r="P295" s="101">
        <v>17</v>
      </c>
      <c r="Q295" s="101">
        <v>909</v>
      </c>
      <c r="R295" s="101">
        <v>5306.0399999999991</v>
      </c>
      <c r="S295" s="101">
        <v>955.05600000000004</v>
      </c>
      <c r="T295" s="133">
        <v>1.02</v>
      </c>
      <c r="U295" s="101">
        <f t="shared" si="43"/>
        <v>12.24</v>
      </c>
      <c r="V295" s="101">
        <f t="shared" si="44"/>
        <v>17.34</v>
      </c>
      <c r="W295" s="101">
        <f t="shared" si="45"/>
        <v>927.18000000000006</v>
      </c>
      <c r="X295" s="101">
        <f t="shared" si="46"/>
        <v>5412.1607999999987</v>
      </c>
      <c r="Y295" s="101">
        <f t="shared" si="47"/>
        <v>974.15712000000008</v>
      </c>
      <c r="AA295" s="101">
        <v>7</v>
      </c>
      <c r="AB295" s="101">
        <v>8</v>
      </c>
      <c r="AC295" s="101">
        <v>42</v>
      </c>
      <c r="AD295" s="101">
        <v>1867.62</v>
      </c>
      <c r="AE295" s="101">
        <v>254.23</v>
      </c>
      <c r="AF295" s="225"/>
      <c r="AG295" s="148"/>
      <c r="AH295" s="101"/>
      <c r="AI295" s="101"/>
      <c r="AJ295" s="101"/>
    </row>
    <row r="296" spans="1:36" hidden="1" x14ac:dyDescent="0.3">
      <c r="A296" s="126" t="s">
        <v>176</v>
      </c>
      <c r="B296" s="126">
        <v>19</v>
      </c>
      <c r="C296" s="126">
        <v>27</v>
      </c>
      <c r="D296" s="126" t="str">
        <f t="shared" si="32"/>
        <v>1927</v>
      </c>
      <c r="E296" s="101">
        <v>11</v>
      </c>
      <c r="F296" s="101">
        <v>371</v>
      </c>
      <c r="G296" s="101">
        <v>3664</v>
      </c>
      <c r="H296" s="101">
        <v>42814.47</v>
      </c>
      <c r="I296" s="101">
        <v>14817.577999999998</v>
      </c>
      <c r="J296" s="101">
        <v>13</v>
      </c>
      <c r="K296" s="101">
        <v>30</v>
      </c>
      <c r="L296" s="101">
        <v>84</v>
      </c>
      <c r="M296" s="101">
        <v>2421.38</v>
      </c>
      <c r="N296" s="101">
        <v>526.029</v>
      </c>
      <c r="O296" s="101">
        <v>3</v>
      </c>
      <c r="P296" s="101">
        <v>3</v>
      </c>
      <c r="Q296" s="101">
        <v>19</v>
      </c>
      <c r="R296" s="101">
        <v>49.14</v>
      </c>
      <c r="S296" s="101">
        <v>24.942999999999998</v>
      </c>
      <c r="T296" s="133">
        <v>1.02</v>
      </c>
      <c r="U296" s="101">
        <f t="shared" si="43"/>
        <v>3.06</v>
      </c>
      <c r="V296" s="101">
        <f t="shared" si="44"/>
        <v>3.06</v>
      </c>
      <c r="W296" s="101">
        <f t="shared" si="45"/>
        <v>19.38</v>
      </c>
      <c r="X296" s="101">
        <f t="shared" si="46"/>
        <v>50.122799999999998</v>
      </c>
      <c r="Y296" s="101">
        <f t="shared" si="47"/>
        <v>25.441859999999998</v>
      </c>
      <c r="AA296" s="101">
        <v>10</v>
      </c>
      <c r="AB296" s="101">
        <v>57</v>
      </c>
      <c r="AC296" s="101">
        <v>583</v>
      </c>
      <c r="AD296" s="101">
        <v>4599.97</v>
      </c>
      <c r="AE296" s="101">
        <v>1599.1659999999999</v>
      </c>
      <c r="AF296" s="225"/>
      <c r="AG296" s="148"/>
      <c r="AH296" s="101">
        <v>30000</v>
      </c>
      <c r="AI296" s="101">
        <f t="shared" si="41"/>
        <v>24000</v>
      </c>
      <c r="AJ296" s="101">
        <f t="shared" si="42"/>
        <v>36000</v>
      </c>
    </row>
    <row r="297" spans="1:36" hidden="1" x14ac:dyDescent="0.3">
      <c r="A297" s="126" t="s">
        <v>176</v>
      </c>
      <c r="B297" s="126">
        <v>19</v>
      </c>
      <c r="C297" s="126">
        <v>66</v>
      </c>
      <c r="D297" s="126" t="str">
        <f t="shared" si="32"/>
        <v>1966</v>
      </c>
      <c r="J297" s="101">
        <v>5</v>
      </c>
      <c r="K297" s="101">
        <v>11</v>
      </c>
      <c r="L297" s="101">
        <v>247</v>
      </c>
      <c r="M297" s="101">
        <v>8774.6400000000012</v>
      </c>
      <c r="N297" s="101">
        <v>4655.3130000000001</v>
      </c>
      <c r="O297" s="101">
        <v>11</v>
      </c>
      <c r="P297" s="101">
        <v>15</v>
      </c>
      <c r="Q297" s="101">
        <v>965</v>
      </c>
      <c r="R297" s="101">
        <v>18590.61</v>
      </c>
      <c r="S297" s="101">
        <v>16369.188</v>
      </c>
      <c r="T297" s="133">
        <v>1.02</v>
      </c>
      <c r="U297" s="101">
        <f t="shared" si="43"/>
        <v>11.22</v>
      </c>
      <c r="V297" s="101">
        <f t="shared" si="44"/>
        <v>15.3</v>
      </c>
      <c r="W297" s="101">
        <f t="shared" si="45"/>
        <v>984.30000000000007</v>
      </c>
      <c r="X297" s="101">
        <f t="shared" si="46"/>
        <v>18962.422200000001</v>
      </c>
      <c r="Y297" s="101">
        <f t="shared" si="47"/>
        <v>16696.571759999999</v>
      </c>
      <c r="AA297" s="101">
        <v>15</v>
      </c>
      <c r="AB297" s="101">
        <v>35</v>
      </c>
      <c r="AC297" s="101">
        <v>3961</v>
      </c>
      <c r="AD297" s="101">
        <v>25180.76</v>
      </c>
      <c r="AE297" s="101">
        <v>16797.100999999999</v>
      </c>
      <c r="AF297" s="225"/>
      <c r="AG297" s="148"/>
      <c r="AH297" s="101"/>
      <c r="AI297" s="101"/>
      <c r="AJ297" s="101"/>
    </row>
    <row r="298" spans="1:36" hidden="1" x14ac:dyDescent="0.3">
      <c r="A298" s="126" t="s">
        <v>176</v>
      </c>
      <c r="B298" s="126">
        <v>19</v>
      </c>
      <c r="C298" s="126">
        <v>26</v>
      </c>
      <c r="D298" s="126" t="str">
        <f t="shared" ref="D298:D404" si="48">CONCATENATE(B298,C298)</f>
        <v>1926</v>
      </c>
      <c r="E298" s="101">
        <v>144</v>
      </c>
      <c r="F298" s="101">
        <v>2285</v>
      </c>
      <c r="G298" s="101">
        <v>76854</v>
      </c>
      <c r="H298" s="101">
        <v>783927.37</v>
      </c>
      <c r="I298" s="101">
        <v>374778.31299999997</v>
      </c>
      <c r="J298" s="101">
        <v>63</v>
      </c>
      <c r="K298" s="101">
        <v>1938</v>
      </c>
      <c r="L298" s="101">
        <v>29852</v>
      </c>
      <c r="M298" s="101">
        <v>275802.16000000003</v>
      </c>
      <c r="N298" s="101">
        <v>97123.982999999993</v>
      </c>
      <c r="O298" s="101">
        <v>26</v>
      </c>
      <c r="P298" s="101">
        <v>744</v>
      </c>
      <c r="Q298" s="101">
        <v>10751</v>
      </c>
      <c r="R298" s="101">
        <v>213483.09999999998</v>
      </c>
      <c r="S298" s="101">
        <v>92110.625999999989</v>
      </c>
      <c r="T298" s="133">
        <v>1.02</v>
      </c>
      <c r="U298" s="101">
        <f t="shared" si="43"/>
        <v>26.52</v>
      </c>
      <c r="V298" s="101">
        <f t="shared" si="44"/>
        <v>758.88</v>
      </c>
      <c r="W298" s="101">
        <f t="shared" si="45"/>
        <v>10966.02</v>
      </c>
      <c r="X298" s="101">
        <f t="shared" si="46"/>
        <v>217752.76199999999</v>
      </c>
      <c r="Y298" s="101">
        <f t="shared" si="47"/>
        <v>93952.83851999999</v>
      </c>
      <c r="AA298" s="101">
        <v>23</v>
      </c>
      <c r="AB298" s="101">
        <v>849</v>
      </c>
      <c r="AC298" s="101">
        <v>14521</v>
      </c>
      <c r="AD298" s="101">
        <v>257551.7</v>
      </c>
      <c r="AE298" s="101">
        <v>108700.397</v>
      </c>
      <c r="AF298" s="225"/>
      <c r="AG298" s="148"/>
      <c r="AH298" s="101">
        <v>30000</v>
      </c>
      <c r="AI298" s="101">
        <f t="shared" si="41"/>
        <v>24000</v>
      </c>
      <c r="AJ298" s="101">
        <f t="shared" si="42"/>
        <v>36000</v>
      </c>
    </row>
    <row r="299" spans="1:36" x14ac:dyDescent="0.3">
      <c r="A299" s="126" t="s">
        <v>176</v>
      </c>
      <c r="B299" s="126">
        <v>19</v>
      </c>
      <c r="C299" s="126">
        <v>91</v>
      </c>
      <c r="D299" s="126" t="str">
        <f t="shared" si="48"/>
        <v>1991</v>
      </c>
      <c r="J299" s="101">
        <v>15</v>
      </c>
      <c r="K299" s="101">
        <v>199</v>
      </c>
      <c r="L299" s="101">
        <v>662</v>
      </c>
      <c r="M299" s="101">
        <v>5658.4</v>
      </c>
      <c r="N299" s="101">
        <v>3189.259</v>
      </c>
      <c r="O299" s="101">
        <v>5</v>
      </c>
      <c r="P299" s="101">
        <v>15</v>
      </c>
      <c r="Q299" s="101">
        <v>22</v>
      </c>
      <c r="R299" s="101">
        <v>287.88</v>
      </c>
      <c r="S299" s="101">
        <v>151.59799999999998</v>
      </c>
      <c r="T299" s="133">
        <v>1.02</v>
      </c>
      <c r="U299" s="101">
        <f t="shared" si="43"/>
        <v>5.0999999999999996</v>
      </c>
      <c r="V299" s="101">
        <f t="shared" si="44"/>
        <v>15.3</v>
      </c>
      <c r="W299" s="101">
        <f t="shared" si="45"/>
        <v>22.44</v>
      </c>
      <c r="X299" s="101">
        <f t="shared" si="46"/>
        <v>293.63760000000002</v>
      </c>
      <c r="Y299" s="101">
        <f t="shared" si="47"/>
        <v>154.62995999999998</v>
      </c>
      <c r="AA299" s="101">
        <v>4</v>
      </c>
      <c r="AB299" s="101">
        <v>4</v>
      </c>
      <c r="AC299" s="101">
        <v>18</v>
      </c>
      <c r="AD299" s="101">
        <v>114.27</v>
      </c>
      <c r="AE299" s="101">
        <v>79.284000000000006</v>
      </c>
      <c r="AF299" s="225"/>
      <c r="AG299" s="148"/>
      <c r="AH299" s="101"/>
      <c r="AI299" s="101"/>
      <c r="AJ299" s="101"/>
    </row>
    <row r="300" spans="1:36" hidden="1" x14ac:dyDescent="0.3">
      <c r="A300" s="126" t="s">
        <v>176</v>
      </c>
      <c r="B300" s="126">
        <v>19</v>
      </c>
      <c r="C300" s="126">
        <v>32</v>
      </c>
      <c r="D300" s="126" t="str">
        <f t="shared" si="48"/>
        <v>1932</v>
      </c>
      <c r="E300" s="101">
        <v>476</v>
      </c>
      <c r="F300" s="101">
        <v>1943</v>
      </c>
      <c r="G300" s="101">
        <v>31122</v>
      </c>
      <c r="H300" s="101">
        <v>431152.27</v>
      </c>
      <c r="I300" s="101">
        <v>126172.04199999999</v>
      </c>
      <c r="J300" s="101">
        <v>282</v>
      </c>
      <c r="K300" s="101">
        <v>1287</v>
      </c>
      <c r="L300" s="101">
        <v>24539</v>
      </c>
      <c r="M300" s="101">
        <v>162792.28</v>
      </c>
      <c r="N300" s="101">
        <v>91885.645000000004</v>
      </c>
      <c r="O300" s="101">
        <v>208</v>
      </c>
      <c r="P300" s="101">
        <v>1254</v>
      </c>
      <c r="Q300" s="101">
        <v>18806</v>
      </c>
      <c r="R300" s="101">
        <v>219047.24</v>
      </c>
      <c r="S300" s="101">
        <v>88947.815000000002</v>
      </c>
      <c r="T300" s="133">
        <v>1.02</v>
      </c>
      <c r="U300" s="101">
        <f>O300*$T$5+2</f>
        <v>214.16</v>
      </c>
      <c r="V300" s="101">
        <f>P300*$T$5+4</f>
        <v>1283.08</v>
      </c>
      <c r="W300" s="101">
        <f>Q300*$T$5+250</f>
        <v>19432.12</v>
      </c>
      <c r="X300" s="101">
        <f>R300*$T$5+4025</f>
        <v>227453.18479999999</v>
      </c>
      <c r="Y300" s="101">
        <f>S300*$T$5+1715</f>
        <v>92441.771300000008</v>
      </c>
      <c r="AA300" s="101">
        <v>219</v>
      </c>
      <c r="AB300" s="101">
        <v>1062</v>
      </c>
      <c r="AC300" s="101">
        <v>16966</v>
      </c>
      <c r="AD300" s="101">
        <v>122894.74</v>
      </c>
      <c r="AE300" s="101">
        <v>78999.198999999993</v>
      </c>
      <c r="AF300" s="225"/>
      <c r="AG300" s="148"/>
      <c r="AH300" s="101">
        <v>30000</v>
      </c>
      <c r="AI300" s="101">
        <f t="shared" si="41"/>
        <v>24000</v>
      </c>
      <c r="AJ300" s="101">
        <f t="shared" si="42"/>
        <v>36000</v>
      </c>
    </row>
    <row r="301" spans="1:36" hidden="1" x14ac:dyDescent="0.3">
      <c r="A301" s="126" t="s">
        <v>176</v>
      </c>
      <c r="B301" s="126">
        <v>19</v>
      </c>
      <c r="C301" s="126">
        <v>21</v>
      </c>
      <c r="D301" s="126" t="str">
        <f t="shared" si="48"/>
        <v>1921</v>
      </c>
      <c r="E301" s="101">
        <v>1008.5</v>
      </c>
      <c r="F301" s="101">
        <v>5724.5</v>
      </c>
      <c r="G301" s="101">
        <v>22561.5</v>
      </c>
      <c r="H301" s="101">
        <v>402391.16499999998</v>
      </c>
      <c r="I301" s="101">
        <v>107633.9115</v>
      </c>
      <c r="J301" s="101">
        <v>631</v>
      </c>
      <c r="K301" s="101">
        <v>4696</v>
      </c>
      <c r="L301" s="101">
        <v>29622</v>
      </c>
      <c r="M301" s="101">
        <v>529519.99</v>
      </c>
      <c r="N301" s="101">
        <v>217330.34</v>
      </c>
      <c r="O301" s="138"/>
      <c r="P301" s="138"/>
      <c r="Q301" s="138"/>
      <c r="R301" s="138"/>
      <c r="S301" s="138"/>
      <c r="T301" s="133">
        <v>1.02</v>
      </c>
      <c r="U301" s="101">
        <f t="shared" si="43"/>
        <v>0</v>
      </c>
      <c r="V301" s="101">
        <f t="shared" si="44"/>
        <v>0</v>
      </c>
      <c r="W301" s="101">
        <f t="shared" si="45"/>
        <v>0</v>
      </c>
      <c r="X301" s="101">
        <f t="shared" si="46"/>
        <v>0</v>
      </c>
      <c r="Y301" s="101">
        <f t="shared" si="47"/>
        <v>0</v>
      </c>
      <c r="AA301" s="101">
        <v>71</v>
      </c>
      <c r="AB301" s="101">
        <v>448</v>
      </c>
      <c r="AC301" s="101">
        <v>1887</v>
      </c>
      <c r="AD301" s="101">
        <v>31784.73</v>
      </c>
      <c r="AE301" s="101">
        <v>9203.2060000000001</v>
      </c>
      <c r="AF301" s="225"/>
      <c r="AG301" s="148"/>
      <c r="AH301" s="101">
        <v>30000</v>
      </c>
      <c r="AI301" s="101">
        <f t="shared" si="41"/>
        <v>24000</v>
      </c>
      <c r="AJ301" s="101">
        <f t="shared" si="42"/>
        <v>36000</v>
      </c>
    </row>
    <row r="302" spans="1:36" hidden="1" x14ac:dyDescent="0.3">
      <c r="A302" s="126" t="s">
        <v>176</v>
      </c>
      <c r="B302" s="126">
        <v>19</v>
      </c>
      <c r="C302" s="126">
        <v>30</v>
      </c>
      <c r="D302" s="126" t="str">
        <f t="shared" si="48"/>
        <v>1930</v>
      </c>
      <c r="E302" s="101">
        <v>281</v>
      </c>
      <c r="F302" s="101">
        <v>2638.5</v>
      </c>
      <c r="G302" s="101">
        <v>12077</v>
      </c>
      <c r="H302" s="101">
        <v>290946.32500000001</v>
      </c>
      <c r="I302" s="101">
        <v>92787.975000000006</v>
      </c>
      <c r="J302" s="101">
        <v>312</v>
      </c>
      <c r="K302" s="101">
        <v>3587</v>
      </c>
      <c r="L302" s="101">
        <v>12871</v>
      </c>
      <c r="M302" s="101">
        <v>250499.14999999997</v>
      </c>
      <c r="N302" s="101">
        <v>77171.755999999994</v>
      </c>
      <c r="O302" s="138">
        <v>332</v>
      </c>
      <c r="P302" s="138">
        <v>6599</v>
      </c>
      <c r="Q302" s="138">
        <v>19180</v>
      </c>
      <c r="R302" s="138">
        <v>346615.48</v>
      </c>
      <c r="S302" s="138">
        <v>125006.05900000002</v>
      </c>
      <c r="T302" s="133">
        <v>1.02</v>
      </c>
      <c r="U302" s="101">
        <f t="shared" si="43"/>
        <v>338.64</v>
      </c>
      <c r="V302" s="101">
        <f t="shared" si="44"/>
        <v>6730.9800000000005</v>
      </c>
      <c r="W302" s="101">
        <f t="shared" si="45"/>
        <v>19563.599999999999</v>
      </c>
      <c r="X302" s="101">
        <f t="shared" si="46"/>
        <v>353547.78959999996</v>
      </c>
      <c r="Y302" s="101">
        <f t="shared" si="47"/>
        <v>127506.18018000002</v>
      </c>
      <c r="AA302" s="101">
        <v>317</v>
      </c>
      <c r="AB302" s="101">
        <v>6040</v>
      </c>
      <c r="AC302" s="101">
        <v>20034</v>
      </c>
      <c r="AD302" s="101">
        <v>385773.99</v>
      </c>
      <c r="AE302" s="101">
        <v>111328.431</v>
      </c>
      <c r="AF302" s="225"/>
      <c r="AG302" s="148"/>
      <c r="AH302" s="101">
        <v>30000</v>
      </c>
      <c r="AI302" s="101">
        <f t="shared" si="41"/>
        <v>24000</v>
      </c>
      <c r="AJ302" s="101">
        <f t="shared" si="42"/>
        <v>36000</v>
      </c>
    </row>
    <row r="303" spans="1:36" hidden="1" x14ac:dyDescent="0.3">
      <c r="A303" s="126" t="s">
        <v>176</v>
      </c>
      <c r="B303" s="126">
        <v>19</v>
      </c>
      <c r="C303" s="126">
        <v>71</v>
      </c>
      <c r="D303" s="126" t="str">
        <f t="shared" si="48"/>
        <v>1971</v>
      </c>
      <c r="E303" s="101">
        <v>585.5</v>
      </c>
      <c r="F303" s="101">
        <v>4717.5</v>
      </c>
      <c r="G303" s="101">
        <v>14281</v>
      </c>
      <c r="H303" s="101">
        <v>120321.23000000001</v>
      </c>
      <c r="I303" s="101">
        <v>58068.364499999996</v>
      </c>
      <c r="J303" s="101">
        <v>481</v>
      </c>
      <c r="K303" s="101">
        <v>6447</v>
      </c>
      <c r="L303" s="101">
        <v>19170</v>
      </c>
      <c r="M303" s="101">
        <v>141392.52000000002</v>
      </c>
      <c r="N303" s="101">
        <v>88829.298999999999</v>
      </c>
      <c r="O303" s="101">
        <v>476</v>
      </c>
      <c r="P303" s="101">
        <v>6198</v>
      </c>
      <c r="Q303" s="101">
        <v>18636</v>
      </c>
      <c r="R303" s="101">
        <v>133135.05000000002</v>
      </c>
      <c r="S303" s="101">
        <v>62642.75</v>
      </c>
      <c r="T303" s="133">
        <v>0.98</v>
      </c>
      <c r="U303" s="101">
        <f t="shared" si="43"/>
        <v>466.48</v>
      </c>
      <c r="V303" s="101">
        <f t="shared" si="44"/>
        <v>6074.04</v>
      </c>
      <c r="W303" s="101">
        <f t="shared" si="45"/>
        <v>18263.28</v>
      </c>
      <c r="X303" s="101">
        <f t="shared" si="46"/>
        <v>130472.34900000002</v>
      </c>
      <c r="Y303" s="101">
        <f t="shared" si="47"/>
        <v>61389.894999999997</v>
      </c>
      <c r="AA303" s="101">
        <v>216</v>
      </c>
      <c r="AB303" s="101">
        <v>7740</v>
      </c>
      <c r="AC303" s="101">
        <v>32750</v>
      </c>
      <c r="AD303" s="101">
        <v>195485.54</v>
      </c>
      <c r="AE303" s="101">
        <v>99313.588000000003</v>
      </c>
      <c r="AF303" s="225"/>
      <c r="AG303" s="148"/>
      <c r="AH303" s="101">
        <v>30000</v>
      </c>
      <c r="AI303" s="101">
        <f t="shared" si="41"/>
        <v>24000</v>
      </c>
      <c r="AJ303" s="101">
        <f t="shared" si="42"/>
        <v>36000</v>
      </c>
    </row>
    <row r="304" spans="1:36" hidden="1" x14ac:dyDescent="0.3">
      <c r="A304" s="126" t="s">
        <v>176</v>
      </c>
      <c r="B304" s="126">
        <v>19</v>
      </c>
      <c r="C304" s="126">
        <v>41</v>
      </c>
      <c r="D304" s="126" t="str">
        <f t="shared" si="48"/>
        <v>1941</v>
      </c>
      <c r="O304" s="101">
        <v>5</v>
      </c>
      <c r="P304" s="101">
        <v>37</v>
      </c>
      <c r="Q304" s="101">
        <v>135</v>
      </c>
      <c r="R304" s="101">
        <v>2117.37</v>
      </c>
      <c r="S304" s="101">
        <v>508.065</v>
      </c>
      <c r="T304" s="133">
        <v>1.02</v>
      </c>
      <c r="U304" s="101">
        <f t="shared" si="43"/>
        <v>5.0999999999999996</v>
      </c>
      <c r="V304" s="101">
        <f t="shared" si="44"/>
        <v>37.74</v>
      </c>
      <c r="W304" s="101">
        <f t="shared" si="45"/>
        <v>137.69999999999999</v>
      </c>
      <c r="X304" s="101">
        <f t="shared" si="46"/>
        <v>2159.7174</v>
      </c>
      <c r="Y304" s="101">
        <f t="shared" si="47"/>
        <v>518.22630000000004</v>
      </c>
      <c r="AA304" s="101">
        <v>1</v>
      </c>
      <c r="AB304" s="101">
        <v>1</v>
      </c>
      <c r="AC304" s="101">
        <v>3</v>
      </c>
      <c r="AD304" s="101">
        <v>0</v>
      </c>
      <c r="AE304" s="101">
        <v>11.16</v>
      </c>
      <c r="AF304" s="225"/>
      <c r="AG304" s="148"/>
      <c r="AH304" s="101"/>
      <c r="AI304" s="101"/>
      <c r="AJ304" s="101"/>
    </row>
    <row r="305" spans="1:36" hidden="1" x14ac:dyDescent="0.3">
      <c r="A305" s="126" t="s">
        <v>176</v>
      </c>
      <c r="B305" s="126">
        <v>19</v>
      </c>
      <c r="C305" s="126">
        <v>1</v>
      </c>
      <c r="D305" s="126" t="str">
        <f t="shared" si="48"/>
        <v>191</v>
      </c>
      <c r="J305" s="101">
        <v>203</v>
      </c>
      <c r="K305" s="101">
        <v>203</v>
      </c>
      <c r="L305" s="101">
        <v>62725</v>
      </c>
      <c r="N305" s="101">
        <v>262049</v>
      </c>
      <c r="O305" s="101">
        <v>80</v>
      </c>
      <c r="P305" s="101">
        <v>81</v>
      </c>
      <c r="Q305" s="101">
        <v>21829</v>
      </c>
      <c r="S305" s="101">
        <v>83397.046000000002</v>
      </c>
      <c r="T305" s="133">
        <v>1.02</v>
      </c>
      <c r="U305" s="101">
        <f t="shared" si="43"/>
        <v>81.599999999999994</v>
      </c>
      <c r="V305" s="101">
        <f t="shared" si="44"/>
        <v>82.62</v>
      </c>
      <c r="W305" s="101">
        <f t="shared" si="45"/>
        <v>22265.58</v>
      </c>
      <c r="X305" s="101">
        <f t="shared" si="46"/>
        <v>0</v>
      </c>
      <c r="Y305" s="101">
        <f t="shared" si="47"/>
        <v>85064.98692000001</v>
      </c>
      <c r="AA305" s="101">
        <v>218</v>
      </c>
      <c r="AB305" s="101">
        <v>236</v>
      </c>
      <c r="AC305" s="101">
        <v>41274</v>
      </c>
      <c r="AE305" s="101">
        <v>247114</v>
      </c>
      <c r="AF305" s="225"/>
      <c r="AG305" s="148"/>
      <c r="AH305" s="101"/>
      <c r="AI305" s="101"/>
      <c r="AJ305" s="101"/>
    </row>
    <row r="306" spans="1:36" hidden="1" x14ac:dyDescent="0.3">
      <c r="A306" s="126" t="s">
        <v>176</v>
      </c>
      <c r="B306" s="126">
        <v>19</v>
      </c>
      <c r="C306" s="126">
        <v>37</v>
      </c>
      <c r="D306" s="126" t="str">
        <f t="shared" si="48"/>
        <v>1937</v>
      </c>
      <c r="E306" s="101">
        <v>13.25</v>
      </c>
      <c r="F306" s="101">
        <v>25.25</v>
      </c>
      <c r="G306" s="101">
        <v>1918.25</v>
      </c>
      <c r="H306" s="101">
        <v>13941.505000000001</v>
      </c>
      <c r="I306" s="101">
        <v>13607.18375</v>
      </c>
      <c r="J306" s="101">
        <v>1</v>
      </c>
      <c r="K306" s="101">
        <v>2</v>
      </c>
      <c r="L306" s="101">
        <v>80</v>
      </c>
      <c r="M306" s="101">
        <v>635.20000000000005</v>
      </c>
      <c r="N306" s="101">
        <v>484</v>
      </c>
      <c r="O306" s="101">
        <v>1</v>
      </c>
      <c r="P306" s="101">
        <v>3</v>
      </c>
      <c r="Q306" s="101">
        <v>4071</v>
      </c>
      <c r="R306" s="101">
        <v>1791.24</v>
      </c>
      <c r="S306" s="101">
        <v>61.323</v>
      </c>
      <c r="T306" s="133">
        <v>1.02</v>
      </c>
      <c r="U306" s="101">
        <f t="shared" si="43"/>
        <v>1.02</v>
      </c>
      <c r="V306" s="101">
        <f t="shared" si="44"/>
        <v>3.06</v>
      </c>
      <c r="W306" s="101">
        <f t="shared" si="45"/>
        <v>4152.42</v>
      </c>
      <c r="X306" s="101">
        <f t="shared" si="46"/>
        <v>1827.0648000000001</v>
      </c>
      <c r="Y306" s="101">
        <f t="shared" si="47"/>
        <v>62.549460000000003</v>
      </c>
      <c r="AA306" s="101">
        <v>0</v>
      </c>
      <c r="AB306" s="101">
        <v>0</v>
      </c>
      <c r="AC306" s="101">
        <v>0</v>
      </c>
      <c r="AD306" s="101">
        <v>0</v>
      </c>
      <c r="AE306" s="101">
        <v>0</v>
      </c>
      <c r="AF306" s="225"/>
      <c r="AG306" s="148"/>
      <c r="AH306" s="101">
        <v>30000</v>
      </c>
      <c r="AI306" s="101">
        <f t="shared" si="41"/>
        <v>24000</v>
      </c>
      <c r="AJ306" s="101">
        <f t="shared" si="42"/>
        <v>36000</v>
      </c>
    </row>
    <row r="307" spans="1:36" hidden="1" x14ac:dyDescent="0.3">
      <c r="A307" s="126" t="s">
        <v>176</v>
      </c>
      <c r="B307" s="126">
        <v>20</v>
      </c>
      <c r="C307" s="126">
        <v>22</v>
      </c>
      <c r="D307" s="126" t="str">
        <f t="shared" si="48"/>
        <v>2022</v>
      </c>
      <c r="E307" s="101">
        <v>358</v>
      </c>
      <c r="F307" s="101">
        <v>2888</v>
      </c>
      <c r="G307" s="101">
        <v>29633</v>
      </c>
      <c r="H307" s="101">
        <v>216788.11000000002</v>
      </c>
      <c r="I307" s="101">
        <v>161519.378</v>
      </c>
      <c r="J307" s="101">
        <v>499</v>
      </c>
      <c r="K307" s="101">
        <v>3888</v>
      </c>
      <c r="L307" s="101">
        <v>34574</v>
      </c>
      <c r="M307" s="101">
        <v>201936.14</v>
      </c>
      <c r="N307" s="101">
        <v>135767.476</v>
      </c>
      <c r="O307" s="101">
        <v>601</v>
      </c>
      <c r="P307" s="101">
        <v>2691</v>
      </c>
      <c r="Q307" s="101">
        <v>29906</v>
      </c>
      <c r="R307" s="101">
        <v>136434.47</v>
      </c>
      <c r="S307" s="101">
        <v>100745.837</v>
      </c>
      <c r="T307" s="133">
        <v>1.02</v>
      </c>
      <c r="U307" s="101">
        <f t="shared" si="43"/>
        <v>613.02</v>
      </c>
      <c r="V307" s="101">
        <f t="shared" si="44"/>
        <v>2744.82</v>
      </c>
      <c r="W307" s="101">
        <f t="shared" si="45"/>
        <v>30504.12</v>
      </c>
      <c r="X307" s="101">
        <f t="shared" si="46"/>
        <v>139163.1594</v>
      </c>
      <c r="Y307" s="101">
        <f t="shared" si="47"/>
        <v>102760.75374</v>
      </c>
      <c r="AA307" s="101">
        <v>358</v>
      </c>
      <c r="AB307" s="101">
        <v>3178</v>
      </c>
      <c r="AC307" s="101">
        <v>23663</v>
      </c>
      <c r="AD307" s="101">
        <v>156264</v>
      </c>
      <c r="AE307" s="101">
        <v>89965</v>
      </c>
      <c r="AF307" s="225">
        <f>SUM(AB307:AB322)</f>
        <v>22989</v>
      </c>
      <c r="AG307" s="148"/>
      <c r="AH307" s="101">
        <v>30000</v>
      </c>
      <c r="AI307" s="101">
        <f t="shared" si="41"/>
        <v>24000</v>
      </c>
      <c r="AJ307" s="101">
        <f t="shared" si="42"/>
        <v>36000</v>
      </c>
    </row>
    <row r="308" spans="1:36" hidden="1" x14ac:dyDescent="0.3">
      <c r="A308" s="126" t="s">
        <v>176</v>
      </c>
      <c r="B308" s="126">
        <v>20</v>
      </c>
      <c r="C308" s="126">
        <v>25</v>
      </c>
      <c r="D308" s="126" t="str">
        <f t="shared" si="48"/>
        <v>2025</v>
      </c>
      <c r="E308" s="101">
        <v>119</v>
      </c>
      <c r="F308" s="101">
        <v>818</v>
      </c>
      <c r="G308" s="101">
        <v>45267</v>
      </c>
      <c r="H308" s="101">
        <v>554484.05999999994</v>
      </c>
      <c r="I308" s="101">
        <v>145254.52300000002</v>
      </c>
      <c r="J308" s="101">
        <v>183</v>
      </c>
      <c r="K308" s="101">
        <v>1528</v>
      </c>
      <c r="L308" s="101">
        <v>34556</v>
      </c>
      <c r="M308" s="101">
        <v>714999.2</v>
      </c>
      <c r="N308" s="101">
        <v>398223.67499999999</v>
      </c>
      <c r="O308" s="101">
        <v>223</v>
      </c>
      <c r="P308" s="101">
        <v>2045</v>
      </c>
      <c r="Q308" s="101">
        <v>65459</v>
      </c>
      <c r="R308" s="101">
        <v>776499.5</v>
      </c>
      <c r="S308" s="101">
        <v>334864.283</v>
      </c>
      <c r="T308" s="133">
        <v>1.02</v>
      </c>
      <c r="U308" s="101">
        <f t="shared" si="43"/>
        <v>227.46</v>
      </c>
      <c r="V308" s="101">
        <f t="shared" si="44"/>
        <v>2085.9</v>
      </c>
      <c r="W308" s="101">
        <f t="shared" si="45"/>
        <v>66768.180000000008</v>
      </c>
      <c r="X308" s="101">
        <f t="shared" si="46"/>
        <v>792029.49</v>
      </c>
      <c r="Y308" s="101">
        <f t="shared" si="47"/>
        <v>341561.56865999999</v>
      </c>
      <c r="AA308" s="101">
        <v>260</v>
      </c>
      <c r="AB308" s="101">
        <v>2805</v>
      </c>
      <c r="AC308" s="101">
        <v>43896</v>
      </c>
      <c r="AD308" s="101">
        <v>374485</v>
      </c>
      <c r="AE308" s="101">
        <v>238257</v>
      </c>
      <c r="AF308" s="225"/>
      <c r="AG308" s="148"/>
      <c r="AH308" s="101">
        <v>30000</v>
      </c>
      <c r="AI308" s="101">
        <f t="shared" si="41"/>
        <v>24000</v>
      </c>
      <c r="AJ308" s="101">
        <f t="shared" si="42"/>
        <v>36000</v>
      </c>
    </row>
    <row r="309" spans="1:36" hidden="1" x14ac:dyDescent="0.3">
      <c r="A309" s="126" t="s">
        <v>176</v>
      </c>
      <c r="B309" s="126">
        <v>20</v>
      </c>
      <c r="C309" s="126">
        <v>27</v>
      </c>
      <c r="D309" s="126" t="str">
        <f t="shared" si="48"/>
        <v>2027</v>
      </c>
      <c r="E309" s="101">
        <v>11</v>
      </c>
      <c r="F309" s="101">
        <v>300</v>
      </c>
      <c r="G309" s="101">
        <v>2904</v>
      </c>
      <c r="H309" s="101">
        <v>34046.42</v>
      </c>
      <c r="I309" s="101">
        <v>10916.416999999999</v>
      </c>
      <c r="J309" s="101">
        <v>30</v>
      </c>
      <c r="K309" s="101">
        <v>88</v>
      </c>
      <c r="L309" s="101">
        <v>1531</v>
      </c>
      <c r="M309" s="101">
        <v>7434.69</v>
      </c>
      <c r="N309" s="101">
        <v>2735.2910000000002</v>
      </c>
      <c r="O309" s="101">
        <v>3</v>
      </c>
      <c r="P309" s="101">
        <v>52</v>
      </c>
      <c r="Q309" s="101">
        <v>1301</v>
      </c>
      <c r="R309" s="101">
        <v>13330.05</v>
      </c>
      <c r="S309" s="101">
        <v>6241.7449999999999</v>
      </c>
      <c r="T309" s="133">
        <v>1.02</v>
      </c>
      <c r="U309" s="101">
        <f t="shared" si="43"/>
        <v>3.06</v>
      </c>
      <c r="V309" s="101">
        <f t="shared" si="44"/>
        <v>53.04</v>
      </c>
      <c r="W309" s="101">
        <f t="shared" si="45"/>
        <v>1327.02</v>
      </c>
      <c r="X309" s="101">
        <f t="shared" si="46"/>
        <v>13596.651</v>
      </c>
      <c r="Y309" s="101">
        <f t="shared" si="47"/>
        <v>6366.5798999999997</v>
      </c>
      <c r="AA309" s="101">
        <v>4</v>
      </c>
      <c r="AB309" s="101">
        <v>42</v>
      </c>
      <c r="AC309" s="101">
        <v>397</v>
      </c>
      <c r="AD309" s="101">
        <v>2069</v>
      </c>
      <c r="AE309" s="101">
        <v>970</v>
      </c>
      <c r="AF309" s="225"/>
      <c r="AG309" s="148"/>
      <c r="AH309" s="101">
        <v>30000</v>
      </c>
      <c r="AI309" s="101">
        <f t="shared" si="41"/>
        <v>24000</v>
      </c>
      <c r="AJ309" s="101">
        <f t="shared" si="42"/>
        <v>36000</v>
      </c>
    </row>
    <row r="310" spans="1:36" hidden="1" x14ac:dyDescent="0.3">
      <c r="A310" s="126" t="s">
        <v>176</v>
      </c>
      <c r="B310" s="126">
        <v>20</v>
      </c>
      <c r="C310" s="126">
        <v>12</v>
      </c>
      <c r="D310" s="141" t="s">
        <v>177</v>
      </c>
      <c r="J310" s="142">
        <v>2</v>
      </c>
      <c r="K310" s="142">
        <v>2</v>
      </c>
      <c r="L310" s="142">
        <v>2</v>
      </c>
      <c r="M310" s="143">
        <v>0</v>
      </c>
      <c r="N310" s="142">
        <v>11.657</v>
      </c>
      <c r="O310" s="101">
        <v>1</v>
      </c>
      <c r="P310" s="101">
        <v>1</v>
      </c>
      <c r="Q310" s="101">
        <v>2</v>
      </c>
      <c r="R310" s="101">
        <v>343.86</v>
      </c>
      <c r="S310" s="101">
        <v>13.932</v>
      </c>
      <c r="T310" s="133">
        <v>1.02</v>
      </c>
      <c r="U310" s="101">
        <f t="shared" si="43"/>
        <v>1.02</v>
      </c>
      <c r="V310" s="101">
        <f t="shared" si="44"/>
        <v>1.02</v>
      </c>
      <c r="W310" s="101">
        <f t="shared" si="45"/>
        <v>2.04</v>
      </c>
      <c r="X310" s="101">
        <f t="shared" si="46"/>
        <v>350.73720000000003</v>
      </c>
      <c r="Y310" s="101">
        <f t="shared" si="47"/>
        <v>14.210640000000001</v>
      </c>
      <c r="AA310" s="101">
        <v>0</v>
      </c>
      <c r="AB310" s="101">
        <v>0</v>
      </c>
      <c r="AC310" s="101">
        <v>0</v>
      </c>
      <c r="AD310" s="101">
        <v>0</v>
      </c>
      <c r="AE310" s="101">
        <v>0</v>
      </c>
      <c r="AF310" s="225"/>
      <c r="AG310" s="148"/>
      <c r="AH310" s="101">
        <v>30000</v>
      </c>
      <c r="AI310" s="101">
        <f t="shared" si="41"/>
        <v>24000</v>
      </c>
      <c r="AJ310" s="101">
        <f t="shared" si="42"/>
        <v>36000</v>
      </c>
    </row>
    <row r="311" spans="1:36" hidden="1" x14ac:dyDescent="0.3">
      <c r="A311" s="126" t="s">
        <v>176</v>
      </c>
      <c r="B311" s="126">
        <v>20</v>
      </c>
      <c r="C311" s="126">
        <v>28</v>
      </c>
      <c r="D311" s="141" t="s">
        <v>178</v>
      </c>
      <c r="J311" s="142">
        <v>87</v>
      </c>
      <c r="K311" s="142">
        <v>152</v>
      </c>
      <c r="L311" s="142">
        <v>2692</v>
      </c>
      <c r="M311" s="142">
        <v>87962.23</v>
      </c>
      <c r="N311" s="142">
        <v>41987.419000000002</v>
      </c>
      <c r="O311" s="101">
        <v>59</v>
      </c>
      <c r="P311" s="101">
        <v>191</v>
      </c>
      <c r="Q311" s="101">
        <v>1254</v>
      </c>
      <c r="R311" s="101">
        <v>34638.339999999997</v>
      </c>
      <c r="S311" s="101">
        <v>11520.415999999999</v>
      </c>
      <c r="T311" s="133">
        <v>1.02</v>
      </c>
      <c r="U311" s="101">
        <f t="shared" si="43"/>
        <v>60.18</v>
      </c>
      <c r="V311" s="101">
        <f t="shared" si="44"/>
        <v>194.82</v>
      </c>
      <c r="W311" s="101">
        <f t="shared" si="45"/>
        <v>1279.08</v>
      </c>
      <c r="X311" s="101">
        <f t="shared" si="46"/>
        <v>35331.106799999994</v>
      </c>
      <c r="Y311" s="101">
        <f t="shared" si="47"/>
        <v>11750.82432</v>
      </c>
      <c r="AA311" s="101">
        <v>58</v>
      </c>
      <c r="AB311" s="101">
        <v>246</v>
      </c>
      <c r="AC311" s="101">
        <v>2141</v>
      </c>
      <c r="AD311" s="101">
        <v>37517</v>
      </c>
      <c r="AE311" s="101">
        <v>10085</v>
      </c>
      <c r="AF311" s="225"/>
      <c r="AG311" s="148"/>
      <c r="AH311" s="101">
        <v>30000</v>
      </c>
      <c r="AI311" s="101">
        <f t="shared" si="41"/>
        <v>24000</v>
      </c>
      <c r="AJ311" s="101">
        <f t="shared" si="42"/>
        <v>36000</v>
      </c>
    </row>
    <row r="312" spans="1:36" hidden="1" x14ac:dyDescent="0.3">
      <c r="A312" s="126" t="s">
        <v>176</v>
      </c>
      <c r="B312" s="126">
        <v>20</v>
      </c>
      <c r="C312" s="126">
        <v>46</v>
      </c>
      <c r="D312" s="141" t="s">
        <v>179</v>
      </c>
      <c r="J312" s="142">
        <v>13</v>
      </c>
      <c r="K312" s="142">
        <v>18</v>
      </c>
      <c r="L312" s="142">
        <v>298</v>
      </c>
      <c r="M312" s="142">
        <v>2521.4</v>
      </c>
      <c r="N312" s="142">
        <v>337.48700000000002</v>
      </c>
      <c r="O312" s="101">
        <v>15</v>
      </c>
      <c r="P312" s="101">
        <v>21</v>
      </c>
      <c r="Q312" s="101">
        <v>348</v>
      </c>
      <c r="R312" s="101">
        <v>7934.24</v>
      </c>
      <c r="S312" s="101">
        <v>1191.51</v>
      </c>
      <c r="T312" s="133">
        <v>1.02</v>
      </c>
      <c r="U312" s="101">
        <f t="shared" si="43"/>
        <v>15.3</v>
      </c>
      <c r="V312" s="101">
        <f t="shared" si="44"/>
        <v>21.42</v>
      </c>
      <c r="W312" s="101">
        <f t="shared" si="45"/>
        <v>354.96</v>
      </c>
      <c r="X312" s="101">
        <f t="shared" si="46"/>
        <v>8092.9247999999998</v>
      </c>
      <c r="Y312" s="101">
        <f t="shared" si="47"/>
        <v>1215.3402000000001</v>
      </c>
      <c r="AA312" s="101">
        <v>13</v>
      </c>
      <c r="AB312" s="101">
        <v>16</v>
      </c>
      <c r="AC312" s="101">
        <v>28</v>
      </c>
      <c r="AD312" s="101">
        <v>1698</v>
      </c>
      <c r="AE312" s="101">
        <v>349</v>
      </c>
      <c r="AF312" s="225"/>
      <c r="AG312" s="148"/>
      <c r="AH312" s="101">
        <v>30000</v>
      </c>
      <c r="AI312" s="101">
        <f t="shared" si="41"/>
        <v>24000</v>
      </c>
      <c r="AJ312" s="101">
        <f t="shared" si="42"/>
        <v>36000</v>
      </c>
    </row>
    <row r="313" spans="1:36" hidden="1" x14ac:dyDescent="0.3">
      <c r="A313" s="126" t="s">
        <v>176</v>
      </c>
      <c r="B313" s="126">
        <v>20</v>
      </c>
      <c r="C313" s="126">
        <v>66</v>
      </c>
      <c r="D313" s="141" t="s">
        <v>180</v>
      </c>
      <c r="J313" s="142">
        <v>13</v>
      </c>
      <c r="K313" s="142">
        <v>15</v>
      </c>
      <c r="L313" s="142">
        <v>1278</v>
      </c>
      <c r="M313" s="142">
        <v>3789.14</v>
      </c>
      <c r="N313" s="142">
        <v>2073.4829999999997</v>
      </c>
      <c r="O313" s="101">
        <v>35</v>
      </c>
      <c r="P313" s="101">
        <v>85</v>
      </c>
      <c r="Q313" s="101">
        <v>4894</v>
      </c>
      <c r="R313" s="101">
        <v>59468.800000000003</v>
      </c>
      <c r="S313" s="101">
        <v>41173.932000000001</v>
      </c>
      <c r="T313" s="133">
        <v>1.02</v>
      </c>
      <c r="U313" s="101">
        <f t="shared" si="43"/>
        <v>35.700000000000003</v>
      </c>
      <c r="V313" s="101">
        <f t="shared" si="44"/>
        <v>86.7</v>
      </c>
      <c r="W313" s="101">
        <f t="shared" si="45"/>
        <v>4991.88</v>
      </c>
      <c r="X313" s="101">
        <f t="shared" si="46"/>
        <v>60658.176000000007</v>
      </c>
      <c r="Y313" s="101">
        <f t="shared" si="47"/>
        <v>41997.410640000002</v>
      </c>
      <c r="AA313" s="101">
        <v>10</v>
      </c>
      <c r="AB313" s="101">
        <v>38</v>
      </c>
      <c r="AC313" s="101">
        <v>1419</v>
      </c>
      <c r="AD313" s="101">
        <v>13895</v>
      </c>
      <c r="AE313" s="101">
        <v>9582</v>
      </c>
      <c r="AF313" s="225"/>
      <c r="AG313" s="148"/>
      <c r="AH313" s="101">
        <v>30000</v>
      </c>
      <c r="AI313" s="101">
        <f t="shared" si="41"/>
        <v>24000</v>
      </c>
      <c r="AJ313" s="101">
        <f t="shared" si="42"/>
        <v>36000</v>
      </c>
    </row>
    <row r="314" spans="1:36" x14ac:dyDescent="0.3">
      <c r="A314" s="126" t="s">
        <v>176</v>
      </c>
      <c r="B314" s="126">
        <v>20</v>
      </c>
      <c r="C314" s="126">
        <v>91</v>
      </c>
      <c r="D314" s="141" t="s">
        <v>181</v>
      </c>
      <c r="J314" s="142">
        <v>18</v>
      </c>
      <c r="K314" s="142">
        <v>70</v>
      </c>
      <c r="L314" s="142">
        <v>222</v>
      </c>
      <c r="M314" s="142">
        <v>2425.0700000000002</v>
      </c>
      <c r="N314" s="142">
        <v>1185.037</v>
      </c>
      <c r="O314" s="101">
        <v>14</v>
      </c>
      <c r="P314" s="101">
        <v>29</v>
      </c>
      <c r="Q314" s="101">
        <v>95</v>
      </c>
      <c r="R314" s="101">
        <v>1194.54</v>
      </c>
      <c r="S314" s="101">
        <v>1200.288</v>
      </c>
      <c r="T314" s="133">
        <v>1.02</v>
      </c>
      <c r="U314" s="101">
        <f t="shared" si="43"/>
        <v>14.280000000000001</v>
      </c>
      <c r="V314" s="101">
        <f t="shared" si="44"/>
        <v>29.580000000000002</v>
      </c>
      <c r="W314" s="101">
        <f t="shared" si="45"/>
        <v>96.9</v>
      </c>
      <c r="X314" s="101">
        <f t="shared" si="46"/>
        <v>1218.4308000000001</v>
      </c>
      <c r="Y314" s="101">
        <f t="shared" si="47"/>
        <v>1224.29376</v>
      </c>
      <c r="AA314" s="101">
        <v>14</v>
      </c>
      <c r="AB314" s="101">
        <v>21</v>
      </c>
      <c r="AC314" s="101">
        <v>68</v>
      </c>
      <c r="AD314" s="101">
        <v>1335</v>
      </c>
      <c r="AE314" s="101">
        <v>1548</v>
      </c>
      <c r="AF314" s="225"/>
      <c r="AG314" s="148"/>
      <c r="AH314" s="101">
        <v>30000</v>
      </c>
      <c r="AI314" s="101">
        <f t="shared" si="41"/>
        <v>24000</v>
      </c>
      <c r="AJ314" s="101">
        <f t="shared" si="42"/>
        <v>36000</v>
      </c>
    </row>
    <row r="315" spans="1:36" hidden="1" x14ac:dyDescent="0.3">
      <c r="A315" s="126" t="s">
        <v>176</v>
      </c>
      <c r="B315" s="126">
        <v>20</v>
      </c>
      <c r="C315" s="126">
        <v>26</v>
      </c>
      <c r="D315" s="126" t="str">
        <f t="shared" si="48"/>
        <v>2026</v>
      </c>
      <c r="E315" s="101">
        <v>75</v>
      </c>
      <c r="F315" s="101">
        <v>1460</v>
      </c>
      <c r="G315" s="101">
        <v>30495</v>
      </c>
      <c r="H315" s="101">
        <v>310617.14</v>
      </c>
      <c r="I315" s="101">
        <v>160914.28200000001</v>
      </c>
      <c r="J315" s="101">
        <v>73</v>
      </c>
      <c r="K315" s="101">
        <v>1589</v>
      </c>
      <c r="L315" s="101">
        <v>32129</v>
      </c>
      <c r="M315" s="101">
        <v>325756.11</v>
      </c>
      <c r="N315" s="101">
        <v>182463.21600000001</v>
      </c>
      <c r="O315" s="101">
        <v>25</v>
      </c>
      <c r="P315" s="101">
        <v>689</v>
      </c>
      <c r="Q315" s="101">
        <v>15802</v>
      </c>
      <c r="R315" s="101">
        <v>135654.54</v>
      </c>
      <c r="S315" s="101">
        <v>89997.362999999998</v>
      </c>
      <c r="T315" s="133">
        <v>1.02</v>
      </c>
      <c r="U315" s="101">
        <f t="shared" si="43"/>
        <v>25.5</v>
      </c>
      <c r="V315" s="101">
        <f t="shared" si="44"/>
        <v>702.78</v>
      </c>
      <c r="W315" s="101">
        <f t="shared" si="45"/>
        <v>16118.04</v>
      </c>
      <c r="X315" s="101">
        <f t="shared" si="46"/>
        <v>138367.63080000001</v>
      </c>
      <c r="Y315" s="101">
        <f t="shared" si="47"/>
        <v>91797.310259999998</v>
      </c>
      <c r="AA315" s="101">
        <v>7</v>
      </c>
      <c r="AB315" s="101">
        <v>36</v>
      </c>
      <c r="AC315" s="101">
        <v>6680</v>
      </c>
      <c r="AD315" s="101">
        <v>29750</v>
      </c>
      <c r="AE315" s="101">
        <v>33055</v>
      </c>
      <c r="AF315" s="225"/>
      <c r="AG315" s="148"/>
      <c r="AH315" s="101">
        <v>30000</v>
      </c>
      <c r="AI315" s="101">
        <f t="shared" si="41"/>
        <v>24000</v>
      </c>
      <c r="AJ315" s="101">
        <f t="shared" si="42"/>
        <v>36000</v>
      </c>
    </row>
    <row r="316" spans="1:36" hidden="1" x14ac:dyDescent="0.3">
      <c r="A316" s="126" t="s">
        <v>176</v>
      </c>
      <c r="B316" s="126">
        <v>20</v>
      </c>
      <c r="C316" s="126">
        <v>32</v>
      </c>
      <c r="D316" s="126" t="str">
        <f t="shared" si="48"/>
        <v>2032</v>
      </c>
      <c r="E316" s="101">
        <v>280</v>
      </c>
      <c r="F316" s="101">
        <v>1058</v>
      </c>
      <c r="G316" s="101">
        <v>15716</v>
      </c>
      <c r="H316" s="101">
        <v>264938.91000000003</v>
      </c>
      <c r="I316" s="101">
        <v>92867.430000000008</v>
      </c>
      <c r="J316" s="101">
        <v>442</v>
      </c>
      <c r="K316" s="101">
        <v>1589</v>
      </c>
      <c r="L316" s="101">
        <v>24257</v>
      </c>
      <c r="M316" s="101">
        <v>155592.51</v>
      </c>
      <c r="N316" s="101">
        <v>87404.760000000009</v>
      </c>
      <c r="O316" s="101">
        <v>199</v>
      </c>
      <c r="P316" s="101">
        <v>917</v>
      </c>
      <c r="Q316" s="101">
        <v>13165</v>
      </c>
      <c r="R316" s="101">
        <v>129094.74</v>
      </c>
      <c r="S316" s="101">
        <v>48175.495999999999</v>
      </c>
      <c r="T316" s="133">
        <v>1.02</v>
      </c>
      <c r="U316" s="101">
        <f>O316*$T$5+3</f>
        <v>205.98</v>
      </c>
      <c r="V316" s="101">
        <f>P316*$T$5+3</f>
        <v>938.34</v>
      </c>
      <c r="W316" s="101">
        <f>Q316*$T$5+248</f>
        <v>13676.300000000001</v>
      </c>
      <c r="X316" s="101">
        <f>R316*$T$5+6450</f>
        <v>138126.6348</v>
      </c>
      <c r="Y316" s="101">
        <f>S316*$T$5+1834</f>
        <v>50973.005920000003</v>
      </c>
      <c r="AA316" s="101">
        <v>196</v>
      </c>
      <c r="AB316" s="101">
        <v>1025</v>
      </c>
      <c r="AC316" s="101">
        <v>20764</v>
      </c>
      <c r="AD316" s="101">
        <v>323708</v>
      </c>
      <c r="AE316" s="101">
        <v>162441</v>
      </c>
      <c r="AF316" s="225"/>
      <c r="AG316" s="148"/>
      <c r="AH316" s="101">
        <v>30000</v>
      </c>
      <c r="AI316" s="101">
        <f t="shared" si="41"/>
        <v>24000</v>
      </c>
      <c r="AJ316" s="101">
        <f t="shared" si="42"/>
        <v>36000</v>
      </c>
    </row>
    <row r="317" spans="1:36" hidden="1" x14ac:dyDescent="0.3">
      <c r="A317" s="126" t="s">
        <v>176</v>
      </c>
      <c r="B317" s="126">
        <v>20</v>
      </c>
      <c r="C317" s="126">
        <v>21</v>
      </c>
      <c r="D317" s="126" t="str">
        <f t="shared" si="48"/>
        <v>2021</v>
      </c>
      <c r="E317" s="101">
        <v>730.5</v>
      </c>
      <c r="F317" s="101">
        <v>4140</v>
      </c>
      <c r="G317" s="101">
        <v>26306.5</v>
      </c>
      <c r="H317" s="101">
        <v>318263.09499999997</v>
      </c>
      <c r="I317" s="101">
        <v>99889.921499999997</v>
      </c>
      <c r="J317" s="101">
        <v>418</v>
      </c>
      <c r="K317" s="101">
        <v>4169</v>
      </c>
      <c r="L317" s="101">
        <v>15775</v>
      </c>
      <c r="M317" s="101">
        <v>247709.47999999998</v>
      </c>
      <c r="N317" s="101">
        <v>67232.909000000014</v>
      </c>
      <c r="O317" s="138"/>
      <c r="P317" s="138"/>
      <c r="Q317" s="138"/>
      <c r="R317" s="138"/>
      <c r="S317" s="138"/>
      <c r="T317" s="133">
        <v>1.02</v>
      </c>
      <c r="U317" s="101">
        <f t="shared" si="43"/>
        <v>0</v>
      </c>
      <c r="V317" s="101">
        <f t="shared" si="44"/>
        <v>0</v>
      </c>
      <c r="W317" s="101">
        <f t="shared" si="45"/>
        <v>0</v>
      </c>
      <c r="X317" s="101">
        <f t="shared" si="46"/>
        <v>0</v>
      </c>
      <c r="Y317" s="101">
        <f t="shared" si="47"/>
        <v>0</v>
      </c>
      <c r="AA317" s="101">
        <v>86</v>
      </c>
      <c r="AB317" s="101">
        <v>273</v>
      </c>
      <c r="AC317" s="101">
        <v>1296</v>
      </c>
      <c r="AD317" s="101">
        <v>39293</v>
      </c>
      <c r="AE317" s="101">
        <v>16178</v>
      </c>
      <c r="AF317" s="225"/>
      <c r="AG317" s="148"/>
      <c r="AH317" s="101">
        <v>30000</v>
      </c>
      <c r="AI317" s="101">
        <f t="shared" si="41"/>
        <v>24000</v>
      </c>
      <c r="AJ317" s="101">
        <f t="shared" si="42"/>
        <v>36000</v>
      </c>
    </row>
    <row r="318" spans="1:36" hidden="1" x14ac:dyDescent="0.3">
      <c r="A318" s="126" t="s">
        <v>176</v>
      </c>
      <c r="B318" s="126">
        <v>20</v>
      </c>
      <c r="C318" s="126">
        <v>30</v>
      </c>
      <c r="D318" s="126" t="str">
        <f t="shared" si="48"/>
        <v>2030</v>
      </c>
      <c r="E318" s="101">
        <v>196.5</v>
      </c>
      <c r="F318" s="101">
        <v>2273.5</v>
      </c>
      <c r="G318" s="101">
        <v>8495.5</v>
      </c>
      <c r="H318" s="101">
        <v>212377.17499999999</v>
      </c>
      <c r="I318" s="101">
        <v>61559.048999999999</v>
      </c>
      <c r="J318" s="101">
        <v>218</v>
      </c>
      <c r="K318" s="101">
        <v>3298</v>
      </c>
      <c r="L318" s="101">
        <v>12028</v>
      </c>
      <c r="M318" s="101">
        <v>234135.06</v>
      </c>
      <c r="N318" s="101">
        <v>67299.374000000011</v>
      </c>
      <c r="O318" s="138">
        <v>437</v>
      </c>
      <c r="P318" s="138">
        <v>6683</v>
      </c>
      <c r="Q318" s="138">
        <v>22796</v>
      </c>
      <c r="R318" s="138">
        <v>458865.80000000005</v>
      </c>
      <c r="S318" s="138">
        <v>152826.05799999999</v>
      </c>
      <c r="T318" s="133">
        <v>1.02</v>
      </c>
      <c r="U318" s="101">
        <f t="shared" si="43"/>
        <v>445.74</v>
      </c>
      <c r="V318" s="101">
        <f t="shared" si="44"/>
        <v>6816.66</v>
      </c>
      <c r="W318" s="101">
        <f t="shared" si="45"/>
        <v>23251.920000000002</v>
      </c>
      <c r="X318" s="101">
        <f t="shared" si="46"/>
        <v>468043.11600000004</v>
      </c>
      <c r="Y318" s="101">
        <f t="shared" si="47"/>
        <v>155882.57915999999</v>
      </c>
      <c r="AA318" s="101">
        <v>391</v>
      </c>
      <c r="AB318" s="101">
        <v>6899</v>
      </c>
      <c r="AC318" s="101">
        <v>27921</v>
      </c>
      <c r="AD318" s="101">
        <v>752573</v>
      </c>
      <c r="AE318" s="101">
        <v>315289</v>
      </c>
      <c r="AF318" s="225"/>
      <c r="AG318" s="148"/>
      <c r="AH318" s="101">
        <v>30000</v>
      </c>
      <c r="AI318" s="101">
        <f t="shared" si="41"/>
        <v>24000</v>
      </c>
      <c r="AJ318" s="101">
        <f t="shared" si="42"/>
        <v>36000</v>
      </c>
    </row>
    <row r="319" spans="1:36" hidden="1" x14ac:dyDescent="0.3">
      <c r="A319" s="126" t="s">
        <v>176</v>
      </c>
      <c r="B319" s="126">
        <v>20</v>
      </c>
      <c r="C319" s="126">
        <v>71</v>
      </c>
      <c r="D319" s="126" t="str">
        <f t="shared" si="48"/>
        <v>2071</v>
      </c>
      <c r="E319" s="101">
        <v>395.5</v>
      </c>
      <c r="F319" s="101">
        <v>3983</v>
      </c>
      <c r="G319" s="101">
        <v>10871</v>
      </c>
      <c r="H319" s="101">
        <v>100767.715</v>
      </c>
      <c r="I319" s="101">
        <v>45839.928</v>
      </c>
      <c r="J319" s="101">
        <v>472</v>
      </c>
      <c r="K319" s="101">
        <v>5221</v>
      </c>
      <c r="L319" s="101">
        <v>17078</v>
      </c>
      <c r="M319" s="101">
        <v>74796.070000000007</v>
      </c>
      <c r="N319" s="101">
        <v>40083.558000000005</v>
      </c>
      <c r="O319" s="101">
        <v>448</v>
      </c>
      <c r="P319" s="101">
        <v>7131</v>
      </c>
      <c r="Q319" s="101">
        <v>18216</v>
      </c>
      <c r="R319" s="101">
        <v>122597.08</v>
      </c>
      <c r="S319" s="101">
        <v>54075.506999999998</v>
      </c>
      <c r="T319" s="133">
        <v>0.98</v>
      </c>
      <c r="U319" s="101">
        <f t="shared" si="43"/>
        <v>439.03999999999996</v>
      </c>
      <c r="V319" s="101">
        <f>P319*T319</f>
        <v>6988.38</v>
      </c>
      <c r="W319" s="101">
        <f t="shared" si="45"/>
        <v>17851.68</v>
      </c>
      <c r="X319" s="101">
        <f t="shared" si="46"/>
        <v>120145.1384</v>
      </c>
      <c r="Y319" s="101">
        <f t="shared" si="47"/>
        <v>52993.996859999999</v>
      </c>
      <c r="AA319" s="101">
        <v>179</v>
      </c>
      <c r="AB319" s="101">
        <v>8215</v>
      </c>
      <c r="AC319" s="101">
        <v>30935</v>
      </c>
      <c r="AD319" s="101">
        <v>188979</v>
      </c>
      <c r="AE319" s="101">
        <v>105809</v>
      </c>
      <c r="AF319" s="225"/>
      <c r="AG319" s="148"/>
      <c r="AH319" s="101">
        <v>30000</v>
      </c>
      <c r="AI319" s="101">
        <f t="shared" si="41"/>
        <v>24000</v>
      </c>
      <c r="AJ319" s="101">
        <f t="shared" si="42"/>
        <v>36000</v>
      </c>
    </row>
    <row r="320" spans="1:36" hidden="1" x14ac:dyDescent="0.3">
      <c r="A320" s="126" t="s">
        <v>176</v>
      </c>
      <c r="B320" s="126">
        <v>20</v>
      </c>
      <c r="C320" s="126">
        <v>41</v>
      </c>
      <c r="D320" s="126" t="str">
        <f t="shared" si="48"/>
        <v>2041</v>
      </c>
      <c r="O320" s="101">
        <v>3</v>
      </c>
      <c r="P320" s="101">
        <v>11</v>
      </c>
      <c r="Q320" s="101">
        <v>18</v>
      </c>
      <c r="R320" s="101">
        <v>215.19</v>
      </c>
      <c r="S320" s="101">
        <v>170.38499999999999</v>
      </c>
      <c r="T320" s="133">
        <v>1.02</v>
      </c>
      <c r="U320" s="101">
        <f t="shared" si="43"/>
        <v>3.06</v>
      </c>
      <c r="V320" s="101">
        <f t="shared" si="44"/>
        <v>11.22</v>
      </c>
      <c r="W320" s="101">
        <f t="shared" si="45"/>
        <v>18.36</v>
      </c>
      <c r="X320" s="101">
        <f t="shared" si="46"/>
        <v>219.49379999999999</v>
      </c>
      <c r="Y320" s="101">
        <f t="shared" si="47"/>
        <v>173.7927</v>
      </c>
      <c r="AA320" s="101">
        <v>1</v>
      </c>
      <c r="AB320" s="101">
        <v>3</v>
      </c>
      <c r="AC320" s="101">
        <v>3</v>
      </c>
      <c r="AD320" s="101">
        <v>39</v>
      </c>
      <c r="AE320" s="101">
        <v>2</v>
      </c>
      <c r="AF320" s="225"/>
      <c r="AG320" s="148"/>
      <c r="AH320" s="101"/>
      <c r="AI320" s="101"/>
      <c r="AJ320" s="101"/>
    </row>
    <row r="321" spans="1:36" hidden="1" x14ac:dyDescent="0.3">
      <c r="A321" s="126" t="s">
        <v>176</v>
      </c>
      <c r="B321" s="126">
        <v>20</v>
      </c>
      <c r="C321" s="126">
        <v>1</v>
      </c>
      <c r="D321" s="126" t="str">
        <f t="shared" si="48"/>
        <v>201</v>
      </c>
      <c r="J321" s="101">
        <v>115</v>
      </c>
      <c r="K321" s="101">
        <v>115</v>
      </c>
      <c r="L321" s="101">
        <v>36980</v>
      </c>
      <c r="N321" s="101">
        <v>265799</v>
      </c>
      <c r="O321" s="101">
        <v>94</v>
      </c>
      <c r="P321" s="101">
        <v>94</v>
      </c>
      <c r="Q321" s="101">
        <v>37241</v>
      </c>
      <c r="S321" s="101">
        <v>251238</v>
      </c>
      <c r="T321" s="133">
        <v>1.02</v>
      </c>
      <c r="U321" s="101">
        <f t="shared" si="43"/>
        <v>95.88</v>
      </c>
      <c r="V321" s="101">
        <f t="shared" si="44"/>
        <v>95.88</v>
      </c>
      <c r="W321" s="101">
        <f t="shared" si="45"/>
        <v>37985.82</v>
      </c>
      <c r="X321" s="101">
        <f t="shared" si="46"/>
        <v>0</v>
      </c>
      <c r="Y321" s="101">
        <f t="shared" si="47"/>
        <v>256262.76</v>
      </c>
      <c r="AA321" s="101">
        <v>137</v>
      </c>
      <c r="AB321" s="101">
        <v>192</v>
      </c>
      <c r="AC321" s="101">
        <v>36681</v>
      </c>
      <c r="AE321" s="101">
        <v>179386.40700000001</v>
      </c>
      <c r="AF321" s="225"/>
      <c r="AG321" s="148"/>
      <c r="AH321" s="101">
        <v>30000</v>
      </c>
      <c r="AI321" s="101"/>
      <c r="AJ321" s="101"/>
    </row>
    <row r="322" spans="1:36" hidden="1" x14ac:dyDescent="0.3">
      <c r="A322" s="126" t="s">
        <v>176</v>
      </c>
      <c r="B322" s="126">
        <v>20</v>
      </c>
      <c r="C322" s="126">
        <v>37</v>
      </c>
      <c r="D322" s="126" t="str">
        <f t="shared" si="48"/>
        <v>2037</v>
      </c>
      <c r="E322" s="101">
        <v>25.25</v>
      </c>
      <c r="F322" s="101">
        <v>67.75</v>
      </c>
      <c r="G322" s="101">
        <v>9366</v>
      </c>
      <c r="H322" s="101">
        <v>17962.872500000001</v>
      </c>
      <c r="I322" s="101">
        <v>10098.38775</v>
      </c>
      <c r="J322" s="101">
        <v>3</v>
      </c>
      <c r="K322" s="101">
        <v>10</v>
      </c>
      <c r="L322" s="101">
        <v>6353</v>
      </c>
      <c r="M322" s="101">
        <v>2260.2399999999998</v>
      </c>
      <c r="N322" s="101">
        <v>2463.7829999999999</v>
      </c>
      <c r="O322" s="101">
        <v>0</v>
      </c>
      <c r="P322" s="101">
        <v>0</v>
      </c>
      <c r="Q322" s="101">
        <v>0</v>
      </c>
      <c r="R322" s="101">
        <v>0</v>
      </c>
      <c r="S322" s="101">
        <v>0</v>
      </c>
      <c r="T322" s="133">
        <v>1.02</v>
      </c>
      <c r="U322" s="101">
        <f t="shared" si="43"/>
        <v>0</v>
      </c>
      <c r="V322" s="101">
        <f t="shared" si="44"/>
        <v>0</v>
      </c>
      <c r="W322" s="101">
        <f t="shared" si="45"/>
        <v>0</v>
      </c>
      <c r="X322" s="101">
        <f t="shared" si="46"/>
        <v>0</v>
      </c>
      <c r="Y322" s="101">
        <f t="shared" si="47"/>
        <v>0</v>
      </c>
      <c r="AA322" s="101">
        <v>0</v>
      </c>
      <c r="AB322" s="101">
        <v>0</v>
      </c>
      <c r="AC322" s="101">
        <v>0</v>
      </c>
      <c r="AD322" s="101">
        <v>0</v>
      </c>
      <c r="AE322" s="101">
        <v>0</v>
      </c>
      <c r="AF322" s="225"/>
      <c r="AG322" s="148"/>
      <c r="AH322" s="101">
        <v>30000</v>
      </c>
      <c r="AI322" s="101">
        <f t="shared" si="41"/>
        <v>24000</v>
      </c>
      <c r="AJ322" s="101">
        <f t="shared" si="42"/>
        <v>36000</v>
      </c>
    </row>
    <row r="323" spans="1:36" hidden="1" x14ac:dyDescent="0.3">
      <c r="A323" s="126" t="s">
        <v>176</v>
      </c>
      <c r="B323" s="126">
        <v>21</v>
      </c>
      <c r="C323" s="126">
        <v>22</v>
      </c>
      <c r="D323" s="126" t="str">
        <f t="shared" si="48"/>
        <v>2122</v>
      </c>
      <c r="E323" s="101">
        <v>361</v>
      </c>
      <c r="F323" s="101">
        <v>2134</v>
      </c>
      <c r="G323" s="101">
        <v>25116</v>
      </c>
      <c r="H323" s="101">
        <v>116819.23</v>
      </c>
      <c r="I323" s="101">
        <v>95264.811000000002</v>
      </c>
      <c r="J323" s="101">
        <v>358</v>
      </c>
      <c r="K323" s="101">
        <v>3120</v>
      </c>
      <c r="L323" s="101">
        <v>28417</v>
      </c>
      <c r="M323" s="101">
        <v>160176.66</v>
      </c>
      <c r="N323" s="101">
        <v>104899.549</v>
      </c>
      <c r="O323" s="101">
        <v>468</v>
      </c>
      <c r="P323" s="101">
        <v>3591</v>
      </c>
      <c r="Q323" s="101">
        <v>28184</v>
      </c>
      <c r="R323" s="101">
        <v>201531.67</v>
      </c>
      <c r="S323" s="101">
        <v>203840.62299999999</v>
      </c>
      <c r="T323" s="133">
        <v>1.02</v>
      </c>
      <c r="U323" s="101">
        <f t="shared" si="43"/>
        <v>477.36</v>
      </c>
      <c r="V323" s="101">
        <f t="shared" si="44"/>
        <v>3662.82</v>
      </c>
      <c r="W323" s="101">
        <f t="shared" si="45"/>
        <v>28747.68</v>
      </c>
      <c r="X323" s="101">
        <f t="shared" si="46"/>
        <v>205562.3034</v>
      </c>
      <c r="Y323" s="101">
        <f t="shared" si="47"/>
        <v>207917.43546000001</v>
      </c>
      <c r="AA323" s="101">
        <v>934</v>
      </c>
      <c r="AB323" s="101">
        <v>8313</v>
      </c>
      <c r="AC323" s="101">
        <v>59926</v>
      </c>
      <c r="AD323" s="101">
        <v>279781</v>
      </c>
      <c r="AE323" s="101">
        <v>186706</v>
      </c>
      <c r="AF323" s="225">
        <f>SUM(AB323:AB337)</f>
        <v>25609</v>
      </c>
      <c r="AG323" s="148"/>
      <c r="AH323" s="101">
        <v>30000</v>
      </c>
      <c r="AI323" s="101">
        <f t="shared" si="41"/>
        <v>24000</v>
      </c>
      <c r="AJ323" s="101">
        <f t="shared" si="42"/>
        <v>36000</v>
      </c>
    </row>
    <row r="324" spans="1:36" hidden="1" x14ac:dyDescent="0.3">
      <c r="A324" s="126" t="s">
        <v>176</v>
      </c>
      <c r="B324" s="126">
        <v>21</v>
      </c>
      <c r="C324" s="126">
        <v>25</v>
      </c>
      <c r="D324" s="126" t="str">
        <f t="shared" si="48"/>
        <v>2125</v>
      </c>
      <c r="E324" s="101">
        <v>114</v>
      </c>
      <c r="F324" s="101">
        <v>917</v>
      </c>
      <c r="G324" s="101">
        <v>40848</v>
      </c>
      <c r="H324" s="101">
        <v>542648.2699999999</v>
      </c>
      <c r="I324" s="101">
        <v>230530</v>
      </c>
      <c r="J324" s="101">
        <v>146</v>
      </c>
      <c r="K324" s="101">
        <v>1457</v>
      </c>
      <c r="L324" s="101">
        <v>30988</v>
      </c>
      <c r="M324" s="101">
        <v>462417.2</v>
      </c>
      <c r="N324" s="101">
        <v>248799.63399999999</v>
      </c>
      <c r="O324" s="101">
        <v>162</v>
      </c>
      <c r="P324" s="101">
        <v>2565</v>
      </c>
      <c r="Q324" s="101">
        <v>45924</v>
      </c>
      <c r="R324" s="101">
        <v>527326.35</v>
      </c>
      <c r="S324" s="101">
        <v>237054.226</v>
      </c>
      <c r="T324" s="133">
        <v>1.02</v>
      </c>
      <c r="U324" s="101">
        <f t="shared" si="43"/>
        <v>165.24</v>
      </c>
      <c r="V324" s="101">
        <f t="shared" si="44"/>
        <v>2616.3000000000002</v>
      </c>
      <c r="W324" s="101">
        <f t="shared" si="45"/>
        <v>46842.48</v>
      </c>
      <c r="X324" s="101">
        <f t="shared" si="46"/>
        <v>537872.87699999998</v>
      </c>
      <c r="Y324" s="101">
        <f t="shared" si="47"/>
        <v>241795.31052</v>
      </c>
      <c r="AA324" s="101">
        <v>209</v>
      </c>
      <c r="AB324" s="101">
        <v>2486</v>
      </c>
      <c r="AC324" s="101">
        <v>28704</v>
      </c>
      <c r="AD324" s="101">
        <v>259219</v>
      </c>
      <c r="AE324" s="101">
        <v>116348</v>
      </c>
      <c r="AF324" s="225"/>
      <c r="AG324" s="148"/>
      <c r="AH324" s="101">
        <v>30000</v>
      </c>
      <c r="AI324" s="101">
        <f t="shared" si="41"/>
        <v>24000</v>
      </c>
      <c r="AJ324" s="101">
        <f t="shared" si="42"/>
        <v>36000</v>
      </c>
    </row>
    <row r="325" spans="1:36" hidden="1" x14ac:dyDescent="0.3">
      <c r="A325" s="126" t="s">
        <v>176</v>
      </c>
      <c r="B325" s="126">
        <v>21</v>
      </c>
      <c r="C325" s="126">
        <v>27</v>
      </c>
      <c r="D325" s="126" t="str">
        <f t="shared" si="48"/>
        <v>2127</v>
      </c>
      <c r="E325" s="101">
        <v>13</v>
      </c>
      <c r="F325" s="101">
        <v>295</v>
      </c>
      <c r="G325" s="101">
        <v>3174</v>
      </c>
      <c r="H325" s="101">
        <v>31089.45</v>
      </c>
      <c r="I325" s="101">
        <v>10751.8</v>
      </c>
      <c r="J325" s="101">
        <v>7</v>
      </c>
      <c r="K325" s="101">
        <v>31</v>
      </c>
      <c r="L325" s="101">
        <v>245</v>
      </c>
      <c r="M325" s="101">
        <v>6940.69</v>
      </c>
      <c r="N325" s="101">
        <v>4168.1000000000004</v>
      </c>
      <c r="O325" s="101">
        <v>6</v>
      </c>
      <c r="P325" s="101">
        <v>11</v>
      </c>
      <c r="Q325" s="101">
        <v>695</v>
      </c>
      <c r="R325" s="101">
        <v>2431.08</v>
      </c>
      <c r="S325" s="101">
        <v>1322.701</v>
      </c>
      <c r="T325" s="133">
        <v>1.02</v>
      </c>
      <c r="U325" s="101">
        <f t="shared" si="43"/>
        <v>6.12</v>
      </c>
      <c r="V325" s="101">
        <f t="shared" si="44"/>
        <v>11.22</v>
      </c>
      <c r="W325" s="101">
        <f t="shared" si="45"/>
        <v>708.9</v>
      </c>
      <c r="X325" s="101">
        <f t="shared" si="46"/>
        <v>2479.7015999999999</v>
      </c>
      <c r="Y325" s="101">
        <f t="shared" si="47"/>
        <v>1349.1550200000001</v>
      </c>
      <c r="AA325" s="101">
        <v>0</v>
      </c>
      <c r="AB325" s="101">
        <v>0</v>
      </c>
      <c r="AC325" s="101">
        <v>0</v>
      </c>
      <c r="AD325" s="101">
        <v>0</v>
      </c>
      <c r="AE325" s="101">
        <v>0</v>
      </c>
      <c r="AF325" s="225"/>
      <c r="AG325" s="148"/>
      <c r="AH325" s="101">
        <v>30000</v>
      </c>
      <c r="AI325" s="101">
        <f t="shared" si="41"/>
        <v>24000</v>
      </c>
      <c r="AJ325" s="101">
        <f t="shared" si="42"/>
        <v>36000</v>
      </c>
    </row>
    <row r="326" spans="1:36" hidden="1" x14ac:dyDescent="0.3">
      <c r="A326" s="126" t="s">
        <v>176</v>
      </c>
      <c r="B326" s="126">
        <v>21</v>
      </c>
      <c r="C326" s="126">
        <v>26</v>
      </c>
      <c r="D326" s="126" t="str">
        <f t="shared" si="48"/>
        <v>2126</v>
      </c>
      <c r="E326" s="101">
        <v>75</v>
      </c>
      <c r="F326" s="101">
        <v>1756</v>
      </c>
      <c r="G326" s="101">
        <v>20217</v>
      </c>
      <c r="H326" s="101">
        <v>267662.77</v>
      </c>
      <c r="I326" s="101">
        <v>107445</v>
      </c>
      <c r="J326" s="101">
        <v>51</v>
      </c>
      <c r="K326" s="101">
        <v>1155</v>
      </c>
      <c r="L326" s="101">
        <v>12077</v>
      </c>
      <c r="M326" s="101">
        <v>316232.07</v>
      </c>
      <c r="N326" s="101">
        <v>184568.01300000001</v>
      </c>
      <c r="O326" s="101">
        <v>35</v>
      </c>
      <c r="P326" s="101">
        <v>1870</v>
      </c>
      <c r="Q326" s="101">
        <v>21239</v>
      </c>
      <c r="R326" s="101">
        <v>383428.61</v>
      </c>
      <c r="S326" s="101">
        <v>127098.481</v>
      </c>
      <c r="T326" s="133">
        <v>1.02</v>
      </c>
      <c r="U326" s="101">
        <f t="shared" ref="U326:U388" si="49">O326*T326</f>
        <v>35.700000000000003</v>
      </c>
      <c r="V326" s="101">
        <f t="shared" ref="V326:V388" si="50">P326*T326</f>
        <v>1907.4</v>
      </c>
      <c r="W326" s="101">
        <f t="shared" ref="W326:W388" si="51">Q326*T326</f>
        <v>21663.78</v>
      </c>
      <c r="X326" s="101">
        <f t="shared" ref="X326:X388" si="52">R326*T326</f>
        <v>391097.18219999998</v>
      </c>
      <c r="Y326" s="101">
        <f t="shared" ref="Y326:Y388" si="53">S326*T326</f>
        <v>129640.45062</v>
      </c>
      <c r="AA326" s="101">
        <v>26</v>
      </c>
      <c r="AB326" s="101">
        <v>895</v>
      </c>
      <c r="AC326" s="101">
        <v>19767</v>
      </c>
      <c r="AD326" s="101">
        <v>274401</v>
      </c>
      <c r="AE326" s="101">
        <v>93710</v>
      </c>
      <c r="AF326" s="225"/>
      <c r="AG326" s="148"/>
      <c r="AH326" s="101">
        <v>30000</v>
      </c>
      <c r="AI326" s="101">
        <f t="shared" si="41"/>
        <v>24000</v>
      </c>
      <c r="AJ326" s="101">
        <f t="shared" si="42"/>
        <v>36000</v>
      </c>
    </row>
    <row r="327" spans="1:36" hidden="1" x14ac:dyDescent="0.3">
      <c r="A327" s="126" t="s">
        <v>176</v>
      </c>
      <c r="B327" s="126">
        <v>21</v>
      </c>
      <c r="C327" s="126">
        <v>32</v>
      </c>
      <c r="D327" s="126" t="str">
        <f t="shared" si="48"/>
        <v>2132</v>
      </c>
      <c r="E327" s="101">
        <v>470</v>
      </c>
      <c r="F327" s="101">
        <v>1352</v>
      </c>
      <c r="G327" s="101">
        <v>18440</v>
      </c>
      <c r="H327" s="101">
        <v>161848.19</v>
      </c>
      <c r="I327" s="101">
        <v>42590.863999999994</v>
      </c>
      <c r="J327" s="101">
        <v>159</v>
      </c>
      <c r="K327" s="101">
        <v>1054</v>
      </c>
      <c r="L327" s="101">
        <v>21659</v>
      </c>
      <c r="M327" s="101">
        <v>157878.14000000001</v>
      </c>
      <c r="N327" s="101">
        <v>110564.75599999999</v>
      </c>
      <c r="O327" s="101">
        <v>318</v>
      </c>
      <c r="P327" s="101">
        <v>947</v>
      </c>
      <c r="Q327" s="101">
        <v>14369</v>
      </c>
      <c r="R327" s="101">
        <v>69579.759999999995</v>
      </c>
      <c r="S327" s="101">
        <v>74202.604999999996</v>
      </c>
      <c r="T327" s="133">
        <v>1.02</v>
      </c>
      <c r="U327" s="101">
        <f t="shared" si="49"/>
        <v>324.36</v>
      </c>
      <c r="V327" s="101">
        <f t="shared" si="50"/>
        <v>965.94</v>
      </c>
      <c r="W327" s="101">
        <f t="shared" si="51"/>
        <v>14656.380000000001</v>
      </c>
      <c r="X327" s="101">
        <f t="shared" si="52"/>
        <v>70971.355199999991</v>
      </c>
      <c r="Y327" s="101">
        <f t="shared" si="53"/>
        <v>75686.657099999997</v>
      </c>
      <c r="AA327" s="101">
        <v>217</v>
      </c>
      <c r="AB327" s="101">
        <v>1208</v>
      </c>
      <c r="AC327" s="101">
        <v>34586</v>
      </c>
      <c r="AD327" s="101">
        <v>184600</v>
      </c>
      <c r="AE327" s="101">
        <v>103555</v>
      </c>
      <c r="AF327" s="225"/>
      <c r="AG327" s="148"/>
      <c r="AH327" s="101">
        <v>30000</v>
      </c>
      <c r="AI327" s="101">
        <f t="shared" si="41"/>
        <v>24000</v>
      </c>
      <c r="AJ327" s="101">
        <f t="shared" si="42"/>
        <v>36000</v>
      </c>
    </row>
    <row r="328" spans="1:36" hidden="1" x14ac:dyDescent="0.3">
      <c r="A328" s="126" t="s">
        <v>176</v>
      </c>
      <c r="B328" s="126">
        <v>21</v>
      </c>
      <c r="C328" s="126">
        <v>21</v>
      </c>
      <c r="D328" s="126" t="str">
        <f t="shared" si="48"/>
        <v>2121</v>
      </c>
      <c r="E328" s="101">
        <v>1100.5</v>
      </c>
      <c r="F328" s="101">
        <v>4186</v>
      </c>
      <c r="G328" s="101">
        <v>19738</v>
      </c>
      <c r="H328" s="101">
        <v>314131.57500000007</v>
      </c>
      <c r="I328" s="101">
        <v>90612.6685</v>
      </c>
      <c r="J328" s="101">
        <v>266</v>
      </c>
      <c r="K328" s="101">
        <v>2365</v>
      </c>
      <c r="L328" s="101">
        <v>10179</v>
      </c>
      <c r="M328" s="101">
        <v>163370.18</v>
      </c>
      <c r="N328" s="101">
        <v>47883.493999999999</v>
      </c>
      <c r="O328" s="138"/>
      <c r="P328" s="138"/>
      <c r="Q328" s="138"/>
      <c r="R328" s="138"/>
      <c r="S328" s="138"/>
      <c r="T328" s="133">
        <v>1.02</v>
      </c>
      <c r="U328" s="101">
        <f t="shared" si="49"/>
        <v>0</v>
      </c>
      <c r="V328" s="101">
        <f t="shared" si="50"/>
        <v>0</v>
      </c>
      <c r="W328" s="101">
        <f t="shared" si="51"/>
        <v>0</v>
      </c>
      <c r="X328" s="101">
        <f t="shared" si="52"/>
        <v>0</v>
      </c>
      <c r="Y328" s="101">
        <f t="shared" si="53"/>
        <v>0</v>
      </c>
      <c r="AA328" s="101">
        <v>70</v>
      </c>
      <c r="AB328" s="101">
        <v>276</v>
      </c>
      <c r="AC328" s="101">
        <v>970</v>
      </c>
      <c r="AD328" s="101">
        <v>15869</v>
      </c>
      <c r="AE328" s="101">
        <v>7384</v>
      </c>
      <c r="AF328" s="225"/>
      <c r="AG328" s="148"/>
      <c r="AH328" s="101">
        <v>30000</v>
      </c>
      <c r="AI328" s="101">
        <f t="shared" si="41"/>
        <v>24000</v>
      </c>
      <c r="AJ328" s="101">
        <f t="shared" si="42"/>
        <v>36000</v>
      </c>
    </row>
    <row r="329" spans="1:36" hidden="1" x14ac:dyDescent="0.3">
      <c r="A329" s="126" t="s">
        <v>176</v>
      </c>
      <c r="B329" s="126">
        <v>21</v>
      </c>
      <c r="C329" s="126">
        <v>30</v>
      </c>
      <c r="D329" s="126" t="str">
        <f t="shared" si="48"/>
        <v>2130</v>
      </c>
      <c r="E329" s="101">
        <v>300</v>
      </c>
      <c r="F329" s="101">
        <v>3064.5</v>
      </c>
      <c r="G329" s="101">
        <v>11014.5</v>
      </c>
      <c r="H329" s="101">
        <v>252524.75000000003</v>
      </c>
      <c r="I329" s="101">
        <v>77095.439500000008</v>
      </c>
      <c r="J329" s="101">
        <v>139</v>
      </c>
      <c r="K329" s="101">
        <v>2674</v>
      </c>
      <c r="L329" s="101">
        <v>11000</v>
      </c>
      <c r="M329" s="101">
        <v>317933.01</v>
      </c>
      <c r="N329" s="101">
        <v>120235.59</v>
      </c>
      <c r="O329" s="138">
        <v>308</v>
      </c>
      <c r="P329" s="138">
        <v>4751</v>
      </c>
      <c r="Q329" s="138">
        <v>15952</v>
      </c>
      <c r="R329" s="138">
        <v>355385.18</v>
      </c>
      <c r="S329" s="138">
        <v>152399.62700000001</v>
      </c>
      <c r="T329" s="133">
        <v>1.02</v>
      </c>
      <c r="U329" s="101">
        <f t="shared" si="49"/>
        <v>314.16000000000003</v>
      </c>
      <c r="V329" s="101">
        <f t="shared" si="50"/>
        <v>4846.0200000000004</v>
      </c>
      <c r="W329" s="101">
        <f t="shared" si="51"/>
        <v>16271.04</v>
      </c>
      <c r="X329" s="101">
        <f t="shared" si="52"/>
        <v>362492.8836</v>
      </c>
      <c r="Y329" s="101">
        <f t="shared" si="53"/>
        <v>155447.61954000001</v>
      </c>
      <c r="AA329" s="101">
        <v>343</v>
      </c>
      <c r="AB329" s="101">
        <v>5765</v>
      </c>
      <c r="AC329" s="101">
        <v>19543</v>
      </c>
      <c r="AD329" s="101">
        <v>445197</v>
      </c>
      <c r="AE329" s="101">
        <v>155879</v>
      </c>
      <c r="AF329" s="225"/>
      <c r="AG329" s="148"/>
      <c r="AH329" s="101">
        <v>30000</v>
      </c>
      <c r="AI329" s="101">
        <f t="shared" si="41"/>
        <v>24000</v>
      </c>
      <c r="AJ329" s="101">
        <f t="shared" si="42"/>
        <v>36000</v>
      </c>
    </row>
    <row r="330" spans="1:36" x14ac:dyDescent="0.3">
      <c r="A330" s="126" t="s">
        <v>176</v>
      </c>
      <c r="B330" s="126">
        <v>21</v>
      </c>
      <c r="C330" s="126">
        <v>91</v>
      </c>
      <c r="D330" s="126" t="str">
        <f t="shared" si="48"/>
        <v>2191</v>
      </c>
      <c r="J330" s="101">
        <v>11</v>
      </c>
      <c r="K330" s="101">
        <v>16</v>
      </c>
      <c r="L330" s="101">
        <v>95</v>
      </c>
      <c r="M330" s="101">
        <v>1047.17</v>
      </c>
      <c r="N330" s="101">
        <v>297.53199999999998</v>
      </c>
      <c r="O330" s="101">
        <v>6</v>
      </c>
      <c r="P330" s="101">
        <v>7</v>
      </c>
      <c r="Q330" s="101">
        <v>7</v>
      </c>
      <c r="R330" s="101">
        <v>164.14</v>
      </c>
      <c r="S330" s="101">
        <v>114.911</v>
      </c>
      <c r="T330" s="133">
        <v>1.02</v>
      </c>
      <c r="U330" s="101">
        <f t="shared" si="49"/>
        <v>6.12</v>
      </c>
      <c r="V330" s="101">
        <f t="shared" si="50"/>
        <v>7.1400000000000006</v>
      </c>
      <c r="W330" s="101">
        <f t="shared" si="51"/>
        <v>7.1400000000000006</v>
      </c>
      <c r="X330" s="101">
        <f t="shared" si="52"/>
        <v>167.4228</v>
      </c>
      <c r="Y330" s="101">
        <f t="shared" si="53"/>
        <v>117.20922</v>
      </c>
      <c r="AA330" s="101">
        <v>5</v>
      </c>
      <c r="AB330" s="101">
        <v>21</v>
      </c>
      <c r="AC330" s="101">
        <v>59</v>
      </c>
      <c r="AD330" s="101">
        <v>971</v>
      </c>
      <c r="AE330" s="101">
        <v>522</v>
      </c>
      <c r="AF330" s="225"/>
      <c r="AG330" s="148"/>
      <c r="AH330" s="101"/>
      <c r="AI330" s="101"/>
      <c r="AJ330" s="101"/>
    </row>
    <row r="331" spans="1:36" hidden="1" x14ac:dyDescent="0.3">
      <c r="A331" s="126" t="s">
        <v>176</v>
      </c>
      <c r="B331" s="126">
        <v>21</v>
      </c>
      <c r="C331" s="126">
        <v>28</v>
      </c>
      <c r="D331" s="126" t="str">
        <f t="shared" si="48"/>
        <v>2128</v>
      </c>
      <c r="J331" s="101">
        <v>47</v>
      </c>
      <c r="K331" s="101">
        <v>52</v>
      </c>
      <c r="L331" s="101">
        <v>1007</v>
      </c>
      <c r="M331" s="101">
        <v>40766.67</v>
      </c>
      <c r="N331" s="101">
        <v>17909.394</v>
      </c>
      <c r="O331" s="101">
        <v>53</v>
      </c>
      <c r="P331" s="101">
        <v>607</v>
      </c>
      <c r="Q331" s="101">
        <v>2183</v>
      </c>
      <c r="R331" s="101">
        <v>48772.2</v>
      </c>
      <c r="S331" s="101">
        <v>10826.138999999999</v>
      </c>
      <c r="T331" s="133">
        <v>1.02</v>
      </c>
      <c r="U331" s="101">
        <f t="shared" si="49"/>
        <v>54.06</v>
      </c>
      <c r="V331" s="101">
        <f t="shared" si="50"/>
        <v>619.14</v>
      </c>
      <c r="W331" s="101">
        <f t="shared" si="51"/>
        <v>2226.66</v>
      </c>
      <c r="X331" s="101">
        <f t="shared" si="52"/>
        <v>49747.644</v>
      </c>
      <c r="Y331" s="101">
        <f t="shared" si="53"/>
        <v>11042.661779999999</v>
      </c>
      <c r="AA331" s="101">
        <v>60</v>
      </c>
      <c r="AB331" s="101">
        <v>162</v>
      </c>
      <c r="AC331" s="101">
        <v>688</v>
      </c>
      <c r="AD331" s="101">
        <v>18489</v>
      </c>
      <c r="AE331" s="101">
        <v>4449</v>
      </c>
      <c r="AF331" s="225"/>
      <c r="AG331" s="148"/>
      <c r="AH331" s="101"/>
      <c r="AI331" s="101"/>
      <c r="AJ331" s="101"/>
    </row>
    <row r="332" spans="1:36" hidden="1" x14ac:dyDescent="0.3">
      <c r="A332" s="126" t="s">
        <v>176</v>
      </c>
      <c r="B332" s="126">
        <v>21</v>
      </c>
      <c r="C332" s="126">
        <v>66</v>
      </c>
      <c r="D332" s="126" t="str">
        <f t="shared" si="48"/>
        <v>2166</v>
      </c>
      <c r="J332" s="101">
        <v>3</v>
      </c>
      <c r="K332" s="101">
        <v>4</v>
      </c>
      <c r="L332" s="101">
        <v>157</v>
      </c>
      <c r="M332" s="101">
        <v>1727.84</v>
      </c>
      <c r="N332" s="101">
        <v>418.46199999999999</v>
      </c>
      <c r="O332" s="101">
        <v>34</v>
      </c>
      <c r="P332" s="101">
        <v>79</v>
      </c>
      <c r="Q332" s="101">
        <v>4900</v>
      </c>
      <c r="R332" s="101">
        <v>21531.17</v>
      </c>
      <c r="S332" s="101">
        <v>14569.696</v>
      </c>
      <c r="T332" s="133">
        <v>1.02</v>
      </c>
      <c r="U332" s="101">
        <f t="shared" si="49"/>
        <v>34.68</v>
      </c>
      <c r="V332" s="101">
        <f t="shared" si="50"/>
        <v>80.58</v>
      </c>
      <c r="W332" s="101">
        <f t="shared" si="51"/>
        <v>4998</v>
      </c>
      <c r="X332" s="101">
        <f t="shared" si="52"/>
        <v>21961.793399999999</v>
      </c>
      <c r="Y332" s="101">
        <f t="shared" si="53"/>
        <v>14861.08992</v>
      </c>
      <c r="AA332" s="101">
        <v>16</v>
      </c>
      <c r="AB332" s="101">
        <v>66</v>
      </c>
      <c r="AC332" s="101">
        <v>1559</v>
      </c>
      <c r="AD332" s="101">
        <v>21063</v>
      </c>
      <c r="AE332" s="101">
        <v>9260</v>
      </c>
      <c r="AF332" s="225"/>
      <c r="AG332" s="148"/>
      <c r="AH332" s="101"/>
      <c r="AI332" s="101"/>
      <c r="AJ332" s="101"/>
    </row>
    <row r="333" spans="1:36" hidden="1" x14ac:dyDescent="0.3">
      <c r="A333" s="126" t="s">
        <v>176</v>
      </c>
      <c r="B333" s="126">
        <v>21</v>
      </c>
      <c r="C333" s="126">
        <v>46</v>
      </c>
      <c r="D333" s="126" t="str">
        <f t="shared" si="48"/>
        <v>2146</v>
      </c>
      <c r="J333" s="101">
        <v>11</v>
      </c>
      <c r="K333" s="101">
        <v>18</v>
      </c>
      <c r="L333" s="101">
        <v>3132</v>
      </c>
      <c r="M333" s="101">
        <v>16708.02</v>
      </c>
      <c r="N333" s="101">
        <v>3899.64</v>
      </c>
      <c r="O333" s="101">
        <v>3</v>
      </c>
      <c r="P333" s="101">
        <v>3</v>
      </c>
      <c r="Q333" s="101">
        <v>3</v>
      </c>
      <c r="R333" s="101">
        <v>69.290000000000006</v>
      </c>
      <c r="S333" s="101">
        <v>12.058999999999999</v>
      </c>
      <c r="T333" s="133">
        <v>1.02</v>
      </c>
      <c r="U333" s="101">
        <f t="shared" si="49"/>
        <v>3.06</v>
      </c>
      <c r="V333" s="101">
        <f t="shared" si="50"/>
        <v>3.06</v>
      </c>
      <c r="W333" s="101">
        <f t="shared" si="51"/>
        <v>3.06</v>
      </c>
      <c r="X333" s="101">
        <f t="shared" si="52"/>
        <v>70.67580000000001</v>
      </c>
      <c r="Y333" s="101">
        <f t="shared" si="53"/>
        <v>12.300179999999999</v>
      </c>
      <c r="AA333" s="101">
        <v>8</v>
      </c>
      <c r="AB333" s="101">
        <v>14</v>
      </c>
      <c r="AC333" s="101">
        <v>32</v>
      </c>
      <c r="AD333" s="101">
        <v>2936</v>
      </c>
      <c r="AE333" s="101">
        <v>397</v>
      </c>
      <c r="AF333" s="225"/>
      <c r="AG333" s="148"/>
      <c r="AH333" s="101"/>
      <c r="AI333" s="101"/>
      <c r="AJ333" s="101"/>
    </row>
    <row r="334" spans="1:36" hidden="1" x14ac:dyDescent="0.3">
      <c r="A334" s="126" t="s">
        <v>176</v>
      </c>
      <c r="B334" s="126">
        <v>21</v>
      </c>
      <c r="C334" s="126">
        <v>71</v>
      </c>
      <c r="D334" s="126" t="str">
        <f t="shared" si="48"/>
        <v>2171</v>
      </c>
      <c r="E334" s="101">
        <v>523</v>
      </c>
      <c r="F334" s="101">
        <v>4795.5</v>
      </c>
      <c r="G334" s="101">
        <v>13952</v>
      </c>
      <c r="H334" s="101">
        <v>73332.75</v>
      </c>
      <c r="I334" s="101">
        <v>34230.178499999995</v>
      </c>
      <c r="J334" s="101">
        <v>370</v>
      </c>
      <c r="K334" s="101">
        <v>6010</v>
      </c>
      <c r="L334" s="101">
        <v>18468</v>
      </c>
      <c r="M334" s="101">
        <v>119297.04</v>
      </c>
      <c r="N334" s="101">
        <v>66521.794999999998</v>
      </c>
      <c r="O334" s="101">
        <v>326</v>
      </c>
      <c r="P334" s="101">
        <v>6232</v>
      </c>
      <c r="Q334" s="101">
        <v>16015</v>
      </c>
      <c r="R334" s="101">
        <v>100340.46</v>
      </c>
      <c r="S334" s="101">
        <v>48797.213000000003</v>
      </c>
      <c r="T334" s="133">
        <v>0.98</v>
      </c>
      <c r="U334" s="101">
        <f t="shared" si="49"/>
        <v>319.48</v>
      </c>
      <c r="V334" s="101">
        <f t="shared" si="50"/>
        <v>6107.36</v>
      </c>
      <c r="W334" s="101">
        <f t="shared" si="51"/>
        <v>15694.699999999999</v>
      </c>
      <c r="X334" s="101">
        <f t="shared" si="52"/>
        <v>98333.650800000003</v>
      </c>
      <c r="Y334" s="101">
        <f t="shared" si="53"/>
        <v>47821.26874</v>
      </c>
      <c r="AA334" s="101">
        <v>220</v>
      </c>
      <c r="AB334" s="101">
        <v>6227</v>
      </c>
      <c r="AC334" s="101">
        <v>25538</v>
      </c>
      <c r="AD334" s="101">
        <v>141879</v>
      </c>
      <c r="AE334" s="101">
        <v>79348</v>
      </c>
      <c r="AF334" s="225"/>
      <c r="AG334" s="148"/>
      <c r="AH334" s="101">
        <v>30000</v>
      </c>
      <c r="AI334" s="101">
        <f t="shared" si="41"/>
        <v>24000</v>
      </c>
      <c r="AJ334" s="101">
        <f t="shared" si="42"/>
        <v>36000</v>
      </c>
    </row>
    <row r="335" spans="1:36" hidden="1" x14ac:dyDescent="0.3">
      <c r="A335" s="126" t="s">
        <v>176</v>
      </c>
      <c r="B335" s="126">
        <v>21</v>
      </c>
      <c r="C335" s="126">
        <v>41</v>
      </c>
      <c r="D335" s="126" t="str">
        <f t="shared" si="48"/>
        <v>2141</v>
      </c>
      <c r="O335" s="101">
        <v>4</v>
      </c>
      <c r="P335" s="101">
        <v>10</v>
      </c>
      <c r="Q335" s="101">
        <v>30</v>
      </c>
      <c r="R335" s="101">
        <v>555.24</v>
      </c>
      <c r="S335" s="101">
        <v>197.25700000000001</v>
      </c>
      <c r="T335" s="133">
        <v>1.02</v>
      </c>
      <c r="U335" s="101">
        <f t="shared" si="49"/>
        <v>4.08</v>
      </c>
      <c r="V335" s="101">
        <f t="shared" si="50"/>
        <v>10.199999999999999</v>
      </c>
      <c r="W335" s="101">
        <f t="shared" si="51"/>
        <v>30.6</v>
      </c>
      <c r="X335" s="101">
        <f t="shared" si="52"/>
        <v>566.34479999999996</v>
      </c>
      <c r="Y335" s="101">
        <f t="shared" si="53"/>
        <v>201.20214000000001</v>
      </c>
      <c r="AA335" s="101">
        <v>4</v>
      </c>
      <c r="AB335" s="101">
        <v>6</v>
      </c>
      <c r="AC335" s="101">
        <v>15</v>
      </c>
      <c r="AD335" s="101">
        <v>219</v>
      </c>
      <c r="AE335" s="101">
        <v>113</v>
      </c>
      <c r="AF335" s="225"/>
      <c r="AG335" s="148"/>
      <c r="AH335" s="101"/>
      <c r="AI335" s="101"/>
      <c r="AJ335" s="101"/>
    </row>
    <row r="336" spans="1:36" hidden="1" x14ac:dyDescent="0.3">
      <c r="A336" s="126" t="s">
        <v>176</v>
      </c>
      <c r="B336" s="126">
        <v>21</v>
      </c>
      <c r="C336" s="126">
        <v>1</v>
      </c>
      <c r="D336" s="126" t="str">
        <f t="shared" si="48"/>
        <v>211</v>
      </c>
      <c r="J336" s="101">
        <v>96</v>
      </c>
      <c r="K336" s="101">
        <v>96</v>
      </c>
      <c r="L336" s="101">
        <v>37050</v>
      </c>
      <c r="M336" s="101">
        <v>0</v>
      </c>
      <c r="N336" s="101">
        <v>209316</v>
      </c>
      <c r="O336" s="101">
        <v>150</v>
      </c>
      <c r="P336" s="101">
        <v>150</v>
      </c>
      <c r="Q336" s="101">
        <v>64016</v>
      </c>
      <c r="S336" s="101">
        <v>245868</v>
      </c>
      <c r="T336" s="133">
        <v>1.02</v>
      </c>
      <c r="U336" s="101">
        <f t="shared" si="49"/>
        <v>153</v>
      </c>
      <c r="V336" s="101">
        <f t="shared" si="50"/>
        <v>153</v>
      </c>
      <c r="W336" s="101">
        <f t="shared" si="51"/>
        <v>65296.32</v>
      </c>
      <c r="X336" s="101">
        <f t="shared" si="52"/>
        <v>0</v>
      </c>
      <c r="Y336" s="101">
        <f t="shared" si="53"/>
        <v>250785.36000000002</v>
      </c>
      <c r="AA336" s="101">
        <v>105</v>
      </c>
      <c r="AB336" s="101">
        <v>170</v>
      </c>
      <c r="AC336" s="101">
        <v>49965</v>
      </c>
      <c r="AE336" s="101">
        <v>140593.856</v>
      </c>
      <c r="AF336" s="225"/>
      <c r="AG336" s="148"/>
      <c r="AH336" s="101"/>
      <c r="AI336" s="101"/>
      <c r="AJ336" s="101"/>
    </row>
    <row r="337" spans="1:36" hidden="1" x14ac:dyDescent="0.3">
      <c r="A337" s="126" t="s">
        <v>176</v>
      </c>
      <c r="B337" s="126">
        <v>21</v>
      </c>
      <c r="C337" s="126">
        <v>37</v>
      </c>
      <c r="D337" s="126" t="str">
        <f t="shared" si="48"/>
        <v>2137</v>
      </c>
      <c r="E337" s="101">
        <v>7.5</v>
      </c>
      <c r="F337" s="101">
        <v>20.75</v>
      </c>
      <c r="G337" s="101">
        <v>774.5</v>
      </c>
      <c r="H337" s="101">
        <v>2393.8200000000002</v>
      </c>
      <c r="I337" s="101">
        <v>1150.8262499999998</v>
      </c>
      <c r="J337" s="101">
        <v>1</v>
      </c>
      <c r="K337" s="101">
        <v>2</v>
      </c>
      <c r="L337" s="101">
        <v>1127</v>
      </c>
      <c r="M337" s="101">
        <v>447.16</v>
      </c>
      <c r="N337" s="101">
        <v>22.54</v>
      </c>
      <c r="O337" s="101">
        <v>1</v>
      </c>
      <c r="P337" s="101">
        <v>3</v>
      </c>
      <c r="Q337" s="101">
        <v>3360</v>
      </c>
      <c r="R337" s="101">
        <v>4076.8</v>
      </c>
      <c r="S337" s="101">
        <v>2657.76</v>
      </c>
      <c r="T337" s="133">
        <v>1.02</v>
      </c>
      <c r="U337" s="101">
        <f t="shared" si="49"/>
        <v>1.02</v>
      </c>
      <c r="V337" s="101">
        <f t="shared" si="50"/>
        <v>3.06</v>
      </c>
      <c r="W337" s="101">
        <f t="shared" si="51"/>
        <v>3427.2000000000003</v>
      </c>
      <c r="X337" s="101">
        <f t="shared" si="52"/>
        <v>4158.3360000000002</v>
      </c>
      <c r="Y337" s="101">
        <f t="shared" si="53"/>
        <v>2710.9152000000004</v>
      </c>
      <c r="AA337" s="101">
        <v>0</v>
      </c>
      <c r="AB337" s="101">
        <v>0</v>
      </c>
      <c r="AC337" s="101">
        <v>0</v>
      </c>
      <c r="AD337" s="101">
        <v>0</v>
      </c>
      <c r="AE337" s="101">
        <v>0</v>
      </c>
      <c r="AF337" s="225"/>
      <c r="AG337" s="148"/>
      <c r="AH337" s="101">
        <v>30000</v>
      </c>
      <c r="AI337" s="101">
        <f t="shared" si="41"/>
        <v>24000</v>
      </c>
      <c r="AJ337" s="101">
        <f t="shared" si="42"/>
        <v>36000</v>
      </c>
    </row>
    <row r="338" spans="1:36" hidden="1" x14ac:dyDescent="0.3">
      <c r="A338" s="126" t="s">
        <v>176</v>
      </c>
      <c r="B338" s="126">
        <v>22</v>
      </c>
      <c r="C338" s="126">
        <v>22</v>
      </c>
      <c r="D338" s="126" t="str">
        <f t="shared" si="48"/>
        <v>2222</v>
      </c>
      <c r="E338" s="101">
        <v>527</v>
      </c>
      <c r="F338" s="101">
        <v>5288</v>
      </c>
      <c r="G338" s="101">
        <v>36238</v>
      </c>
      <c r="H338" s="101">
        <v>125541.51000000001</v>
      </c>
      <c r="I338" s="101">
        <v>105490.24599999998</v>
      </c>
      <c r="J338" s="101">
        <v>477</v>
      </c>
      <c r="K338" s="101">
        <v>3964</v>
      </c>
      <c r="L338" s="101">
        <v>27672</v>
      </c>
      <c r="M338" s="101">
        <v>178773</v>
      </c>
      <c r="N338" s="101">
        <v>90070</v>
      </c>
      <c r="O338" s="101">
        <v>485</v>
      </c>
      <c r="P338" s="101">
        <v>2790</v>
      </c>
      <c r="Q338" s="101">
        <v>21993</v>
      </c>
      <c r="R338" s="101">
        <v>149694.44</v>
      </c>
      <c r="S338" s="101">
        <v>96683.95</v>
      </c>
      <c r="T338" s="133">
        <v>1.02</v>
      </c>
      <c r="U338" s="101">
        <f t="shared" si="49"/>
        <v>494.7</v>
      </c>
      <c r="V338" s="101">
        <f t="shared" si="50"/>
        <v>2845.8</v>
      </c>
      <c r="W338" s="101">
        <f t="shared" si="51"/>
        <v>22432.86</v>
      </c>
      <c r="X338" s="101">
        <f t="shared" si="52"/>
        <v>152688.32880000002</v>
      </c>
      <c r="Y338" s="101">
        <f t="shared" si="53"/>
        <v>98617.629000000001</v>
      </c>
      <c r="AA338" s="101">
        <v>270</v>
      </c>
      <c r="AB338" s="101">
        <v>2004</v>
      </c>
      <c r="AC338" s="101">
        <v>30793</v>
      </c>
      <c r="AD338" s="101">
        <v>172916.03</v>
      </c>
      <c r="AE338" s="101">
        <v>119155.08500000001</v>
      </c>
      <c r="AF338" s="225">
        <f>SUM(AB338:AB353)</f>
        <v>16321</v>
      </c>
      <c r="AG338" s="148"/>
      <c r="AH338" s="101">
        <v>30000</v>
      </c>
      <c r="AI338" s="101">
        <f t="shared" si="41"/>
        <v>24000</v>
      </c>
      <c r="AJ338" s="101">
        <f t="shared" si="42"/>
        <v>36000</v>
      </c>
    </row>
    <row r="339" spans="1:36" hidden="1" x14ac:dyDescent="0.3">
      <c r="A339" s="126" t="s">
        <v>176</v>
      </c>
      <c r="B339" s="126">
        <v>22</v>
      </c>
      <c r="C339" s="126">
        <v>25</v>
      </c>
      <c r="D339" s="126" t="str">
        <f t="shared" si="48"/>
        <v>2225</v>
      </c>
      <c r="E339" s="101">
        <v>173</v>
      </c>
      <c r="F339" s="101">
        <v>1276</v>
      </c>
      <c r="G339" s="101">
        <v>69116</v>
      </c>
      <c r="H339" s="101">
        <v>570012.65</v>
      </c>
      <c r="I339" s="101">
        <v>379404.77599999995</v>
      </c>
      <c r="J339" s="101">
        <v>271</v>
      </c>
      <c r="K339" s="101">
        <v>3066</v>
      </c>
      <c r="L339" s="101">
        <v>40158</v>
      </c>
      <c r="M339" s="101">
        <v>589172</v>
      </c>
      <c r="N339" s="101">
        <v>236186</v>
      </c>
      <c r="O339" s="101">
        <v>185</v>
      </c>
      <c r="P339" s="101">
        <v>1987</v>
      </c>
      <c r="Q339" s="101">
        <v>63382</v>
      </c>
      <c r="R339" s="101">
        <v>542934.66</v>
      </c>
      <c r="S339" s="101">
        <v>349962.06099999999</v>
      </c>
      <c r="T339" s="133">
        <v>1.02</v>
      </c>
      <c r="U339" s="101">
        <f t="shared" si="49"/>
        <v>188.70000000000002</v>
      </c>
      <c r="V339" s="101">
        <f t="shared" si="50"/>
        <v>2026.74</v>
      </c>
      <c r="W339" s="101">
        <f t="shared" si="51"/>
        <v>64649.64</v>
      </c>
      <c r="X339" s="101">
        <f t="shared" si="52"/>
        <v>553793.35320000001</v>
      </c>
      <c r="Y339" s="101">
        <f t="shared" si="53"/>
        <v>356961.30222000001</v>
      </c>
      <c r="AA339" s="101">
        <v>294</v>
      </c>
      <c r="AB339" s="101">
        <v>1923</v>
      </c>
      <c r="AC339" s="101">
        <v>20829</v>
      </c>
      <c r="AD339" s="101">
        <v>170569.25</v>
      </c>
      <c r="AE339" s="101">
        <v>81388.514999999999</v>
      </c>
      <c r="AF339" s="225"/>
      <c r="AG339" s="148"/>
      <c r="AH339" s="101">
        <v>30000</v>
      </c>
      <c r="AI339" s="101">
        <f t="shared" si="41"/>
        <v>24000</v>
      </c>
      <c r="AJ339" s="101">
        <f t="shared" si="42"/>
        <v>36000</v>
      </c>
    </row>
    <row r="340" spans="1:36" hidden="1" x14ac:dyDescent="0.3">
      <c r="A340" s="126" t="s">
        <v>176</v>
      </c>
      <c r="B340" s="126">
        <v>22</v>
      </c>
      <c r="C340" s="126">
        <v>27</v>
      </c>
      <c r="D340" s="126" t="str">
        <f t="shared" si="48"/>
        <v>2227</v>
      </c>
      <c r="E340" s="101">
        <v>5</v>
      </c>
      <c r="F340" s="101">
        <v>328</v>
      </c>
      <c r="G340" s="101">
        <v>3536</v>
      </c>
      <c r="H340" s="101">
        <v>35859.840000000004</v>
      </c>
      <c r="I340" s="101">
        <v>12224.396000000001</v>
      </c>
      <c r="J340" s="101">
        <v>45</v>
      </c>
      <c r="K340" s="101">
        <v>54</v>
      </c>
      <c r="L340" s="101">
        <v>406</v>
      </c>
      <c r="M340" s="101">
        <v>6297</v>
      </c>
      <c r="N340" s="101">
        <v>2598</v>
      </c>
      <c r="O340" s="101">
        <v>5</v>
      </c>
      <c r="P340" s="101">
        <v>29</v>
      </c>
      <c r="Q340" s="101">
        <v>302</v>
      </c>
      <c r="R340" s="101">
        <v>4096.75</v>
      </c>
      <c r="S340" s="101">
        <v>2097.7310000000002</v>
      </c>
      <c r="T340" s="133">
        <v>1.02</v>
      </c>
      <c r="U340" s="101">
        <f t="shared" si="49"/>
        <v>5.0999999999999996</v>
      </c>
      <c r="V340" s="101">
        <f t="shared" si="50"/>
        <v>29.580000000000002</v>
      </c>
      <c r="W340" s="101">
        <f t="shared" si="51"/>
        <v>308.04000000000002</v>
      </c>
      <c r="X340" s="101">
        <f t="shared" si="52"/>
        <v>4178.6850000000004</v>
      </c>
      <c r="Y340" s="101">
        <f t="shared" si="53"/>
        <v>2139.6856200000002</v>
      </c>
      <c r="AA340" s="101">
        <v>2</v>
      </c>
      <c r="AB340" s="101">
        <v>29</v>
      </c>
      <c r="AC340" s="101">
        <v>187</v>
      </c>
      <c r="AD340" s="101">
        <v>2548.1799999999998</v>
      </c>
      <c r="AE340" s="101">
        <v>1055.1600000000001</v>
      </c>
      <c r="AF340" s="225"/>
      <c r="AG340" s="148"/>
      <c r="AH340" s="101">
        <v>30000</v>
      </c>
      <c r="AI340" s="101">
        <f t="shared" si="41"/>
        <v>24000</v>
      </c>
      <c r="AJ340" s="101">
        <f t="shared" si="42"/>
        <v>36000</v>
      </c>
    </row>
    <row r="341" spans="1:36" hidden="1" x14ac:dyDescent="0.3">
      <c r="A341" s="126" t="s">
        <v>176</v>
      </c>
      <c r="B341" s="126">
        <v>22</v>
      </c>
      <c r="C341" s="126">
        <v>26</v>
      </c>
      <c r="D341" s="126" t="str">
        <f t="shared" si="48"/>
        <v>2226</v>
      </c>
      <c r="E341" s="101">
        <v>84</v>
      </c>
      <c r="F341" s="101">
        <v>1838</v>
      </c>
      <c r="G341" s="101">
        <v>20876</v>
      </c>
      <c r="H341" s="101">
        <v>269474.53999999998</v>
      </c>
      <c r="I341" s="101">
        <v>109318.726</v>
      </c>
      <c r="J341" s="101">
        <v>75</v>
      </c>
      <c r="K341" s="101">
        <v>2388</v>
      </c>
      <c r="L341" s="101">
        <v>26325</v>
      </c>
      <c r="M341" s="101">
        <v>374842</v>
      </c>
      <c r="N341" s="101">
        <v>133551</v>
      </c>
      <c r="O341" s="101">
        <v>12</v>
      </c>
      <c r="P341" s="101">
        <v>180</v>
      </c>
      <c r="Q341" s="101">
        <v>2849</v>
      </c>
      <c r="R341" s="101">
        <v>36120.36</v>
      </c>
      <c r="S341" s="101">
        <v>16114.668</v>
      </c>
      <c r="T341" s="133">
        <v>1.02</v>
      </c>
      <c r="U341" s="101">
        <f t="shared" si="49"/>
        <v>12.24</v>
      </c>
      <c r="V341" s="101">
        <f t="shared" si="50"/>
        <v>183.6</v>
      </c>
      <c r="W341" s="101">
        <f t="shared" si="51"/>
        <v>2905.98</v>
      </c>
      <c r="X341" s="101">
        <f t="shared" si="52"/>
        <v>36842.767200000002</v>
      </c>
      <c r="Y341" s="101">
        <f t="shared" si="53"/>
        <v>16436.961360000001</v>
      </c>
      <c r="AA341" s="101">
        <v>8</v>
      </c>
      <c r="AB341" s="101">
        <v>208</v>
      </c>
      <c r="AC341" s="101">
        <v>686</v>
      </c>
      <c r="AD341" s="101">
        <v>9889.6</v>
      </c>
      <c r="AE341" s="101">
        <v>2545.8049999999998</v>
      </c>
      <c r="AF341" s="225"/>
      <c r="AH341" s="101">
        <v>30000</v>
      </c>
      <c r="AI341" s="101">
        <f t="shared" si="41"/>
        <v>24000</v>
      </c>
      <c r="AJ341" s="101">
        <f t="shared" si="42"/>
        <v>36000</v>
      </c>
    </row>
    <row r="342" spans="1:36" hidden="1" x14ac:dyDescent="0.3">
      <c r="A342" s="126" t="s">
        <v>176</v>
      </c>
      <c r="B342" s="126">
        <v>22</v>
      </c>
      <c r="C342" s="126">
        <v>32</v>
      </c>
      <c r="D342" s="126" t="str">
        <f t="shared" si="48"/>
        <v>2232</v>
      </c>
      <c r="E342" s="101">
        <v>502</v>
      </c>
      <c r="F342" s="101">
        <v>2946</v>
      </c>
      <c r="G342" s="101">
        <v>70372</v>
      </c>
      <c r="H342" s="101">
        <v>959141.35000000009</v>
      </c>
      <c r="I342" s="101">
        <v>412098.94799999997</v>
      </c>
      <c r="J342" s="101">
        <v>297</v>
      </c>
      <c r="K342" s="101">
        <v>1546</v>
      </c>
      <c r="L342" s="101">
        <v>21725</v>
      </c>
      <c r="M342" s="101">
        <v>150875</v>
      </c>
      <c r="N342" s="101">
        <v>43941</v>
      </c>
      <c r="O342" s="101">
        <v>176</v>
      </c>
      <c r="P342" s="101">
        <v>834</v>
      </c>
      <c r="Q342" s="101">
        <v>21006</v>
      </c>
      <c r="R342" s="101">
        <v>158412.20000000001</v>
      </c>
      <c r="S342" s="101">
        <v>87587.258000000002</v>
      </c>
      <c r="T342" s="133">
        <v>1.02</v>
      </c>
      <c r="U342" s="101">
        <f t="shared" si="49"/>
        <v>179.52</v>
      </c>
      <c r="V342" s="101">
        <f t="shared" si="50"/>
        <v>850.68000000000006</v>
      </c>
      <c r="W342" s="101">
        <f t="shared" si="51"/>
        <v>21426.12</v>
      </c>
      <c r="X342" s="101">
        <f t="shared" si="52"/>
        <v>161580.44400000002</v>
      </c>
      <c r="Y342" s="101">
        <f t="shared" si="53"/>
        <v>89339.003160000007</v>
      </c>
      <c r="AA342" s="101">
        <v>263</v>
      </c>
      <c r="AB342" s="101">
        <v>1288</v>
      </c>
      <c r="AC342" s="101">
        <v>21171</v>
      </c>
      <c r="AD342" s="101">
        <v>185370.63</v>
      </c>
      <c r="AE342" s="101">
        <v>82893.254000000001</v>
      </c>
      <c r="AF342" s="225"/>
      <c r="AH342" s="101">
        <v>30000</v>
      </c>
      <c r="AI342" s="101">
        <f t="shared" si="41"/>
        <v>24000</v>
      </c>
      <c r="AJ342" s="101">
        <f t="shared" si="42"/>
        <v>36000</v>
      </c>
    </row>
    <row r="343" spans="1:36" hidden="1" x14ac:dyDescent="0.3">
      <c r="A343" s="126" t="s">
        <v>176</v>
      </c>
      <c r="B343" s="126">
        <v>22</v>
      </c>
      <c r="C343" s="126">
        <v>21</v>
      </c>
      <c r="D343" s="126" t="str">
        <f t="shared" si="48"/>
        <v>2221</v>
      </c>
      <c r="E343" s="101">
        <v>1079</v>
      </c>
      <c r="F343" s="101">
        <v>4333</v>
      </c>
      <c r="G343" s="101">
        <v>21245.5</v>
      </c>
      <c r="H343" s="101">
        <v>391546.04500000004</v>
      </c>
      <c r="I343" s="101">
        <v>115710.5595</v>
      </c>
      <c r="J343" s="101">
        <v>359</v>
      </c>
      <c r="K343" s="101">
        <v>2428</v>
      </c>
      <c r="L343" s="101">
        <v>15408</v>
      </c>
      <c r="M343" s="101">
        <v>147851</v>
      </c>
      <c r="N343" s="101">
        <v>43592</v>
      </c>
      <c r="O343" s="138"/>
      <c r="P343" s="138"/>
      <c r="Q343" s="138"/>
      <c r="R343" s="138"/>
      <c r="S343" s="138"/>
      <c r="T343" s="133">
        <v>1.02</v>
      </c>
      <c r="U343" s="101">
        <f t="shared" si="49"/>
        <v>0</v>
      </c>
      <c r="V343" s="101">
        <f t="shared" si="50"/>
        <v>0</v>
      </c>
      <c r="W343" s="101">
        <f t="shared" si="51"/>
        <v>0</v>
      </c>
      <c r="X343" s="101">
        <f t="shared" si="52"/>
        <v>0</v>
      </c>
      <c r="Y343" s="101">
        <f t="shared" si="53"/>
        <v>0</v>
      </c>
      <c r="AA343" s="101">
        <v>56</v>
      </c>
      <c r="AB343" s="101">
        <v>171</v>
      </c>
      <c r="AC343" s="101">
        <v>821</v>
      </c>
      <c r="AD343" s="101">
        <v>17574.939999999999</v>
      </c>
      <c r="AE343" s="101">
        <v>5094.3680000000004</v>
      </c>
      <c r="AF343" s="225"/>
      <c r="AH343" s="101">
        <v>30000</v>
      </c>
      <c r="AI343" s="101">
        <f t="shared" si="41"/>
        <v>24000</v>
      </c>
      <c r="AJ343" s="101">
        <f t="shared" si="42"/>
        <v>36000</v>
      </c>
    </row>
    <row r="344" spans="1:36" hidden="1" x14ac:dyDescent="0.3">
      <c r="A344" s="126" t="s">
        <v>176</v>
      </c>
      <c r="B344" s="126">
        <v>22</v>
      </c>
      <c r="C344" s="126">
        <v>30</v>
      </c>
      <c r="D344" s="126" t="str">
        <f t="shared" si="48"/>
        <v>2230</v>
      </c>
      <c r="E344" s="101">
        <v>299</v>
      </c>
      <c r="F344" s="101">
        <v>2498.5</v>
      </c>
      <c r="G344" s="101">
        <v>9970</v>
      </c>
      <c r="H344" s="101">
        <v>239190.27499999999</v>
      </c>
      <c r="I344" s="101">
        <v>79131.076499999996</v>
      </c>
      <c r="J344" s="101">
        <v>213</v>
      </c>
      <c r="K344" s="101">
        <v>2879</v>
      </c>
      <c r="L344" s="101">
        <v>11483</v>
      </c>
      <c r="M344" s="101">
        <v>261192</v>
      </c>
      <c r="N344" s="101">
        <v>91673</v>
      </c>
      <c r="O344" s="138">
        <v>377</v>
      </c>
      <c r="P344" s="138">
        <v>4957</v>
      </c>
      <c r="Q344" s="138">
        <v>15997</v>
      </c>
      <c r="R344" s="138">
        <v>357230.34</v>
      </c>
      <c r="S344" s="138">
        <v>118408.777</v>
      </c>
      <c r="T344" s="133">
        <v>1.02</v>
      </c>
      <c r="U344" s="101">
        <f t="shared" si="49"/>
        <v>384.54</v>
      </c>
      <c r="V344" s="101">
        <f t="shared" si="50"/>
        <v>5056.1400000000003</v>
      </c>
      <c r="W344" s="101">
        <f t="shared" si="51"/>
        <v>16316.94</v>
      </c>
      <c r="X344" s="101">
        <f t="shared" si="52"/>
        <v>364374.94680000003</v>
      </c>
      <c r="Y344" s="101">
        <f t="shared" si="53"/>
        <v>120776.95254</v>
      </c>
      <c r="AA344" s="101">
        <v>253</v>
      </c>
      <c r="AB344" s="101">
        <v>5341</v>
      </c>
      <c r="AC344" s="101">
        <v>17520</v>
      </c>
      <c r="AD344" s="101">
        <v>432407.3</v>
      </c>
      <c r="AE344" s="101">
        <v>147065.095</v>
      </c>
      <c r="AF344" s="225"/>
      <c r="AH344" s="101">
        <v>30000</v>
      </c>
      <c r="AI344" s="101">
        <f t="shared" si="41"/>
        <v>24000</v>
      </c>
      <c r="AJ344" s="101">
        <f t="shared" si="42"/>
        <v>36000</v>
      </c>
    </row>
    <row r="345" spans="1:36" x14ac:dyDescent="0.3">
      <c r="A345" s="126" t="s">
        <v>176</v>
      </c>
      <c r="B345" s="126">
        <v>22</v>
      </c>
      <c r="C345" s="126">
        <v>91</v>
      </c>
      <c r="D345" s="126" t="str">
        <f t="shared" si="48"/>
        <v>2291</v>
      </c>
      <c r="J345" s="101">
        <v>8</v>
      </c>
      <c r="K345" s="101">
        <v>8</v>
      </c>
      <c r="L345" s="101">
        <v>33</v>
      </c>
      <c r="M345" s="101">
        <v>1495</v>
      </c>
      <c r="N345" s="101">
        <v>842</v>
      </c>
      <c r="O345" s="101">
        <v>7</v>
      </c>
      <c r="P345" s="101">
        <v>18</v>
      </c>
      <c r="Q345" s="101">
        <v>22</v>
      </c>
      <c r="R345" s="101">
        <v>205.48</v>
      </c>
      <c r="S345" s="101">
        <v>195.51400000000001</v>
      </c>
      <c r="T345" s="133">
        <v>1.02</v>
      </c>
      <c r="U345" s="101">
        <f t="shared" si="49"/>
        <v>7.1400000000000006</v>
      </c>
      <c r="V345" s="101">
        <f t="shared" si="50"/>
        <v>18.36</v>
      </c>
      <c r="W345" s="101">
        <f t="shared" si="51"/>
        <v>22.44</v>
      </c>
      <c r="X345" s="101">
        <f t="shared" si="52"/>
        <v>209.58959999999999</v>
      </c>
      <c r="Y345" s="101">
        <f t="shared" si="53"/>
        <v>199.42428000000001</v>
      </c>
      <c r="AA345" s="101">
        <v>0</v>
      </c>
      <c r="AB345" s="101">
        <v>0</v>
      </c>
      <c r="AC345" s="101">
        <v>0</v>
      </c>
      <c r="AD345" s="101">
        <v>0</v>
      </c>
      <c r="AE345" s="101">
        <v>0</v>
      </c>
      <c r="AF345" s="225"/>
      <c r="AH345" s="101"/>
      <c r="AI345" s="101"/>
      <c r="AJ345" s="101"/>
    </row>
    <row r="346" spans="1:36" hidden="1" x14ac:dyDescent="0.3">
      <c r="A346" s="126" t="s">
        <v>176</v>
      </c>
      <c r="B346" s="126">
        <v>22</v>
      </c>
      <c r="C346" s="126">
        <v>66</v>
      </c>
      <c r="D346" s="126" t="str">
        <f t="shared" si="48"/>
        <v>2266</v>
      </c>
      <c r="J346" s="101">
        <v>34</v>
      </c>
      <c r="K346" s="101">
        <v>102</v>
      </c>
      <c r="L346" s="101">
        <v>2206</v>
      </c>
      <c r="M346" s="101">
        <v>8132</v>
      </c>
      <c r="N346" s="101">
        <v>16586</v>
      </c>
      <c r="O346" s="101">
        <v>11</v>
      </c>
      <c r="P346" s="101">
        <v>18</v>
      </c>
      <c r="Q346" s="101">
        <v>406</v>
      </c>
      <c r="R346" s="101">
        <v>3496.38</v>
      </c>
      <c r="S346" s="101">
        <v>2080.4549999999999</v>
      </c>
      <c r="T346" s="133">
        <v>1.02</v>
      </c>
      <c r="U346" s="101">
        <f t="shared" si="49"/>
        <v>11.22</v>
      </c>
      <c r="V346" s="101">
        <f t="shared" si="50"/>
        <v>18.36</v>
      </c>
      <c r="W346" s="101">
        <f t="shared" si="51"/>
        <v>414.12</v>
      </c>
      <c r="X346" s="101">
        <f t="shared" si="52"/>
        <v>3566.3076000000001</v>
      </c>
      <c r="Y346" s="101">
        <f t="shared" si="53"/>
        <v>2122.0641000000001</v>
      </c>
      <c r="AA346" s="101">
        <v>6</v>
      </c>
      <c r="AB346" s="101">
        <v>21</v>
      </c>
      <c r="AC346" s="101">
        <v>442</v>
      </c>
      <c r="AD346" s="101">
        <v>7073.76</v>
      </c>
      <c r="AE346" s="101">
        <v>4519.1530000000002</v>
      </c>
      <c r="AF346" s="225"/>
      <c r="AH346" s="101"/>
      <c r="AI346" s="101"/>
      <c r="AJ346" s="101"/>
    </row>
    <row r="347" spans="1:36" hidden="1" x14ac:dyDescent="0.3">
      <c r="A347" s="126" t="s">
        <v>176</v>
      </c>
      <c r="B347" s="126">
        <v>22</v>
      </c>
      <c r="C347" s="126">
        <v>46</v>
      </c>
      <c r="D347" s="126" t="str">
        <f t="shared" si="48"/>
        <v>2246</v>
      </c>
      <c r="J347" s="101">
        <v>11</v>
      </c>
      <c r="K347" s="101">
        <v>16</v>
      </c>
      <c r="L347" s="101">
        <v>264</v>
      </c>
      <c r="M347" s="101">
        <v>3550</v>
      </c>
      <c r="N347" s="101">
        <v>532</v>
      </c>
      <c r="O347" s="101">
        <v>4</v>
      </c>
      <c r="P347" s="101">
        <v>11</v>
      </c>
      <c r="Q347" s="101">
        <v>32</v>
      </c>
      <c r="R347" s="101">
        <v>632.77</v>
      </c>
      <c r="S347" s="101">
        <v>47.942</v>
      </c>
      <c r="T347" s="133">
        <v>1.02</v>
      </c>
      <c r="U347" s="101">
        <f t="shared" si="49"/>
        <v>4.08</v>
      </c>
      <c r="V347" s="101">
        <f t="shared" si="50"/>
        <v>11.22</v>
      </c>
      <c r="W347" s="101">
        <f t="shared" si="51"/>
        <v>32.64</v>
      </c>
      <c r="X347" s="101">
        <f t="shared" si="52"/>
        <v>645.42539999999997</v>
      </c>
      <c r="Y347" s="101">
        <f t="shared" si="53"/>
        <v>48.900840000000002</v>
      </c>
      <c r="AA347" s="101">
        <v>3</v>
      </c>
      <c r="AB347" s="101">
        <v>3</v>
      </c>
      <c r="AC347" s="101">
        <v>18</v>
      </c>
      <c r="AD347" s="101">
        <v>413.66</v>
      </c>
      <c r="AE347" s="101">
        <v>42.465000000000003</v>
      </c>
      <c r="AF347" s="225"/>
      <c r="AH347" s="101"/>
      <c r="AI347" s="101"/>
      <c r="AJ347" s="101"/>
    </row>
    <row r="348" spans="1:36" hidden="1" x14ac:dyDescent="0.3">
      <c r="A348" s="126" t="s">
        <v>176</v>
      </c>
      <c r="B348" s="126">
        <v>22</v>
      </c>
      <c r="C348" s="126">
        <v>28</v>
      </c>
      <c r="D348" s="126" t="str">
        <f t="shared" si="48"/>
        <v>2228</v>
      </c>
      <c r="J348" s="101">
        <v>43</v>
      </c>
      <c r="K348" s="101">
        <v>83</v>
      </c>
      <c r="L348" s="101">
        <v>1431</v>
      </c>
      <c r="M348" s="101">
        <v>20393</v>
      </c>
      <c r="N348" s="101">
        <v>5031</v>
      </c>
      <c r="O348" s="101">
        <v>61</v>
      </c>
      <c r="P348" s="101">
        <v>248</v>
      </c>
      <c r="Q348" s="101">
        <v>3322</v>
      </c>
      <c r="R348" s="101">
        <v>218241.77</v>
      </c>
      <c r="S348" s="101">
        <v>72343.868000000002</v>
      </c>
      <c r="T348" s="133">
        <v>1.02</v>
      </c>
      <c r="U348" s="101">
        <f t="shared" si="49"/>
        <v>62.22</v>
      </c>
      <c r="V348" s="101">
        <f t="shared" si="50"/>
        <v>252.96</v>
      </c>
      <c r="W348" s="101">
        <f t="shared" si="51"/>
        <v>3388.44</v>
      </c>
      <c r="X348" s="101">
        <f t="shared" si="52"/>
        <v>222606.6054</v>
      </c>
      <c r="Y348" s="101">
        <f t="shared" si="53"/>
        <v>73790.745360000001</v>
      </c>
      <c r="AA348" s="101">
        <v>53</v>
      </c>
      <c r="AB348" s="101">
        <v>250</v>
      </c>
      <c r="AC348" s="101">
        <v>1974</v>
      </c>
      <c r="AD348" s="101">
        <v>27216.3</v>
      </c>
      <c r="AE348" s="101">
        <v>8427.1190000000006</v>
      </c>
      <c r="AF348" s="225"/>
      <c r="AH348" s="101"/>
      <c r="AI348" s="101"/>
      <c r="AJ348" s="101"/>
    </row>
    <row r="349" spans="1:36" hidden="1" x14ac:dyDescent="0.3">
      <c r="A349" s="126" t="s">
        <v>176</v>
      </c>
      <c r="B349" s="126">
        <v>22</v>
      </c>
      <c r="C349" s="126">
        <v>71</v>
      </c>
      <c r="D349" s="126" t="str">
        <f t="shared" si="48"/>
        <v>2271</v>
      </c>
      <c r="E349" s="101">
        <v>542.5</v>
      </c>
      <c r="F349" s="101">
        <v>4696.5</v>
      </c>
      <c r="G349" s="101">
        <v>12821.5</v>
      </c>
      <c r="H349" s="101">
        <v>101696.21</v>
      </c>
      <c r="I349" s="101">
        <v>43907.526500000007</v>
      </c>
      <c r="J349" s="101">
        <v>677</v>
      </c>
      <c r="K349" s="101">
        <v>5831</v>
      </c>
      <c r="L349" s="101">
        <v>19269</v>
      </c>
      <c r="M349" s="101">
        <v>154601</v>
      </c>
      <c r="N349" s="101">
        <v>81045</v>
      </c>
      <c r="O349" s="101">
        <v>393</v>
      </c>
      <c r="P349" s="101">
        <v>6395</v>
      </c>
      <c r="Q349" s="101">
        <v>19320</v>
      </c>
      <c r="R349" s="101">
        <v>154201.34</v>
      </c>
      <c r="S349" s="101">
        <v>74323.635999999999</v>
      </c>
      <c r="T349" s="133">
        <v>0.98</v>
      </c>
      <c r="U349" s="101">
        <f t="shared" si="49"/>
        <v>385.14</v>
      </c>
      <c r="V349" s="101">
        <f t="shared" si="50"/>
        <v>6267.0999999999995</v>
      </c>
      <c r="W349" s="101">
        <f t="shared" si="51"/>
        <v>18933.599999999999</v>
      </c>
      <c r="X349" s="101">
        <f t="shared" si="52"/>
        <v>151117.3132</v>
      </c>
      <c r="Y349" s="101">
        <f t="shared" si="53"/>
        <v>72837.163279999993</v>
      </c>
      <c r="AA349" s="101">
        <v>157</v>
      </c>
      <c r="AB349" s="101">
        <v>4916</v>
      </c>
      <c r="AC349" s="101">
        <v>16459</v>
      </c>
      <c r="AD349" s="101">
        <v>103697.75</v>
      </c>
      <c r="AE349" s="101">
        <v>49043.663999999997</v>
      </c>
      <c r="AF349" s="225"/>
      <c r="AH349" s="101">
        <v>30000</v>
      </c>
      <c r="AI349" s="101">
        <f t="shared" si="41"/>
        <v>24000</v>
      </c>
      <c r="AJ349" s="101">
        <f t="shared" si="42"/>
        <v>36000</v>
      </c>
    </row>
    <row r="350" spans="1:36" hidden="1" x14ac:dyDescent="0.3">
      <c r="A350" s="126" t="s">
        <v>176</v>
      </c>
      <c r="B350" s="126">
        <v>22</v>
      </c>
      <c r="C350" s="126">
        <v>41</v>
      </c>
      <c r="D350" s="126" t="str">
        <f t="shared" si="48"/>
        <v>2241</v>
      </c>
      <c r="O350" s="101">
        <v>3</v>
      </c>
      <c r="P350" s="101">
        <v>3</v>
      </c>
      <c r="Q350" s="101">
        <v>72</v>
      </c>
      <c r="R350" s="101">
        <v>887.66</v>
      </c>
      <c r="S350" s="101">
        <v>165.83799999999999</v>
      </c>
      <c r="T350" s="133">
        <v>1.02</v>
      </c>
      <c r="U350" s="101">
        <f t="shared" si="49"/>
        <v>3.06</v>
      </c>
      <c r="V350" s="101">
        <f t="shared" si="50"/>
        <v>3.06</v>
      </c>
      <c r="W350" s="101">
        <f t="shared" si="51"/>
        <v>73.44</v>
      </c>
      <c r="X350" s="101">
        <f t="shared" si="52"/>
        <v>905.41319999999996</v>
      </c>
      <c r="Y350" s="101">
        <f t="shared" si="53"/>
        <v>169.15476000000001</v>
      </c>
      <c r="AA350" s="101">
        <v>2</v>
      </c>
      <c r="AB350" s="101">
        <v>4</v>
      </c>
      <c r="AC350" s="101">
        <v>74</v>
      </c>
      <c r="AD350" s="101">
        <v>693.22</v>
      </c>
      <c r="AE350" s="101">
        <v>178.39</v>
      </c>
      <c r="AF350" s="225"/>
      <c r="AH350" s="101"/>
      <c r="AI350" s="101"/>
      <c r="AJ350" s="101"/>
    </row>
    <row r="351" spans="1:36" hidden="1" x14ac:dyDescent="0.3">
      <c r="A351" s="126" t="s">
        <v>176</v>
      </c>
      <c r="B351" s="126">
        <v>22</v>
      </c>
      <c r="C351" s="126">
        <v>35</v>
      </c>
      <c r="D351" s="126" t="str">
        <f t="shared" si="48"/>
        <v>2235</v>
      </c>
      <c r="O351" s="101">
        <v>1</v>
      </c>
      <c r="P351" s="101">
        <v>1</v>
      </c>
      <c r="Q351" s="101">
        <v>2</v>
      </c>
      <c r="R351" s="101">
        <v>0</v>
      </c>
      <c r="S351" s="101">
        <v>27.72</v>
      </c>
      <c r="T351" s="133">
        <v>1.02</v>
      </c>
      <c r="U351" s="101">
        <f t="shared" si="49"/>
        <v>1.02</v>
      </c>
      <c r="V351" s="101">
        <f t="shared" si="50"/>
        <v>1.02</v>
      </c>
      <c r="W351" s="101">
        <f t="shared" si="51"/>
        <v>2.04</v>
      </c>
      <c r="X351" s="101">
        <f t="shared" si="52"/>
        <v>0</v>
      </c>
      <c r="Y351" s="101">
        <f t="shared" si="53"/>
        <v>28.2744</v>
      </c>
      <c r="AA351" s="101">
        <v>0</v>
      </c>
      <c r="AB351" s="101">
        <v>0</v>
      </c>
      <c r="AC351" s="101">
        <v>0</v>
      </c>
      <c r="AD351" s="101">
        <v>0</v>
      </c>
      <c r="AE351" s="101">
        <v>0</v>
      </c>
      <c r="AF351" s="225"/>
      <c r="AH351" s="101"/>
      <c r="AI351" s="101"/>
      <c r="AJ351" s="101"/>
    </row>
    <row r="352" spans="1:36" hidden="1" x14ac:dyDescent="0.3">
      <c r="A352" s="126" t="s">
        <v>176</v>
      </c>
      <c r="B352" s="126">
        <v>22</v>
      </c>
      <c r="C352" s="126">
        <v>1</v>
      </c>
      <c r="D352" s="126" t="str">
        <f t="shared" si="48"/>
        <v>221</v>
      </c>
      <c r="J352" s="101">
        <v>110</v>
      </c>
      <c r="K352" s="101">
        <v>110</v>
      </c>
      <c r="L352" s="101">
        <v>47059</v>
      </c>
      <c r="M352" s="101">
        <v>0</v>
      </c>
      <c r="N352" s="101">
        <v>172378</v>
      </c>
      <c r="O352" s="101">
        <v>63</v>
      </c>
      <c r="P352" s="101">
        <v>63</v>
      </c>
      <c r="Q352" s="101">
        <v>24571</v>
      </c>
      <c r="S352" s="101">
        <v>76393</v>
      </c>
      <c r="T352" s="133">
        <v>1.02</v>
      </c>
      <c r="U352" s="101">
        <f t="shared" si="49"/>
        <v>64.260000000000005</v>
      </c>
      <c r="V352" s="101">
        <f t="shared" si="50"/>
        <v>64.260000000000005</v>
      </c>
      <c r="W352" s="101">
        <f t="shared" si="51"/>
        <v>25062.420000000002</v>
      </c>
      <c r="X352" s="101">
        <f t="shared" si="52"/>
        <v>0</v>
      </c>
      <c r="Y352" s="101">
        <f t="shared" si="53"/>
        <v>77920.86</v>
      </c>
      <c r="AA352" s="101">
        <v>126</v>
      </c>
      <c r="AB352" s="101">
        <v>163</v>
      </c>
      <c r="AC352" s="101">
        <v>25823</v>
      </c>
      <c r="AE352" s="101">
        <v>173031</v>
      </c>
      <c r="AF352" s="225"/>
      <c r="AH352" s="101"/>
      <c r="AI352" s="101"/>
      <c r="AJ352" s="101"/>
    </row>
    <row r="353" spans="1:36" hidden="1" x14ac:dyDescent="0.3">
      <c r="A353" s="126" t="s">
        <v>176</v>
      </c>
      <c r="B353" s="126">
        <v>22</v>
      </c>
      <c r="C353" s="126">
        <v>37</v>
      </c>
      <c r="D353" s="126" t="str">
        <f t="shared" si="48"/>
        <v>2237</v>
      </c>
      <c r="E353" s="101">
        <v>21.75</v>
      </c>
      <c r="F353" s="101">
        <v>57.5</v>
      </c>
      <c r="G353" s="101">
        <v>621.5</v>
      </c>
      <c r="H353" s="101">
        <v>4016.83</v>
      </c>
      <c r="I353" s="101">
        <v>1870.579</v>
      </c>
      <c r="J353" s="101">
        <v>0</v>
      </c>
      <c r="K353" s="101">
        <v>0</v>
      </c>
      <c r="L353" s="101">
        <v>0</v>
      </c>
      <c r="M353" s="101">
        <v>0</v>
      </c>
      <c r="N353" s="101">
        <v>0</v>
      </c>
      <c r="O353" s="101">
        <v>1</v>
      </c>
      <c r="P353" s="101">
        <v>4</v>
      </c>
      <c r="Q353" s="101">
        <v>6484</v>
      </c>
      <c r="R353" s="101">
        <v>50972.84</v>
      </c>
      <c r="S353" s="101">
        <v>10052.483</v>
      </c>
      <c r="T353" s="133">
        <v>1.02</v>
      </c>
      <c r="U353" s="101">
        <f t="shared" si="49"/>
        <v>1.02</v>
      </c>
      <c r="V353" s="101">
        <f t="shared" si="50"/>
        <v>4.08</v>
      </c>
      <c r="W353" s="101">
        <f t="shared" si="51"/>
        <v>6613.68</v>
      </c>
      <c r="X353" s="101">
        <f t="shared" si="52"/>
        <v>51992.296799999996</v>
      </c>
      <c r="Y353" s="101">
        <f t="shared" si="53"/>
        <v>10253.532660000001</v>
      </c>
      <c r="AA353" s="101">
        <v>0</v>
      </c>
      <c r="AB353" s="101">
        <v>0</v>
      </c>
      <c r="AC353" s="101">
        <v>0</v>
      </c>
      <c r="AD353" s="101">
        <v>0</v>
      </c>
      <c r="AE353" s="101">
        <v>0</v>
      </c>
      <c r="AF353" s="225"/>
      <c r="AH353" s="101">
        <v>30000</v>
      </c>
      <c r="AI353" s="101">
        <f t="shared" si="41"/>
        <v>24000</v>
      </c>
      <c r="AJ353" s="101">
        <f t="shared" si="42"/>
        <v>36000</v>
      </c>
    </row>
    <row r="354" spans="1:36" hidden="1" x14ac:dyDescent="0.3">
      <c r="A354" s="126" t="s">
        <v>182</v>
      </c>
      <c r="B354" s="126">
        <v>23</v>
      </c>
      <c r="C354" s="126">
        <v>22</v>
      </c>
      <c r="D354" s="126" t="str">
        <f t="shared" si="48"/>
        <v>2322</v>
      </c>
      <c r="E354" s="101">
        <v>475</v>
      </c>
      <c r="F354" s="101">
        <v>3134</v>
      </c>
      <c r="G354" s="101">
        <v>29672</v>
      </c>
      <c r="H354" s="101">
        <v>122421.29000000001</v>
      </c>
      <c r="I354" s="101">
        <v>96767.337</v>
      </c>
      <c r="J354" s="101">
        <v>379</v>
      </c>
      <c r="K354" s="101">
        <v>3506</v>
      </c>
      <c r="L354" s="101">
        <v>26679</v>
      </c>
      <c r="M354" s="101">
        <v>183778.41</v>
      </c>
      <c r="N354" s="101">
        <v>87350.906000000003</v>
      </c>
      <c r="O354" s="101">
        <v>650</v>
      </c>
      <c r="P354" s="101">
        <v>3057</v>
      </c>
      <c r="Q354" s="101">
        <v>23613</v>
      </c>
      <c r="R354" s="101">
        <v>160090.46</v>
      </c>
      <c r="S354" s="101">
        <v>100474.879</v>
      </c>
      <c r="T354" s="133">
        <v>1.02</v>
      </c>
      <c r="U354" s="101">
        <f t="shared" si="49"/>
        <v>663</v>
      </c>
      <c r="V354" s="101">
        <f t="shared" si="50"/>
        <v>3118.14</v>
      </c>
      <c r="W354" s="101">
        <f t="shared" si="51"/>
        <v>24085.260000000002</v>
      </c>
      <c r="X354" s="101">
        <f t="shared" si="52"/>
        <v>163292.26919999998</v>
      </c>
      <c r="Y354" s="101">
        <f t="shared" si="53"/>
        <v>102484.37658</v>
      </c>
      <c r="AG354" s="225">
        <f>SUM(V354:V369)</f>
        <v>20028.100000000002</v>
      </c>
      <c r="AH354" s="101">
        <v>30000</v>
      </c>
      <c r="AI354" s="101">
        <f t="shared" si="41"/>
        <v>24000</v>
      </c>
      <c r="AJ354" s="101">
        <f t="shared" si="42"/>
        <v>36000</v>
      </c>
    </row>
    <row r="355" spans="1:36" hidden="1" x14ac:dyDescent="0.3">
      <c r="A355" s="126" t="s">
        <v>182</v>
      </c>
      <c r="B355" s="126">
        <v>23</v>
      </c>
      <c r="C355" s="126">
        <v>25</v>
      </c>
      <c r="D355" s="126" t="str">
        <f t="shared" si="48"/>
        <v>2325</v>
      </c>
      <c r="E355" s="101">
        <v>170</v>
      </c>
      <c r="F355" s="101">
        <v>871</v>
      </c>
      <c r="G355" s="101">
        <v>52244</v>
      </c>
      <c r="H355" s="101">
        <v>1230547.9400000002</v>
      </c>
      <c r="I355" s="101">
        <v>507351.42999999976</v>
      </c>
      <c r="J355" s="101">
        <v>155</v>
      </c>
      <c r="K355" s="101">
        <v>1146</v>
      </c>
      <c r="L355" s="101">
        <v>39970</v>
      </c>
      <c r="M355" s="101">
        <v>620653.63</v>
      </c>
      <c r="N355" s="101">
        <v>301774.16899999999</v>
      </c>
      <c r="O355" s="101">
        <v>241</v>
      </c>
      <c r="P355" s="101">
        <v>2193</v>
      </c>
      <c r="Q355" s="101">
        <v>82657</v>
      </c>
      <c r="R355" s="101">
        <v>810888.98</v>
      </c>
      <c r="S355" s="101">
        <v>496699.08299999998</v>
      </c>
      <c r="T355" s="133">
        <v>1.02</v>
      </c>
      <c r="U355" s="101">
        <f t="shared" si="49"/>
        <v>245.82</v>
      </c>
      <c r="V355" s="101">
        <f t="shared" si="50"/>
        <v>2236.86</v>
      </c>
      <c r="W355" s="101">
        <f t="shared" si="51"/>
        <v>84310.14</v>
      </c>
      <c r="X355" s="101">
        <f t="shared" si="52"/>
        <v>827106.75959999999</v>
      </c>
      <c r="Y355" s="101">
        <f t="shared" si="53"/>
        <v>506633.06465999997</v>
      </c>
      <c r="AG355" s="225"/>
      <c r="AH355" s="101">
        <v>30000</v>
      </c>
      <c r="AI355" s="101">
        <f t="shared" si="41"/>
        <v>24000</v>
      </c>
      <c r="AJ355" s="101">
        <f t="shared" si="42"/>
        <v>36000</v>
      </c>
    </row>
    <row r="356" spans="1:36" hidden="1" x14ac:dyDescent="0.3">
      <c r="A356" s="126" t="s">
        <v>182</v>
      </c>
      <c r="B356" s="126">
        <v>23</v>
      </c>
      <c r="C356" s="126">
        <v>27</v>
      </c>
      <c r="D356" s="126" t="str">
        <f t="shared" si="48"/>
        <v>2327</v>
      </c>
      <c r="E356" s="101">
        <v>8</v>
      </c>
      <c r="F356" s="101">
        <v>413</v>
      </c>
      <c r="G356" s="101">
        <v>4500</v>
      </c>
      <c r="H356" s="101">
        <v>46290.92</v>
      </c>
      <c r="I356" s="101">
        <v>16035.091</v>
      </c>
      <c r="J356" s="101">
        <v>13</v>
      </c>
      <c r="K356" s="101">
        <v>79</v>
      </c>
      <c r="L356" s="101">
        <v>395</v>
      </c>
      <c r="M356" s="101">
        <v>6626.46</v>
      </c>
      <c r="N356" s="101">
        <v>2957.4250000000002</v>
      </c>
      <c r="O356" s="101">
        <v>6</v>
      </c>
      <c r="P356" s="101">
        <v>11</v>
      </c>
      <c r="Q356" s="101">
        <v>553</v>
      </c>
      <c r="R356" s="101">
        <v>6019.68</v>
      </c>
      <c r="S356" s="101">
        <v>6608.4650000000001</v>
      </c>
      <c r="T356" s="133">
        <v>1.02</v>
      </c>
      <c r="U356" s="101">
        <f t="shared" si="49"/>
        <v>6.12</v>
      </c>
      <c r="V356" s="101">
        <f t="shared" si="50"/>
        <v>11.22</v>
      </c>
      <c r="W356" s="101">
        <f t="shared" si="51"/>
        <v>564.06000000000006</v>
      </c>
      <c r="X356" s="101">
        <f t="shared" si="52"/>
        <v>6140.0736000000006</v>
      </c>
      <c r="Y356" s="101">
        <f t="shared" si="53"/>
        <v>6740.6343000000006</v>
      </c>
      <c r="AG356" s="225"/>
      <c r="AH356" s="101">
        <v>30000</v>
      </c>
      <c r="AI356" s="101">
        <f t="shared" si="41"/>
        <v>24000</v>
      </c>
      <c r="AJ356" s="101">
        <f t="shared" si="42"/>
        <v>36000</v>
      </c>
    </row>
    <row r="357" spans="1:36" hidden="1" x14ac:dyDescent="0.3">
      <c r="A357" s="126" t="s">
        <v>182</v>
      </c>
      <c r="B357" s="126">
        <v>23</v>
      </c>
      <c r="C357" s="126">
        <v>26</v>
      </c>
      <c r="D357" s="126" t="str">
        <f t="shared" si="48"/>
        <v>2326</v>
      </c>
      <c r="E357" s="101">
        <v>111</v>
      </c>
      <c r="F357" s="101">
        <v>1725</v>
      </c>
      <c r="G357" s="101">
        <v>30612</v>
      </c>
      <c r="H357" s="101">
        <v>659484.37</v>
      </c>
      <c r="I357" s="101">
        <v>241611.93</v>
      </c>
      <c r="J357" s="101">
        <v>74</v>
      </c>
      <c r="K357" s="101">
        <v>1181</v>
      </c>
      <c r="L357" s="101">
        <v>33710</v>
      </c>
      <c r="M357" s="101">
        <v>196262.27</v>
      </c>
      <c r="N357" s="101">
        <v>480447.8</v>
      </c>
      <c r="O357" s="101">
        <v>29</v>
      </c>
      <c r="P357" s="101">
        <v>749</v>
      </c>
      <c r="Q357" s="101">
        <v>12073</v>
      </c>
      <c r="R357" s="101">
        <v>193997.13</v>
      </c>
      <c r="S357" s="101">
        <v>66258.877999999997</v>
      </c>
      <c r="T357" s="133">
        <v>1.02</v>
      </c>
      <c r="U357" s="101">
        <f t="shared" si="49"/>
        <v>29.580000000000002</v>
      </c>
      <c r="V357" s="101">
        <f t="shared" si="50"/>
        <v>763.98</v>
      </c>
      <c r="W357" s="101">
        <f t="shared" si="51"/>
        <v>12314.460000000001</v>
      </c>
      <c r="X357" s="101">
        <f t="shared" si="52"/>
        <v>197877.07260000001</v>
      </c>
      <c r="Y357" s="101">
        <f t="shared" si="53"/>
        <v>67584.055559999993</v>
      </c>
      <c r="AG357" s="225"/>
      <c r="AH357" s="101">
        <v>30000</v>
      </c>
      <c r="AI357" s="101">
        <f t="shared" si="41"/>
        <v>24000</v>
      </c>
      <c r="AJ357" s="101">
        <f t="shared" si="42"/>
        <v>36000</v>
      </c>
    </row>
    <row r="358" spans="1:36" hidden="1" x14ac:dyDescent="0.3">
      <c r="A358" s="126" t="s">
        <v>182</v>
      </c>
      <c r="B358" s="126">
        <v>23</v>
      </c>
      <c r="C358" s="126">
        <v>32</v>
      </c>
      <c r="D358" s="126" t="str">
        <f t="shared" si="48"/>
        <v>2332</v>
      </c>
      <c r="E358" s="101">
        <v>434</v>
      </c>
      <c r="F358" s="101">
        <v>1485</v>
      </c>
      <c r="G358" s="101">
        <v>27023</v>
      </c>
      <c r="H358" s="101">
        <v>361943.79000000004</v>
      </c>
      <c r="I358" s="101">
        <v>135975.15900000001</v>
      </c>
      <c r="J358" s="101">
        <v>236</v>
      </c>
      <c r="K358" s="101">
        <v>904</v>
      </c>
      <c r="L358" s="101">
        <v>18698</v>
      </c>
      <c r="M358" s="101">
        <v>64742.19</v>
      </c>
      <c r="N358" s="101">
        <v>63382.351999999999</v>
      </c>
      <c r="O358" s="101">
        <v>213</v>
      </c>
      <c r="P358" s="101">
        <v>833</v>
      </c>
      <c r="Q358" s="101">
        <v>8011</v>
      </c>
      <c r="R358" s="101">
        <v>74765.86</v>
      </c>
      <c r="S358" s="101">
        <v>33427.637999999999</v>
      </c>
      <c r="T358" s="133">
        <v>1.02</v>
      </c>
      <c r="U358" s="101">
        <f>O358*$T$5+12</f>
        <v>229.26</v>
      </c>
      <c r="V358" s="101">
        <f>P358*$T$5+73</f>
        <v>922.66</v>
      </c>
      <c r="W358" s="101">
        <f>Q358*$T$5+4837</f>
        <v>13008.220000000001</v>
      </c>
      <c r="X358" s="101">
        <f>R358*$T$5+34207</f>
        <v>110468.17720000001</v>
      </c>
      <c r="Y358" s="101">
        <f>S358*$T$5+5664</f>
        <v>39760.190759999998</v>
      </c>
      <c r="AG358" s="225"/>
      <c r="AH358" s="101">
        <v>30000</v>
      </c>
      <c r="AI358" s="101">
        <f t="shared" si="41"/>
        <v>24000</v>
      </c>
      <c r="AJ358" s="101">
        <f t="shared" si="42"/>
        <v>36000</v>
      </c>
    </row>
    <row r="359" spans="1:36" hidden="1" x14ac:dyDescent="0.3">
      <c r="A359" s="126" t="s">
        <v>182</v>
      </c>
      <c r="B359" s="126">
        <v>23</v>
      </c>
      <c r="C359" s="126">
        <v>21</v>
      </c>
      <c r="D359" s="126" t="str">
        <f t="shared" si="48"/>
        <v>2321</v>
      </c>
      <c r="E359" s="101">
        <v>832</v>
      </c>
      <c r="F359" s="101">
        <v>3657</v>
      </c>
      <c r="G359" s="101">
        <v>19484.5</v>
      </c>
      <c r="H359" s="101">
        <v>287677.57</v>
      </c>
      <c r="I359" s="101">
        <v>79344.995999999999</v>
      </c>
      <c r="J359" s="101">
        <v>0</v>
      </c>
      <c r="K359" s="101">
        <v>0</v>
      </c>
      <c r="L359" s="101">
        <v>0</v>
      </c>
      <c r="M359" s="101">
        <v>0</v>
      </c>
      <c r="N359" s="101">
        <v>0</v>
      </c>
      <c r="O359" s="101">
        <v>45</v>
      </c>
      <c r="P359" s="101">
        <v>58</v>
      </c>
      <c r="Q359" s="101">
        <v>1412</v>
      </c>
      <c r="R359" s="101">
        <v>14898.81</v>
      </c>
      <c r="S359" s="101">
        <v>7927.8850000000002</v>
      </c>
      <c r="T359" s="133">
        <v>1.02</v>
      </c>
      <c r="U359" s="101">
        <f t="shared" si="49"/>
        <v>45.9</v>
      </c>
      <c r="V359" s="101">
        <f t="shared" si="50"/>
        <v>59.160000000000004</v>
      </c>
      <c r="W359" s="101">
        <f t="shared" si="51"/>
        <v>1440.24</v>
      </c>
      <c r="X359" s="101">
        <f t="shared" si="52"/>
        <v>15196.7862</v>
      </c>
      <c r="Y359" s="101">
        <f t="shared" si="53"/>
        <v>8086.4427000000005</v>
      </c>
      <c r="AG359" s="225"/>
      <c r="AH359" s="101">
        <v>30000</v>
      </c>
      <c r="AI359" s="101">
        <f t="shared" si="41"/>
        <v>24000</v>
      </c>
      <c r="AJ359" s="101">
        <f t="shared" si="42"/>
        <v>36000</v>
      </c>
    </row>
    <row r="360" spans="1:36" hidden="1" x14ac:dyDescent="0.3">
      <c r="A360" s="126" t="s">
        <v>182</v>
      </c>
      <c r="B360" s="126">
        <v>23</v>
      </c>
      <c r="C360" s="126">
        <v>30</v>
      </c>
      <c r="D360" s="126" t="str">
        <f t="shared" si="48"/>
        <v>2330</v>
      </c>
      <c r="E360" s="101">
        <v>220</v>
      </c>
      <c r="F360" s="101">
        <v>2642</v>
      </c>
      <c r="G360" s="101">
        <v>11868.5</v>
      </c>
      <c r="H360" s="101">
        <v>284159.41000000003</v>
      </c>
      <c r="I360" s="101">
        <v>104598.223</v>
      </c>
      <c r="J360" s="101">
        <v>349</v>
      </c>
      <c r="K360" s="101">
        <v>6620</v>
      </c>
      <c r="L360" s="101">
        <v>23998</v>
      </c>
      <c r="M360" s="101">
        <v>469174.05</v>
      </c>
      <c r="N360" s="101">
        <v>138704.74299999999</v>
      </c>
      <c r="O360" s="101">
        <v>270</v>
      </c>
      <c r="P360" s="101">
        <v>4597</v>
      </c>
      <c r="Q360" s="101">
        <v>15100</v>
      </c>
      <c r="R360" s="101">
        <v>326355.26</v>
      </c>
      <c r="S360" s="101">
        <v>111155.66099999999</v>
      </c>
      <c r="T360" s="133">
        <v>1.02</v>
      </c>
      <c r="U360" s="101">
        <f t="shared" si="49"/>
        <v>275.39999999999998</v>
      </c>
      <c r="V360" s="101">
        <f t="shared" si="50"/>
        <v>4688.9400000000005</v>
      </c>
      <c r="W360" s="101">
        <f t="shared" si="51"/>
        <v>15402</v>
      </c>
      <c r="X360" s="101">
        <f t="shared" si="52"/>
        <v>332882.3652</v>
      </c>
      <c r="Y360" s="101">
        <f t="shared" si="53"/>
        <v>113378.77421999999</v>
      </c>
      <c r="AG360" s="225"/>
      <c r="AH360" s="101">
        <v>30000</v>
      </c>
      <c r="AI360" s="101">
        <f t="shared" si="41"/>
        <v>24000</v>
      </c>
      <c r="AJ360" s="101">
        <f t="shared" si="42"/>
        <v>36000</v>
      </c>
    </row>
    <row r="361" spans="1:36" hidden="1" x14ac:dyDescent="0.3">
      <c r="A361" s="126" t="s">
        <v>182</v>
      </c>
      <c r="B361" s="126">
        <v>23</v>
      </c>
      <c r="C361" s="126">
        <v>28</v>
      </c>
      <c r="D361" s="126" t="str">
        <f t="shared" si="48"/>
        <v>2328</v>
      </c>
      <c r="J361" s="101">
        <v>42</v>
      </c>
      <c r="K361" s="101">
        <v>68</v>
      </c>
      <c r="L361" s="101">
        <v>3541</v>
      </c>
      <c r="M361" s="101">
        <v>537129.24</v>
      </c>
      <c r="N361" s="101">
        <v>220421.22700000001</v>
      </c>
      <c r="O361" s="101">
        <v>57</v>
      </c>
      <c r="P361" s="101">
        <v>568</v>
      </c>
      <c r="Q361" s="101">
        <v>3560</v>
      </c>
      <c r="R361" s="101">
        <v>79237.850000000006</v>
      </c>
      <c r="S361" s="101">
        <v>23121.181</v>
      </c>
      <c r="T361" s="133">
        <v>1.02</v>
      </c>
      <c r="U361" s="101">
        <f t="shared" si="49"/>
        <v>58.14</v>
      </c>
      <c r="V361" s="101">
        <f t="shared" si="50"/>
        <v>579.36</v>
      </c>
      <c r="W361" s="101">
        <f t="shared" si="51"/>
        <v>3631.2000000000003</v>
      </c>
      <c r="X361" s="101">
        <f t="shared" si="52"/>
        <v>80822.607000000004</v>
      </c>
      <c r="Y361" s="101">
        <f t="shared" si="53"/>
        <v>23583.604620000002</v>
      </c>
      <c r="AG361" s="225"/>
      <c r="AH361" s="101"/>
      <c r="AI361" s="101"/>
      <c r="AJ361" s="101"/>
    </row>
    <row r="362" spans="1:36" x14ac:dyDescent="0.3">
      <c r="A362" s="126" t="s">
        <v>182</v>
      </c>
      <c r="B362" s="126">
        <v>23</v>
      </c>
      <c r="C362" s="126">
        <v>91</v>
      </c>
      <c r="D362" s="126" t="str">
        <f t="shared" si="48"/>
        <v>2391</v>
      </c>
      <c r="J362" s="101">
        <v>2</v>
      </c>
      <c r="K362" s="101">
        <v>2</v>
      </c>
      <c r="L362" s="101">
        <v>3</v>
      </c>
      <c r="M362" s="101">
        <v>72.72</v>
      </c>
      <c r="N362" s="101">
        <v>74.037999999999997</v>
      </c>
      <c r="O362" s="101">
        <v>4</v>
      </c>
      <c r="P362" s="101">
        <v>5</v>
      </c>
      <c r="Q362" s="101">
        <v>9</v>
      </c>
      <c r="R362" s="101">
        <v>42.98</v>
      </c>
      <c r="S362" s="101">
        <v>40.857999999999997</v>
      </c>
      <c r="T362" s="133">
        <v>1.02</v>
      </c>
      <c r="U362" s="101">
        <f t="shared" si="49"/>
        <v>4.08</v>
      </c>
      <c r="V362" s="101">
        <f t="shared" si="50"/>
        <v>5.0999999999999996</v>
      </c>
      <c r="W362" s="101">
        <f t="shared" si="51"/>
        <v>9.18</v>
      </c>
      <c r="X362" s="101">
        <f t="shared" si="52"/>
        <v>43.839599999999997</v>
      </c>
      <c r="Y362" s="101">
        <f t="shared" si="53"/>
        <v>41.675159999999998</v>
      </c>
      <c r="AG362" s="225"/>
      <c r="AH362" s="101"/>
      <c r="AI362" s="101"/>
      <c r="AJ362" s="101"/>
    </row>
    <row r="363" spans="1:36" hidden="1" x14ac:dyDescent="0.3">
      <c r="A363" s="126" t="s">
        <v>182</v>
      </c>
      <c r="B363" s="126">
        <v>23</v>
      </c>
      <c r="C363" s="126">
        <v>46</v>
      </c>
      <c r="D363" s="126" t="str">
        <f t="shared" si="48"/>
        <v>2346</v>
      </c>
      <c r="J363" s="101">
        <v>8</v>
      </c>
      <c r="K363" s="101">
        <v>8</v>
      </c>
      <c r="L363" s="101">
        <v>1577</v>
      </c>
      <c r="M363" s="101">
        <v>7142.09</v>
      </c>
      <c r="N363" s="101">
        <v>3282.0830000000001</v>
      </c>
      <c r="O363" s="101">
        <v>10</v>
      </c>
      <c r="P363" s="101">
        <v>11</v>
      </c>
      <c r="Q363" s="101">
        <v>1564</v>
      </c>
      <c r="R363" s="101">
        <v>23040.92</v>
      </c>
      <c r="S363" s="101">
        <v>14123.257</v>
      </c>
      <c r="T363" s="133">
        <v>1.02</v>
      </c>
      <c r="U363" s="101">
        <f t="shared" si="49"/>
        <v>10.199999999999999</v>
      </c>
      <c r="V363" s="101">
        <f t="shared" si="50"/>
        <v>11.22</v>
      </c>
      <c r="W363" s="101">
        <f t="shared" si="51"/>
        <v>1595.28</v>
      </c>
      <c r="X363" s="101">
        <f t="shared" si="52"/>
        <v>23501.738399999998</v>
      </c>
      <c r="Y363" s="101">
        <f t="shared" si="53"/>
        <v>14405.72214</v>
      </c>
      <c r="AG363" s="225"/>
      <c r="AH363" s="101"/>
      <c r="AI363" s="101"/>
      <c r="AJ363" s="101"/>
    </row>
    <row r="364" spans="1:36" hidden="1" x14ac:dyDescent="0.3">
      <c r="A364" s="126" t="s">
        <v>182</v>
      </c>
      <c r="B364" s="126">
        <v>23</v>
      </c>
      <c r="C364" s="126">
        <v>66</v>
      </c>
      <c r="D364" s="126" t="str">
        <f t="shared" si="48"/>
        <v>2366</v>
      </c>
      <c r="J364" s="101">
        <v>91</v>
      </c>
      <c r="K364" s="101">
        <v>97</v>
      </c>
      <c r="L364" s="101">
        <v>2516</v>
      </c>
      <c r="M364" s="101">
        <v>38215.97</v>
      </c>
      <c r="N364" s="101">
        <v>25268.187000000002</v>
      </c>
      <c r="O364" s="101">
        <v>17</v>
      </c>
      <c r="P364" s="101">
        <v>30</v>
      </c>
      <c r="Q364" s="101">
        <v>3520</v>
      </c>
      <c r="R364" s="101">
        <v>26248.47</v>
      </c>
      <c r="S364" s="101">
        <v>17104.143</v>
      </c>
      <c r="T364" s="133">
        <v>1.02</v>
      </c>
      <c r="U364" s="101">
        <f t="shared" si="49"/>
        <v>17.34</v>
      </c>
      <c r="V364" s="101">
        <f t="shared" si="50"/>
        <v>30.6</v>
      </c>
      <c r="W364" s="101">
        <f t="shared" si="51"/>
        <v>3590.4</v>
      </c>
      <c r="X364" s="101">
        <f t="shared" si="52"/>
        <v>26773.439400000003</v>
      </c>
      <c r="Y364" s="101">
        <f t="shared" si="53"/>
        <v>17446.225859999999</v>
      </c>
      <c r="AG364" s="225"/>
      <c r="AH364" s="101"/>
      <c r="AI364" s="101"/>
      <c r="AJ364" s="101"/>
    </row>
    <row r="365" spans="1:36" hidden="1" x14ac:dyDescent="0.3">
      <c r="A365" s="126" t="s">
        <v>182</v>
      </c>
      <c r="B365" s="126">
        <v>23</v>
      </c>
      <c r="C365" s="126">
        <v>12</v>
      </c>
      <c r="D365" s="126" t="str">
        <f t="shared" si="48"/>
        <v>2312</v>
      </c>
      <c r="J365" s="101">
        <v>1</v>
      </c>
      <c r="K365" s="101">
        <v>1</v>
      </c>
      <c r="L365" s="101">
        <v>1</v>
      </c>
      <c r="M365" s="101">
        <v>10.32</v>
      </c>
      <c r="N365" s="101">
        <v>1.1519999999999999</v>
      </c>
      <c r="O365" s="101">
        <v>1</v>
      </c>
      <c r="P365" s="101">
        <v>1</v>
      </c>
      <c r="Q365" s="101">
        <v>1</v>
      </c>
      <c r="R365" s="101">
        <v>11.47</v>
      </c>
      <c r="S365" s="101">
        <v>6.09</v>
      </c>
      <c r="T365" s="133">
        <v>1.02</v>
      </c>
      <c r="U365" s="101">
        <f t="shared" si="49"/>
        <v>1.02</v>
      </c>
      <c r="V365" s="101">
        <f t="shared" si="50"/>
        <v>1.02</v>
      </c>
      <c r="W365" s="101">
        <f t="shared" si="51"/>
        <v>1.02</v>
      </c>
      <c r="X365" s="101">
        <f t="shared" si="52"/>
        <v>11.699400000000001</v>
      </c>
      <c r="Y365" s="101">
        <f t="shared" si="53"/>
        <v>6.2118000000000002</v>
      </c>
      <c r="AG365" s="225"/>
      <c r="AH365" s="101"/>
      <c r="AI365" s="101"/>
      <c r="AJ365" s="101"/>
    </row>
    <row r="366" spans="1:36" hidden="1" x14ac:dyDescent="0.3">
      <c r="A366" s="126" t="s">
        <v>182</v>
      </c>
      <c r="B366" s="126">
        <v>23</v>
      </c>
      <c r="C366" s="126">
        <v>41</v>
      </c>
      <c r="D366" s="126" t="str">
        <f t="shared" si="48"/>
        <v>2341</v>
      </c>
      <c r="O366" s="101">
        <v>10</v>
      </c>
      <c r="P366" s="101">
        <v>10</v>
      </c>
      <c r="Q366" s="101">
        <v>180</v>
      </c>
      <c r="R366" s="101">
        <v>1322.8</v>
      </c>
      <c r="S366" s="101">
        <v>368.58699999999999</v>
      </c>
      <c r="T366" s="133">
        <v>1.02</v>
      </c>
      <c r="U366" s="101">
        <f t="shared" si="49"/>
        <v>10.199999999999999</v>
      </c>
      <c r="V366" s="101">
        <f t="shared" si="50"/>
        <v>10.199999999999999</v>
      </c>
      <c r="W366" s="101">
        <f t="shared" si="51"/>
        <v>183.6</v>
      </c>
      <c r="X366" s="101">
        <f t="shared" si="52"/>
        <v>1349.2560000000001</v>
      </c>
      <c r="Y366" s="101">
        <f t="shared" si="53"/>
        <v>375.95873999999998</v>
      </c>
      <c r="AG366" s="225"/>
      <c r="AH366" s="101"/>
      <c r="AI366" s="101"/>
      <c r="AJ366" s="101"/>
    </row>
    <row r="367" spans="1:36" hidden="1" x14ac:dyDescent="0.3">
      <c r="A367" s="126" t="s">
        <v>182</v>
      </c>
      <c r="B367" s="126">
        <v>23</v>
      </c>
      <c r="C367" s="126">
        <v>1</v>
      </c>
      <c r="D367" s="126" t="str">
        <f t="shared" si="48"/>
        <v>231</v>
      </c>
      <c r="J367" s="101">
        <v>110</v>
      </c>
      <c r="K367" s="101">
        <v>110</v>
      </c>
      <c r="L367" s="101">
        <v>39088</v>
      </c>
      <c r="M367" s="101">
        <v>0</v>
      </c>
      <c r="N367" s="101">
        <v>240524</v>
      </c>
      <c r="O367" s="101">
        <v>111</v>
      </c>
      <c r="P367" s="101">
        <v>111</v>
      </c>
      <c r="Q367" s="101">
        <v>40941</v>
      </c>
      <c r="S367" s="101">
        <v>207148</v>
      </c>
      <c r="T367" s="133">
        <v>1.02</v>
      </c>
      <c r="U367" s="101">
        <f t="shared" si="49"/>
        <v>113.22</v>
      </c>
      <c r="V367" s="101">
        <f t="shared" si="50"/>
        <v>113.22</v>
      </c>
      <c r="W367" s="101">
        <f t="shared" si="51"/>
        <v>41759.82</v>
      </c>
      <c r="X367" s="101">
        <f t="shared" si="52"/>
        <v>0</v>
      </c>
      <c r="Y367" s="101">
        <f t="shared" si="53"/>
        <v>211290.96</v>
      </c>
      <c r="AG367" s="225"/>
      <c r="AH367" s="101"/>
      <c r="AI367" s="101"/>
      <c r="AJ367" s="101"/>
    </row>
    <row r="368" spans="1:36" hidden="1" x14ac:dyDescent="0.3">
      <c r="A368" s="126" t="s">
        <v>182</v>
      </c>
      <c r="B368" s="126">
        <v>23</v>
      </c>
      <c r="C368" s="126">
        <v>71</v>
      </c>
      <c r="D368" s="126" t="str">
        <f t="shared" si="48"/>
        <v>2371</v>
      </c>
      <c r="E368" s="101">
        <v>475.5</v>
      </c>
      <c r="F368" s="101">
        <v>3706.5</v>
      </c>
      <c r="G368" s="101">
        <v>11458.5</v>
      </c>
      <c r="H368" s="101">
        <v>85555.94</v>
      </c>
      <c r="I368" s="101">
        <v>37709.702499999999</v>
      </c>
      <c r="J368" s="101">
        <v>411</v>
      </c>
      <c r="K368" s="101">
        <v>5539</v>
      </c>
      <c r="L368" s="101">
        <v>13008</v>
      </c>
      <c r="M368" s="101">
        <v>100038.1</v>
      </c>
      <c r="N368" s="101">
        <v>56855.512999999999</v>
      </c>
      <c r="O368" s="101">
        <v>618</v>
      </c>
      <c r="P368" s="101">
        <v>7629</v>
      </c>
      <c r="Q368" s="101">
        <v>32885</v>
      </c>
      <c r="R368" s="101">
        <v>209079.92</v>
      </c>
      <c r="S368" s="101">
        <v>126640.179</v>
      </c>
      <c r="T368" s="133">
        <v>0.98</v>
      </c>
      <c r="U368" s="101">
        <f t="shared" si="49"/>
        <v>605.64</v>
      </c>
      <c r="V368" s="101">
        <f t="shared" si="50"/>
        <v>7476.42</v>
      </c>
      <c r="W368" s="101">
        <f t="shared" si="51"/>
        <v>32227.3</v>
      </c>
      <c r="X368" s="101">
        <f t="shared" si="52"/>
        <v>204898.3216</v>
      </c>
      <c r="Y368" s="101">
        <f t="shared" si="53"/>
        <v>124107.37542</v>
      </c>
      <c r="AG368" s="225"/>
      <c r="AH368" s="101">
        <v>30000</v>
      </c>
      <c r="AI368" s="101">
        <f t="shared" si="41"/>
        <v>24000</v>
      </c>
      <c r="AJ368" s="101">
        <f t="shared" si="42"/>
        <v>36000</v>
      </c>
    </row>
    <row r="369" spans="1:36" hidden="1" x14ac:dyDescent="0.3">
      <c r="A369" s="126" t="s">
        <v>182</v>
      </c>
      <c r="B369" s="126">
        <v>23</v>
      </c>
      <c r="C369" s="126">
        <v>37</v>
      </c>
      <c r="D369" s="126" t="str">
        <f t="shared" si="48"/>
        <v>2337</v>
      </c>
      <c r="E369" s="101">
        <v>12.25</v>
      </c>
      <c r="F369" s="101">
        <v>40</v>
      </c>
      <c r="G369" s="101">
        <v>1062.5</v>
      </c>
      <c r="H369" s="101">
        <v>5721.3074999999999</v>
      </c>
      <c r="I369" s="101">
        <v>3122.4097499999998</v>
      </c>
      <c r="J369" s="101">
        <v>2</v>
      </c>
      <c r="K369" s="101">
        <v>16</v>
      </c>
      <c r="L369" s="101">
        <v>4954</v>
      </c>
      <c r="M369" s="101">
        <v>7692.6</v>
      </c>
      <c r="N369" s="101">
        <v>2925.4450000000002</v>
      </c>
      <c r="O369" s="101">
        <v>0</v>
      </c>
      <c r="P369" s="101">
        <v>0</v>
      </c>
      <c r="Q369" s="101">
        <v>0</v>
      </c>
      <c r="R369" s="101">
        <v>0</v>
      </c>
      <c r="S369" s="101">
        <v>0</v>
      </c>
      <c r="T369" s="133">
        <v>1.02</v>
      </c>
      <c r="U369" s="101">
        <f t="shared" si="49"/>
        <v>0</v>
      </c>
      <c r="V369" s="101">
        <f t="shared" si="50"/>
        <v>0</v>
      </c>
      <c r="W369" s="101">
        <f t="shared" si="51"/>
        <v>0</v>
      </c>
      <c r="X369" s="101">
        <f t="shared" si="52"/>
        <v>0</v>
      </c>
      <c r="Y369" s="101">
        <f t="shared" si="53"/>
        <v>0</v>
      </c>
      <c r="AG369" s="225"/>
      <c r="AH369" s="101">
        <v>30000</v>
      </c>
      <c r="AI369" s="101">
        <f t="shared" si="41"/>
        <v>24000</v>
      </c>
      <c r="AJ369" s="101">
        <f t="shared" si="42"/>
        <v>36000</v>
      </c>
    </row>
    <row r="370" spans="1:36" hidden="1" x14ac:dyDescent="0.3">
      <c r="A370" s="126" t="s">
        <v>182</v>
      </c>
      <c r="B370" s="126">
        <v>24</v>
      </c>
      <c r="C370" s="126">
        <v>22</v>
      </c>
      <c r="D370" s="126" t="str">
        <f t="shared" si="48"/>
        <v>2422</v>
      </c>
      <c r="E370" s="101">
        <v>530</v>
      </c>
      <c r="F370" s="101">
        <v>2978</v>
      </c>
      <c r="G370" s="101">
        <v>21848</v>
      </c>
      <c r="H370" s="101">
        <v>89826.97</v>
      </c>
      <c r="I370" s="101">
        <v>77946.570999999996</v>
      </c>
      <c r="J370" s="101">
        <v>481</v>
      </c>
      <c r="K370" s="101">
        <v>2945</v>
      </c>
      <c r="L370" s="101">
        <v>17160</v>
      </c>
      <c r="M370" s="101">
        <v>102595.65</v>
      </c>
      <c r="N370" s="101">
        <v>63321.995999999999</v>
      </c>
      <c r="O370" s="101">
        <v>719</v>
      </c>
      <c r="P370" s="101">
        <v>3225</v>
      </c>
      <c r="Q370" s="101">
        <v>23298</v>
      </c>
      <c r="R370" s="101">
        <v>245466.99</v>
      </c>
      <c r="S370" s="101">
        <v>173164.13800000001</v>
      </c>
      <c r="T370" s="133">
        <v>1.02</v>
      </c>
      <c r="U370" s="101">
        <f t="shared" si="49"/>
        <v>733.38</v>
      </c>
      <c r="V370" s="101">
        <f t="shared" si="50"/>
        <v>3289.5</v>
      </c>
      <c r="W370" s="101">
        <f t="shared" si="51"/>
        <v>23763.96</v>
      </c>
      <c r="X370" s="101">
        <f t="shared" si="52"/>
        <v>250376.32980000001</v>
      </c>
      <c r="Y370" s="101">
        <f t="shared" si="53"/>
        <v>176627.42076000001</v>
      </c>
      <c r="AG370" s="225">
        <f>SUM(V370:V384)</f>
        <v>18338.12</v>
      </c>
      <c r="AH370" s="101">
        <v>30000</v>
      </c>
      <c r="AI370" s="101">
        <f t="shared" ref="AI370:AI480" si="54">(AH370/100)*80</f>
        <v>24000</v>
      </c>
      <c r="AJ370" s="101">
        <f t="shared" ref="AJ370:AJ480" si="55">(AH370/100)*120</f>
        <v>36000</v>
      </c>
    </row>
    <row r="371" spans="1:36" hidden="1" x14ac:dyDescent="0.3">
      <c r="A371" s="126" t="s">
        <v>182</v>
      </c>
      <c r="B371" s="126">
        <v>24</v>
      </c>
      <c r="C371" s="126">
        <v>25</v>
      </c>
      <c r="D371" s="126" t="str">
        <f t="shared" si="48"/>
        <v>2425</v>
      </c>
      <c r="E371" s="101">
        <v>117</v>
      </c>
      <c r="F371" s="101">
        <v>830</v>
      </c>
      <c r="G371" s="101">
        <v>38507</v>
      </c>
      <c r="H371" s="101">
        <v>644077.18999999994</v>
      </c>
      <c r="I371" s="101">
        <v>230772.05099999998</v>
      </c>
      <c r="J371" s="101">
        <v>89</v>
      </c>
      <c r="K371" s="101">
        <v>1030</v>
      </c>
      <c r="L371" s="101">
        <v>46167</v>
      </c>
      <c r="M371" s="101">
        <v>491361.02</v>
      </c>
      <c r="N371" s="101">
        <v>190224.448</v>
      </c>
      <c r="O371" s="101">
        <v>275</v>
      </c>
      <c r="P371" s="101">
        <v>1846</v>
      </c>
      <c r="Q371" s="101">
        <v>60031</v>
      </c>
      <c r="R371" s="101">
        <v>851990.52</v>
      </c>
      <c r="S371" s="101">
        <v>401253.55599999998</v>
      </c>
      <c r="T371" s="133">
        <v>1.02</v>
      </c>
      <c r="U371" s="101">
        <f t="shared" si="49"/>
        <v>280.5</v>
      </c>
      <c r="V371" s="101">
        <f t="shared" si="50"/>
        <v>1882.92</v>
      </c>
      <c r="W371" s="101">
        <f t="shared" si="51"/>
        <v>61231.62</v>
      </c>
      <c r="X371" s="101">
        <f t="shared" si="52"/>
        <v>869030.33039999998</v>
      </c>
      <c r="Y371" s="101">
        <f t="shared" si="53"/>
        <v>409278.62711999996</v>
      </c>
      <c r="AG371" s="225"/>
      <c r="AH371" s="101">
        <v>30000</v>
      </c>
      <c r="AI371" s="101">
        <f t="shared" si="54"/>
        <v>24000</v>
      </c>
      <c r="AJ371" s="101">
        <f t="shared" si="55"/>
        <v>36000</v>
      </c>
    </row>
    <row r="372" spans="1:36" hidden="1" x14ac:dyDescent="0.3">
      <c r="A372" s="126" t="s">
        <v>182</v>
      </c>
      <c r="B372" s="126">
        <v>24</v>
      </c>
      <c r="C372" s="126">
        <v>27</v>
      </c>
      <c r="D372" s="126" t="str">
        <f t="shared" si="48"/>
        <v>2427</v>
      </c>
      <c r="E372" s="101">
        <v>5</v>
      </c>
      <c r="F372" s="101">
        <v>163</v>
      </c>
      <c r="G372" s="101">
        <v>1850</v>
      </c>
      <c r="H372" s="101">
        <v>21238.03</v>
      </c>
      <c r="I372" s="101">
        <v>7635.83</v>
      </c>
      <c r="J372" s="101">
        <v>0</v>
      </c>
      <c r="K372" s="101">
        <v>0</v>
      </c>
      <c r="L372" s="101">
        <v>0</v>
      </c>
      <c r="M372" s="101">
        <v>0</v>
      </c>
      <c r="N372" s="101">
        <v>0</v>
      </c>
      <c r="O372" s="101">
        <v>7</v>
      </c>
      <c r="P372" s="101">
        <v>35</v>
      </c>
      <c r="Q372" s="101">
        <v>315</v>
      </c>
      <c r="R372" s="101">
        <v>6849.48</v>
      </c>
      <c r="S372" s="101">
        <v>3315.4189999999999</v>
      </c>
      <c r="T372" s="133">
        <v>1.02</v>
      </c>
      <c r="U372" s="101">
        <f t="shared" si="49"/>
        <v>7.1400000000000006</v>
      </c>
      <c r="V372" s="101">
        <f t="shared" si="50"/>
        <v>35.700000000000003</v>
      </c>
      <c r="W372" s="101">
        <f t="shared" si="51"/>
        <v>321.3</v>
      </c>
      <c r="X372" s="101">
        <f t="shared" si="52"/>
        <v>6986.4695999999994</v>
      </c>
      <c r="Y372" s="101">
        <f t="shared" si="53"/>
        <v>3381.7273799999998</v>
      </c>
      <c r="AG372" s="225"/>
      <c r="AH372" s="101">
        <v>30000</v>
      </c>
      <c r="AI372" s="101">
        <f t="shared" si="54"/>
        <v>24000</v>
      </c>
      <c r="AJ372" s="101">
        <f t="shared" si="55"/>
        <v>36000</v>
      </c>
    </row>
    <row r="373" spans="1:36" hidden="1" x14ac:dyDescent="0.3">
      <c r="A373" s="126" t="s">
        <v>182</v>
      </c>
      <c r="B373" s="126">
        <v>24</v>
      </c>
      <c r="C373" s="126">
        <v>26</v>
      </c>
      <c r="D373" s="126" t="str">
        <f t="shared" si="48"/>
        <v>2426</v>
      </c>
      <c r="E373" s="101">
        <v>91</v>
      </c>
      <c r="F373" s="101">
        <v>2703</v>
      </c>
      <c r="G373" s="101">
        <v>30080</v>
      </c>
      <c r="H373" s="101">
        <v>436167.91000000003</v>
      </c>
      <c r="I373" s="101">
        <v>185806.08100000001</v>
      </c>
      <c r="J373" s="101">
        <v>40</v>
      </c>
      <c r="K373" s="101">
        <v>1487</v>
      </c>
      <c r="L373" s="101">
        <v>21108</v>
      </c>
      <c r="M373" s="101">
        <v>227125.81</v>
      </c>
      <c r="N373" s="101">
        <v>101167.54199999999</v>
      </c>
      <c r="O373" s="101">
        <v>23</v>
      </c>
      <c r="P373" s="101">
        <v>360</v>
      </c>
      <c r="Q373" s="101">
        <v>9633</v>
      </c>
      <c r="R373" s="101">
        <v>109634.71</v>
      </c>
      <c r="S373" s="101">
        <v>38089.222000000002</v>
      </c>
      <c r="T373" s="133">
        <v>1.02</v>
      </c>
      <c r="U373" s="101">
        <f t="shared" si="49"/>
        <v>23.46</v>
      </c>
      <c r="V373" s="101">
        <f t="shared" si="50"/>
        <v>367.2</v>
      </c>
      <c r="W373" s="101">
        <f t="shared" si="51"/>
        <v>9825.66</v>
      </c>
      <c r="X373" s="101">
        <f t="shared" si="52"/>
        <v>111827.4042</v>
      </c>
      <c r="Y373" s="101">
        <f t="shared" si="53"/>
        <v>38851.006440000005</v>
      </c>
      <c r="AG373" s="225"/>
      <c r="AH373" s="101">
        <v>30000</v>
      </c>
      <c r="AI373" s="101">
        <f t="shared" si="54"/>
        <v>24000</v>
      </c>
      <c r="AJ373" s="101">
        <f t="shared" si="55"/>
        <v>36000</v>
      </c>
    </row>
    <row r="374" spans="1:36" hidden="1" x14ac:dyDescent="0.3">
      <c r="A374" s="126" t="s">
        <v>182</v>
      </c>
      <c r="B374" s="126">
        <v>24</v>
      </c>
      <c r="C374" s="126">
        <v>32</v>
      </c>
      <c r="D374" s="126" t="str">
        <f t="shared" si="48"/>
        <v>2432</v>
      </c>
      <c r="E374" s="101">
        <v>498</v>
      </c>
      <c r="F374" s="101">
        <v>1308</v>
      </c>
      <c r="G374" s="101">
        <v>28155</v>
      </c>
      <c r="H374" s="101">
        <v>301511.78999999998</v>
      </c>
      <c r="I374" s="101">
        <v>286877.01</v>
      </c>
      <c r="J374" s="101">
        <v>199</v>
      </c>
      <c r="K374" s="101">
        <v>558</v>
      </c>
      <c r="L374" s="101">
        <v>11976</v>
      </c>
      <c r="M374" s="101">
        <v>194536.81</v>
      </c>
      <c r="N374" s="101">
        <v>49865.772000000004</v>
      </c>
      <c r="O374" s="101">
        <v>301</v>
      </c>
      <c r="P374" s="101">
        <v>920</v>
      </c>
      <c r="Q374" s="101">
        <v>16907</v>
      </c>
      <c r="R374" s="101">
        <v>94825.29</v>
      </c>
      <c r="S374" s="101">
        <v>55654.28</v>
      </c>
      <c r="T374" s="133">
        <v>1.02</v>
      </c>
      <c r="U374" s="101">
        <f>O374*$T$5+7</f>
        <v>314.02</v>
      </c>
      <c r="V374" s="101">
        <f>P374*$T$5+48</f>
        <v>986.4</v>
      </c>
      <c r="W374" s="101">
        <f>Q374*$T$5+3826</f>
        <v>21071.14</v>
      </c>
      <c r="X374" s="101">
        <f>R374*$T$5+36630</f>
        <v>133351.79579999999</v>
      </c>
      <c r="Y374" s="101">
        <f>S374*$T$5+16732</f>
        <v>73499.36559999999</v>
      </c>
      <c r="AG374" s="225"/>
      <c r="AH374" s="101">
        <v>30000</v>
      </c>
      <c r="AI374" s="101">
        <f t="shared" si="54"/>
        <v>24000</v>
      </c>
      <c r="AJ374" s="101">
        <f t="shared" si="55"/>
        <v>36000</v>
      </c>
    </row>
    <row r="375" spans="1:36" hidden="1" x14ac:dyDescent="0.3">
      <c r="A375" s="126" t="s">
        <v>182</v>
      </c>
      <c r="B375" s="126">
        <v>24</v>
      </c>
      <c r="C375" s="126">
        <v>21</v>
      </c>
      <c r="D375" s="126" t="str">
        <f t="shared" si="48"/>
        <v>2421</v>
      </c>
      <c r="E375" s="101">
        <v>967.5</v>
      </c>
      <c r="F375" s="101">
        <v>4118.5</v>
      </c>
      <c r="G375" s="101">
        <v>23010.5</v>
      </c>
      <c r="H375" s="101">
        <v>385586.185</v>
      </c>
      <c r="I375" s="101">
        <v>120051.48599999999</v>
      </c>
      <c r="J375" s="101">
        <v>0</v>
      </c>
      <c r="K375" s="101">
        <v>0</v>
      </c>
      <c r="L375" s="101">
        <v>0</v>
      </c>
      <c r="M375" s="101">
        <v>0</v>
      </c>
      <c r="N375" s="101">
        <v>0</v>
      </c>
      <c r="O375" s="101">
        <v>40</v>
      </c>
      <c r="P375" s="101">
        <v>59</v>
      </c>
      <c r="Q375" s="101">
        <v>834</v>
      </c>
      <c r="R375" s="101">
        <v>17729.669999999998</v>
      </c>
      <c r="S375" s="101">
        <v>8195.8389999999999</v>
      </c>
      <c r="T375" s="133">
        <v>1.02</v>
      </c>
      <c r="U375" s="101">
        <f t="shared" si="49"/>
        <v>40.799999999999997</v>
      </c>
      <c r="V375" s="101">
        <f t="shared" si="50"/>
        <v>60.18</v>
      </c>
      <c r="W375" s="101">
        <f t="shared" si="51"/>
        <v>850.68000000000006</v>
      </c>
      <c r="X375" s="101">
        <f t="shared" si="52"/>
        <v>18084.2634</v>
      </c>
      <c r="Y375" s="101">
        <f t="shared" si="53"/>
        <v>8359.7557799999995</v>
      </c>
      <c r="AG375" s="225"/>
      <c r="AH375" s="101">
        <v>30000</v>
      </c>
      <c r="AI375" s="101">
        <f t="shared" si="54"/>
        <v>24000</v>
      </c>
      <c r="AJ375" s="101">
        <f t="shared" si="55"/>
        <v>36000</v>
      </c>
    </row>
    <row r="376" spans="1:36" hidden="1" x14ac:dyDescent="0.3">
      <c r="A376" s="126" t="s">
        <v>182</v>
      </c>
      <c r="B376" s="126">
        <v>24</v>
      </c>
      <c r="C376" s="126">
        <v>28</v>
      </c>
      <c r="D376" s="126" t="str">
        <f t="shared" si="48"/>
        <v>2428</v>
      </c>
      <c r="J376" s="101">
        <v>78</v>
      </c>
      <c r="K376" s="101">
        <v>202</v>
      </c>
      <c r="L376" s="101">
        <v>4914</v>
      </c>
      <c r="M376" s="101">
        <v>143380.71999999997</v>
      </c>
      <c r="N376" s="101">
        <v>99989.069000000003</v>
      </c>
      <c r="O376" s="101">
        <v>88</v>
      </c>
      <c r="P376" s="101">
        <v>404</v>
      </c>
      <c r="Q376" s="101">
        <v>10154</v>
      </c>
      <c r="R376" s="101">
        <v>168598.94</v>
      </c>
      <c r="S376" s="101">
        <v>100388.395</v>
      </c>
      <c r="T376" s="133">
        <v>1.02</v>
      </c>
      <c r="U376" s="101">
        <f t="shared" si="49"/>
        <v>89.76</v>
      </c>
      <c r="V376" s="101">
        <f t="shared" si="50"/>
        <v>412.08</v>
      </c>
      <c r="W376" s="101">
        <f t="shared" si="51"/>
        <v>10357.08</v>
      </c>
      <c r="X376" s="101">
        <f t="shared" si="52"/>
        <v>171970.91880000001</v>
      </c>
      <c r="Y376" s="101">
        <f t="shared" si="53"/>
        <v>102396.16290000001</v>
      </c>
      <c r="AG376" s="225"/>
      <c r="AH376" s="101"/>
      <c r="AI376" s="101"/>
      <c r="AJ376" s="101"/>
    </row>
    <row r="377" spans="1:36" hidden="1" x14ac:dyDescent="0.3">
      <c r="A377" s="126" t="s">
        <v>182</v>
      </c>
      <c r="B377" s="126">
        <v>24</v>
      </c>
      <c r="C377" s="126">
        <v>30</v>
      </c>
      <c r="D377" s="126" t="str">
        <f t="shared" si="48"/>
        <v>2430</v>
      </c>
      <c r="E377" s="101">
        <v>362</v>
      </c>
      <c r="F377" s="101">
        <v>2071.5</v>
      </c>
      <c r="G377" s="101">
        <v>8196.5</v>
      </c>
      <c r="H377" s="101">
        <v>199275.41500000001</v>
      </c>
      <c r="I377" s="101">
        <v>62466.361000000004</v>
      </c>
      <c r="J377" s="101">
        <v>311</v>
      </c>
      <c r="K377" s="101">
        <v>5615</v>
      </c>
      <c r="L377" s="101">
        <v>17883</v>
      </c>
      <c r="M377" s="101">
        <v>314237.41000000003</v>
      </c>
      <c r="N377" s="101">
        <v>85388.383000000002</v>
      </c>
      <c r="O377" s="101">
        <v>259</v>
      </c>
      <c r="P377" s="101">
        <v>4234</v>
      </c>
      <c r="Q377" s="101">
        <v>13626</v>
      </c>
      <c r="R377" s="101">
        <v>293182.18</v>
      </c>
      <c r="S377" s="101">
        <v>107804.857</v>
      </c>
      <c r="T377" s="133">
        <v>1.02</v>
      </c>
      <c r="U377" s="101">
        <f t="shared" si="49"/>
        <v>264.18</v>
      </c>
      <c r="V377" s="101">
        <f t="shared" si="50"/>
        <v>4318.68</v>
      </c>
      <c r="W377" s="101">
        <f t="shared" si="51"/>
        <v>13898.52</v>
      </c>
      <c r="X377" s="101">
        <f t="shared" si="52"/>
        <v>299045.8236</v>
      </c>
      <c r="Y377" s="101">
        <f t="shared" si="53"/>
        <v>109960.95414</v>
      </c>
      <c r="AG377" s="225"/>
      <c r="AH377" s="101">
        <v>30000</v>
      </c>
      <c r="AI377" s="101">
        <f t="shared" si="54"/>
        <v>24000</v>
      </c>
      <c r="AJ377" s="101">
        <f t="shared" si="55"/>
        <v>36000</v>
      </c>
    </row>
    <row r="378" spans="1:36" hidden="1" x14ac:dyDescent="0.3">
      <c r="A378" s="126" t="s">
        <v>182</v>
      </c>
      <c r="B378" s="126">
        <v>24</v>
      </c>
      <c r="C378" s="126">
        <v>66</v>
      </c>
      <c r="D378" s="126" t="str">
        <f t="shared" si="48"/>
        <v>2466</v>
      </c>
      <c r="J378" s="101">
        <v>50</v>
      </c>
      <c r="K378" s="101">
        <v>56</v>
      </c>
      <c r="L378" s="101">
        <v>3593</v>
      </c>
      <c r="M378" s="101">
        <v>33158.270000000004</v>
      </c>
      <c r="N378" s="101">
        <v>19539.123000000003</v>
      </c>
      <c r="O378" s="101">
        <v>27</v>
      </c>
      <c r="P378" s="101">
        <v>51</v>
      </c>
      <c r="Q378" s="101">
        <v>3784</v>
      </c>
      <c r="R378" s="101">
        <v>43549.91</v>
      </c>
      <c r="S378" s="101">
        <v>39104.324999999997</v>
      </c>
      <c r="T378" s="133">
        <v>1.02</v>
      </c>
      <c r="U378" s="101">
        <f t="shared" si="49"/>
        <v>27.54</v>
      </c>
      <c r="V378" s="101">
        <f t="shared" si="50"/>
        <v>52.02</v>
      </c>
      <c r="W378" s="101">
        <f t="shared" si="51"/>
        <v>3859.6800000000003</v>
      </c>
      <c r="X378" s="101">
        <f t="shared" si="52"/>
        <v>44420.908200000005</v>
      </c>
      <c r="Y378" s="101">
        <f t="shared" si="53"/>
        <v>39886.411499999995</v>
      </c>
      <c r="AG378" s="225"/>
      <c r="AH378" s="101"/>
      <c r="AI378" s="101"/>
      <c r="AJ378" s="101"/>
    </row>
    <row r="379" spans="1:36" hidden="1" x14ac:dyDescent="0.3">
      <c r="A379" s="126" t="s">
        <v>182</v>
      </c>
      <c r="B379" s="126">
        <v>24</v>
      </c>
      <c r="C379" s="126">
        <v>46</v>
      </c>
      <c r="D379" s="126" t="str">
        <f t="shared" si="48"/>
        <v>2446</v>
      </c>
      <c r="J379" s="101">
        <v>5</v>
      </c>
      <c r="K379" s="101">
        <v>11</v>
      </c>
      <c r="L379" s="101">
        <v>45</v>
      </c>
      <c r="M379" s="101">
        <v>1605.69</v>
      </c>
      <c r="N379" s="101">
        <v>1696.5820000000001</v>
      </c>
      <c r="O379" s="101">
        <v>10</v>
      </c>
      <c r="P379" s="101">
        <v>11</v>
      </c>
      <c r="Q379" s="101">
        <v>93</v>
      </c>
      <c r="R379" s="101">
        <v>932.02</v>
      </c>
      <c r="S379" s="101">
        <v>247.11099999999999</v>
      </c>
      <c r="T379" s="133">
        <v>1.02</v>
      </c>
      <c r="U379" s="101">
        <f t="shared" si="49"/>
        <v>10.199999999999999</v>
      </c>
      <c r="V379" s="101">
        <f t="shared" si="50"/>
        <v>11.22</v>
      </c>
      <c r="W379" s="101">
        <f t="shared" si="51"/>
        <v>94.86</v>
      </c>
      <c r="X379" s="101">
        <f t="shared" si="52"/>
        <v>950.66039999999998</v>
      </c>
      <c r="Y379" s="101">
        <f t="shared" si="53"/>
        <v>252.05321999999998</v>
      </c>
      <c r="AG379" s="225"/>
      <c r="AH379" s="101"/>
      <c r="AI379" s="101"/>
      <c r="AJ379" s="101"/>
    </row>
    <row r="380" spans="1:36" x14ac:dyDescent="0.3">
      <c r="A380" s="126" t="s">
        <v>182</v>
      </c>
      <c r="B380" s="126">
        <v>24</v>
      </c>
      <c r="C380" s="126">
        <v>91</v>
      </c>
      <c r="D380" s="126" t="str">
        <f t="shared" si="48"/>
        <v>2491</v>
      </c>
      <c r="J380" s="101">
        <v>2</v>
      </c>
      <c r="K380" s="101">
        <v>5</v>
      </c>
      <c r="L380" s="101">
        <v>13</v>
      </c>
      <c r="M380" s="101">
        <v>369.98</v>
      </c>
      <c r="N380" s="101">
        <v>211.381</v>
      </c>
      <c r="O380" s="101">
        <v>7</v>
      </c>
      <c r="P380" s="101">
        <v>8</v>
      </c>
      <c r="Q380" s="101">
        <v>71</v>
      </c>
      <c r="R380" s="101">
        <v>501.72</v>
      </c>
      <c r="S380" s="101">
        <v>238.126</v>
      </c>
      <c r="T380" s="133">
        <v>1.02</v>
      </c>
      <c r="U380" s="101">
        <f t="shared" si="49"/>
        <v>7.1400000000000006</v>
      </c>
      <c r="V380" s="101">
        <f t="shared" si="50"/>
        <v>8.16</v>
      </c>
      <c r="W380" s="101">
        <f t="shared" si="51"/>
        <v>72.42</v>
      </c>
      <c r="X380" s="101">
        <f t="shared" si="52"/>
        <v>511.75440000000003</v>
      </c>
      <c r="Y380" s="101">
        <f t="shared" si="53"/>
        <v>242.88852</v>
      </c>
      <c r="AG380" s="225"/>
      <c r="AH380" s="101"/>
      <c r="AI380" s="101"/>
      <c r="AJ380" s="101"/>
    </row>
    <row r="381" spans="1:36" hidden="1" x14ac:dyDescent="0.3">
      <c r="A381" s="126" t="s">
        <v>182</v>
      </c>
      <c r="B381" s="126">
        <v>24</v>
      </c>
      <c r="C381" s="126">
        <v>71</v>
      </c>
      <c r="D381" s="126" t="str">
        <f t="shared" si="48"/>
        <v>2471</v>
      </c>
      <c r="E381" s="101">
        <v>584.5</v>
      </c>
      <c r="F381" s="101">
        <v>4314.5</v>
      </c>
      <c r="G381" s="101">
        <v>11321</v>
      </c>
      <c r="H381" s="101">
        <v>114063.16</v>
      </c>
      <c r="I381" s="101">
        <v>69091.254000000001</v>
      </c>
      <c r="J381" s="101">
        <v>477</v>
      </c>
      <c r="K381" s="101">
        <v>7941</v>
      </c>
      <c r="L381" s="101">
        <v>31919</v>
      </c>
      <c r="M381" s="101">
        <v>238497</v>
      </c>
      <c r="N381" s="101">
        <v>129276.03399999999</v>
      </c>
      <c r="O381" s="101">
        <v>487</v>
      </c>
      <c r="P381" s="101">
        <v>6898</v>
      </c>
      <c r="Q381" s="101">
        <v>126096</v>
      </c>
      <c r="R381" s="101">
        <v>168162.37</v>
      </c>
      <c r="S381" s="101">
        <v>71665.735000000001</v>
      </c>
      <c r="T381" s="133">
        <v>0.98</v>
      </c>
      <c r="U381" s="101">
        <f t="shared" si="49"/>
        <v>477.26</v>
      </c>
      <c r="V381" s="101">
        <f t="shared" si="50"/>
        <v>6760.04</v>
      </c>
      <c r="W381" s="101">
        <f t="shared" si="51"/>
        <v>123574.08</v>
      </c>
      <c r="X381" s="101">
        <f>R381*T381</f>
        <v>164799.1226</v>
      </c>
      <c r="Y381" s="101">
        <f t="shared" si="53"/>
        <v>70232.420299999998</v>
      </c>
      <c r="AG381" s="225"/>
      <c r="AH381" s="101">
        <v>30000</v>
      </c>
      <c r="AI381" s="101">
        <f t="shared" si="54"/>
        <v>24000</v>
      </c>
      <c r="AJ381" s="101">
        <f t="shared" si="55"/>
        <v>36000</v>
      </c>
    </row>
    <row r="382" spans="1:36" hidden="1" x14ac:dyDescent="0.3">
      <c r="A382" s="126" t="s">
        <v>182</v>
      </c>
      <c r="B382" s="126">
        <v>24</v>
      </c>
      <c r="C382" s="126">
        <v>41</v>
      </c>
      <c r="D382" s="126" t="str">
        <f t="shared" si="48"/>
        <v>2441</v>
      </c>
      <c r="O382" s="101">
        <v>8</v>
      </c>
      <c r="P382" s="101">
        <v>17</v>
      </c>
      <c r="Q382" s="101">
        <v>103</v>
      </c>
      <c r="R382" s="101">
        <v>2027.26</v>
      </c>
      <c r="S382" s="101">
        <v>443.99</v>
      </c>
      <c r="T382" s="133">
        <v>1.02</v>
      </c>
      <c r="U382" s="101">
        <f t="shared" si="49"/>
        <v>8.16</v>
      </c>
      <c r="V382" s="101">
        <f t="shared" si="50"/>
        <v>17.34</v>
      </c>
      <c r="W382" s="101">
        <f t="shared" si="51"/>
        <v>105.06</v>
      </c>
      <c r="X382" s="101">
        <f t="shared" si="52"/>
        <v>2067.8052000000002</v>
      </c>
      <c r="Y382" s="101">
        <f t="shared" si="53"/>
        <v>452.8698</v>
      </c>
      <c r="AG382" s="225"/>
      <c r="AH382" s="101"/>
      <c r="AI382" s="101"/>
      <c r="AJ382" s="101"/>
    </row>
    <row r="383" spans="1:36" hidden="1" x14ac:dyDescent="0.3">
      <c r="A383" s="126" t="s">
        <v>182</v>
      </c>
      <c r="B383" s="126">
        <v>24</v>
      </c>
      <c r="C383" s="126">
        <v>1</v>
      </c>
      <c r="D383" s="126" t="str">
        <f t="shared" si="48"/>
        <v>241</v>
      </c>
      <c r="J383" s="101">
        <v>51</v>
      </c>
      <c r="K383" s="101">
        <v>51</v>
      </c>
      <c r="L383" s="101">
        <v>27667</v>
      </c>
      <c r="M383" s="101">
        <v>0</v>
      </c>
      <c r="N383" s="101">
        <v>68851.779118999984</v>
      </c>
      <c r="O383" s="101">
        <v>103</v>
      </c>
      <c r="P383" s="101">
        <v>103</v>
      </c>
      <c r="Q383" s="101">
        <v>28944</v>
      </c>
      <c r="S383" s="101">
        <v>139143</v>
      </c>
      <c r="T383" s="133">
        <v>1.02</v>
      </c>
      <c r="U383" s="101">
        <f t="shared" si="49"/>
        <v>105.06</v>
      </c>
      <c r="V383" s="101">
        <f t="shared" si="50"/>
        <v>105.06</v>
      </c>
      <c r="W383" s="101">
        <f t="shared" si="51"/>
        <v>29522.880000000001</v>
      </c>
      <c r="X383" s="101">
        <f t="shared" si="52"/>
        <v>0</v>
      </c>
      <c r="Y383" s="101">
        <f t="shared" si="53"/>
        <v>141925.86000000002</v>
      </c>
      <c r="AG383" s="225"/>
      <c r="AH383" s="101"/>
      <c r="AI383" s="101"/>
      <c r="AJ383" s="101"/>
    </row>
    <row r="384" spans="1:36" hidden="1" x14ac:dyDescent="0.3">
      <c r="A384" s="126" t="s">
        <v>182</v>
      </c>
      <c r="B384" s="126">
        <v>24</v>
      </c>
      <c r="C384" s="126">
        <v>37</v>
      </c>
      <c r="D384" s="126" t="str">
        <f t="shared" si="48"/>
        <v>2437</v>
      </c>
      <c r="E384" s="101">
        <v>8.75</v>
      </c>
      <c r="F384" s="101">
        <v>124.75</v>
      </c>
      <c r="G384" s="101">
        <v>678.25</v>
      </c>
      <c r="H384" s="101">
        <v>2190.5450000000001</v>
      </c>
      <c r="I384" s="101">
        <v>3851.6675000000005</v>
      </c>
      <c r="J384" s="101">
        <v>0</v>
      </c>
      <c r="K384" s="101">
        <v>0</v>
      </c>
      <c r="L384" s="101">
        <v>0</v>
      </c>
      <c r="M384" s="101">
        <v>0</v>
      </c>
      <c r="N384" s="101">
        <v>0</v>
      </c>
      <c r="O384" s="101">
        <v>2</v>
      </c>
      <c r="P384" s="101">
        <v>31</v>
      </c>
      <c r="Q384" s="101">
        <v>51864</v>
      </c>
      <c r="R384" s="101">
        <v>33648.19</v>
      </c>
      <c r="S384" s="101">
        <v>9155.1260000000002</v>
      </c>
      <c r="T384" s="133">
        <v>1.02</v>
      </c>
      <c r="U384" s="101">
        <f t="shared" si="49"/>
        <v>2.04</v>
      </c>
      <c r="V384" s="101">
        <f t="shared" si="50"/>
        <v>31.62</v>
      </c>
      <c r="W384" s="101">
        <f t="shared" si="51"/>
        <v>52901.279999999999</v>
      </c>
      <c r="X384" s="101">
        <f t="shared" si="52"/>
        <v>34321.1538</v>
      </c>
      <c r="Y384" s="101">
        <f t="shared" si="53"/>
        <v>9338.2285200000006</v>
      </c>
      <c r="AG384" s="225"/>
      <c r="AH384" s="101">
        <v>30000</v>
      </c>
      <c r="AI384" s="101">
        <f t="shared" si="54"/>
        <v>24000</v>
      </c>
      <c r="AJ384" s="101">
        <f t="shared" si="55"/>
        <v>36000</v>
      </c>
    </row>
    <row r="385" spans="1:36" hidden="1" x14ac:dyDescent="0.3">
      <c r="A385" s="126" t="s">
        <v>182</v>
      </c>
      <c r="B385" s="126">
        <v>25</v>
      </c>
      <c r="C385" s="126">
        <v>22</v>
      </c>
      <c r="D385" s="126" t="str">
        <f t="shared" si="48"/>
        <v>2522</v>
      </c>
      <c r="E385" s="101">
        <v>452</v>
      </c>
      <c r="F385" s="101">
        <v>4426</v>
      </c>
      <c r="G385" s="101">
        <v>30878</v>
      </c>
      <c r="H385" s="101">
        <v>124161.29</v>
      </c>
      <c r="I385" s="101">
        <v>104965.93700000001</v>
      </c>
      <c r="J385" s="101">
        <v>397</v>
      </c>
      <c r="K385" s="101">
        <v>3714</v>
      </c>
      <c r="L385" s="101">
        <v>26189</v>
      </c>
      <c r="M385" s="101">
        <v>139257.04</v>
      </c>
      <c r="N385" s="101">
        <v>93753.81</v>
      </c>
      <c r="O385" s="101">
        <v>421</v>
      </c>
      <c r="P385" s="101">
        <v>3095</v>
      </c>
      <c r="Q385" s="101">
        <v>21803</v>
      </c>
      <c r="R385" s="101">
        <v>104267.54</v>
      </c>
      <c r="S385" s="101">
        <v>75670.779999999984</v>
      </c>
      <c r="T385" s="133">
        <v>1.02</v>
      </c>
      <c r="U385" s="101">
        <f t="shared" si="49"/>
        <v>429.42</v>
      </c>
      <c r="V385" s="101">
        <f t="shared" si="50"/>
        <v>3156.9</v>
      </c>
      <c r="W385" s="101">
        <f t="shared" si="51"/>
        <v>22239.06</v>
      </c>
      <c r="X385" s="101">
        <f t="shared" si="52"/>
        <v>106352.89079999999</v>
      </c>
      <c r="Y385" s="101">
        <f t="shared" si="53"/>
        <v>77184.195599999992</v>
      </c>
      <c r="AG385" s="225">
        <f>SUM(V385:V400)</f>
        <v>19735.52</v>
      </c>
      <c r="AH385" s="101">
        <v>30000</v>
      </c>
      <c r="AI385" s="101">
        <f t="shared" si="54"/>
        <v>24000</v>
      </c>
      <c r="AJ385" s="101">
        <f t="shared" si="55"/>
        <v>36000</v>
      </c>
    </row>
    <row r="386" spans="1:36" hidden="1" x14ac:dyDescent="0.3">
      <c r="A386" s="126" t="s">
        <v>182</v>
      </c>
      <c r="B386" s="126">
        <v>25</v>
      </c>
      <c r="C386" s="126">
        <v>25</v>
      </c>
      <c r="D386" s="126" t="str">
        <f t="shared" si="48"/>
        <v>2525</v>
      </c>
      <c r="E386" s="101">
        <v>119</v>
      </c>
      <c r="F386" s="101">
        <v>975</v>
      </c>
      <c r="G386" s="101">
        <v>29137</v>
      </c>
      <c r="H386" s="101">
        <v>363353.96999999991</v>
      </c>
      <c r="I386" s="101">
        <v>145254.52300000002</v>
      </c>
      <c r="J386" s="101">
        <v>141</v>
      </c>
      <c r="K386" s="101">
        <v>1168</v>
      </c>
      <c r="L386" s="101">
        <v>17326</v>
      </c>
      <c r="M386" s="101">
        <v>385947.03</v>
      </c>
      <c r="N386" s="101">
        <v>142560.16199999998</v>
      </c>
      <c r="O386" s="101">
        <v>182</v>
      </c>
      <c r="P386" s="101">
        <v>2828</v>
      </c>
      <c r="Q386" s="101">
        <v>49735</v>
      </c>
      <c r="R386" s="101">
        <v>468547.59999999992</v>
      </c>
      <c r="S386" s="101">
        <v>222699.644</v>
      </c>
      <c r="T386" s="133">
        <v>1.02</v>
      </c>
      <c r="U386" s="101">
        <f t="shared" si="49"/>
        <v>185.64000000000001</v>
      </c>
      <c r="V386" s="101">
        <f t="shared" si="50"/>
        <v>2884.56</v>
      </c>
      <c r="W386" s="101">
        <f t="shared" si="51"/>
        <v>50729.700000000004</v>
      </c>
      <c r="X386" s="101">
        <f t="shared" si="52"/>
        <v>477918.55199999991</v>
      </c>
      <c r="Y386" s="101">
        <f t="shared" si="53"/>
        <v>227153.63688000001</v>
      </c>
      <c r="AG386" s="225"/>
      <c r="AH386" s="101">
        <v>30000</v>
      </c>
      <c r="AI386" s="101">
        <f t="shared" si="54"/>
        <v>24000</v>
      </c>
      <c r="AJ386" s="101">
        <f t="shared" si="55"/>
        <v>36000</v>
      </c>
    </row>
    <row r="387" spans="1:36" hidden="1" x14ac:dyDescent="0.3">
      <c r="A387" s="126" t="s">
        <v>182</v>
      </c>
      <c r="B387" s="126">
        <v>25</v>
      </c>
      <c r="C387" s="126">
        <v>27</v>
      </c>
      <c r="D387" s="126" t="str">
        <f t="shared" si="48"/>
        <v>2527</v>
      </c>
      <c r="E387" s="101">
        <v>6</v>
      </c>
      <c r="F387" s="101">
        <v>222</v>
      </c>
      <c r="G387" s="101">
        <v>2028</v>
      </c>
      <c r="H387" s="101">
        <v>31735.43</v>
      </c>
      <c r="I387" s="101">
        <v>9062.8240000000005</v>
      </c>
      <c r="J387" s="101">
        <v>6</v>
      </c>
      <c r="K387" s="101">
        <v>55</v>
      </c>
      <c r="L387" s="101">
        <v>352</v>
      </c>
      <c r="M387" s="101">
        <v>4404.9399999999996</v>
      </c>
      <c r="N387" s="101">
        <v>2269.9319999999998</v>
      </c>
      <c r="O387" s="101">
        <v>7</v>
      </c>
      <c r="P387" s="101">
        <v>28</v>
      </c>
      <c r="Q387" s="101">
        <v>370</v>
      </c>
      <c r="R387" s="101">
        <v>3915.67</v>
      </c>
      <c r="S387" s="101">
        <v>2273.5720000000001</v>
      </c>
      <c r="T387" s="133">
        <v>1.02</v>
      </c>
      <c r="U387" s="101">
        <f t="shared" si="49"/>
        <v>7.1400000000000006</v>
      </c>
      <c r="V387" s="101">
        <f t="shared" si="50"/>
        <v>28.560000000000002</v>
      </c>
      <c r="W387" s="101">
        <f t="shared" si="51"/>
        <v>377.40000000000003</v>
      </c>
      <c r="X387" s="101">
        <f t="shared" si="52"/>
        <v>3993.9834000000001</v>
      </c>
      <c r="Y387" s="101">
        <f t="shared" si="53"/>
        <v>2319.0434400000004</v>
      </c>
      <c r="AG387" s="225"/>
      <c r="AH387" s="101">
        <v>30000</v>
      </c>
      <c r="AI387" s="101">
        <f t="shared" si="54"/>
        <v>24000</v>
      </c>
      <c r="AJ387" s="101">
        <f t="shared" si="55"/>
        <v>36000</v>
      </c>
    </row>
    <row r="388" spans="1:36" hidden="1" x14ac:dyDescent="0.3">
      <c r="A388" s="126" t="s">
        <v>182</v>
      </c>
      <c r="B388" s="126">
        <v>25</v>
      </c>
      <c r="C388" s="126">
        <v>26</v>
      </c>
      <c r="D388" s="126" t="str">
        <f t="shared" si="48"/>
        <v>2526</v>
      </c>
      <c r="E388" s="101">
        <v>77</v>
      </c>
      <c r="F388" s="101">
        <v>1679</v>
      </c>
      <c r="G388" s="101">
        <v>20786</v>
      </c>
      <c r="H388" s="101">
        <v>351712.06</v>
      </c>
      <c r="I388" s="101">
        <v>126070.698</v>
      </c>
      <c r="J388" s="101">
        <v>76</v>
      </c>
      <c r="K388" s="101">
        <v>2880</v>
      </c>
      <c r="L388" s="101">
        <v>41425</v>
      </c>
      <c r="M388" s="101">
        <v>650924.09000000008</v>
      </c>
      <c r="N388" s="101">
        <v>165155.45000000001</v>
      </c>
      <c r="O388" s="101">
        <v>12</v>
      </c>
      <c r="P388" s="101">
        <v>586</v>
      </c>
      <c r="Q388" s="101">
        <v>9195</v>
      </c>
      <c r="R388" s="101">
        <v>105462.51000000001</v>
      </c>
      <c r="S388" s="101">
        <v>36703.756000000008</v>
      </c>
      <c r="T388" s="133">
        <v>1.02</v>
      </c>
      <c r="U388" s="101">
        <f t="shared" si="49"/>
        <v>12.24</v>
      </c>
      <c r="V388" s="101">
        <f t="shared" si="50"/>
        <v>597.72</v>
      </c>
      <c r="W388" s="101">
        <f t="shared" si="51"/>
        <v>9378.9</v>
      </c>
      <c r="X388" s="101">
        <f t="shared" si="52"/>
        <v>107571.7602</v>
      </c>
      <c r="Y388" s="101">
        <f t="shared" si="53"/>
        <v>37437.83112000001</v>
      </c>
      <c r="AG388" s="225"/>
      <c r="AH388" s="101">
        <v>30000</v>
      </c>
      <c r="AI388" s="101">
        <f t="shared" si="54"/>
        <v>24000</v>
      </c>
      <c r="AJ388" s="101">
        <f t="shared" si="55"/>
        <v>36000</v>
      </c>
    </row>
    <row r="389" spans="1:36" hidden="1" x14ac:dyDescent="0.3">
      <c r="A389" s="126" t="s">
        <v>182</v>
      </c>
      <c r="B389" s="126">
        <v>25</v>
      </c>
      <c r="C389" s="126">
        <v>32</v>
      </c>
      <c r="D389" s="126" t="str">
        <f t="shared" si="48"/>
        <v>2532</v>
      </c>
      <c r="E389" s="101">
        <v>448</v>
      </c>
      <c r="F389" s="101">
        <v>1749</v>
      </c>
      <c r="G389" s="101">
        <v>29345</v>
      </c>
      <c r="H389" s="101">
        <v>326463.74</v>
      </c>
      <c r="I389" s="101">
        <v>98610.127999999997</v>
      </c>
      <c r="J389" s="101">
        <v>199</v>
      </c>
      <c r="K389" s="101">
        <v>519</v>
      </c>
      <c r="L389" s="101">
        <v>8102</v>
      </c>
      <c r="M389" s="101">
        <v>37043.900000000009</v>
      </c>
      <c r="N389" s="101">
        <v>35756.131000000001</v>
      </c>
      <c r="O389" s="101">
        <v>272</v>
      </c>
      <c r="P389" s="101">
        <v>915</v>
      </c>
      <c r="Q389" s="101">
        <v>17352</v>
      </c>
      <c r="R389" s="101">
        <v>77165.009999999995</v>
      </c>
      <c r="S389" s="101">
        <v>82016.536999999997</v>
      </c>
      <c r="T389" s="133">
        <v>1.02</v>
      </c>
      <c r="U389" s="101">
        <f>O389*$T$5+2</f>
        <v>279.44</v>
      </c>
      <c r="V389" s="101">
        <f>P389*$T$5+12</f>
        <v>945.30000000000007</v>
      </c>
      <c r="W389" s="101">
        <f>Q389*$T$5+690</f>
        <v>18389.04</v>
      </c>
      <c r="X389" s="101">
        <f>R389*$T$5+4082</f>
        <v>82790.310199999993</v>
      </c>
      <c r="Y389" s="101">
        <f>S389*$T$5+1664</f>
        <v>85320.867740000002</v>
      </c>
      <c r="AG389" s="225"/>
      <c r="AH389" s="101">
        <v>30000</v>
      </c>
      <c r="AI389" s="101">
        <f t="shared" si="54"/>
        <v>24000</v>
      </c>
      <c r="AJ389" s="101">
        <f t="shared" si="55"/>
        <v>36000</v>
      </c>
    </row>
    <row r="390" spans="1:36" hidden="1" x14ac:dyDescent="0.3">
      <c r="A390" s="126" t="s">
        <v>182</v>
      </c>
      <c r="B390" s="126">
        <v>25</v>
      </c>
      <c r="C390" s="126">
        <v>21</v>
      </c>
      <c r="D390" s="126" t="str">
        <f t="shared" si="48"/>
        <v>2521</v>
      </c>
      <c r="E390" s="101">
        <v>934.5</v>
      </c>
      <c r="F390" s="101">
        <v>4957.5</v>
      </c>
      <c r="G390" s="101">
        <v>24400.5</v>
      </c>
      <c r="H390" s="101">
        <v>406641.9</v>
      </c>
      <c r="I390" s="101">
        <v>112271.00750000001</v>
      </c>
      <c r="J390" s="101">
        <v>0</v>
      </c>
      <c r="K390" s="101">
        <v>0</v>
      </c>
      <c r="L390" s="101">
        <v>0</v>
      </c>
      <c r="M390" s="101">
        <v>0</v>
      </c>
      <c r="N390" s="101">
        <v>0</v>
      </c>
      <c r="O390" s="101">
        <v>55</v>
      </c>
      <c r="P390" s="101">
        <v>74</v>
      </c>
      <c r="Q390" s="101">
        <v>345</v>
      </c>
      <c r="R390" s="101">
        <v>3719.62</v>
      </c>
      <c r="S390" s="101">
        <v>1390.7950000000001</v>
      </c>
      <c r="T390" s="133">
        <v>1.02</v>
      </c>
      <c r="U390" s="101">
        <f t="shared" ref="U390:U453" si="56">O390*T390</f>
        <v>56.1</v>
      </c>
      <c r="V390" s="101">
        <f t="shared" ref="V390:V453" si="57">P390*T390</f>
        <v>75.48</v>
      </c>
      <c r="W390" s="101">
        <f t="shared" ref="W390:W453" si="58">Q390*T390</f>
        <v>351.90000000000003</v>
      </c>
      <c r="X390" s="101">
        <f t="shared" ref="X390:X453" si="59">R390*T390</f>
        <v>3794.0124000000001</v>
      </c>
      <c r="Y390" s="101">
        <f t="shared" ref="Y390:Y453" si="60">S390*T390</f>
        <v>1418.6109000000001</v>
      </c>
      <c r="AG390" s="225"/>
      <c r="AH390" s="101">
        <v>30000</v>
      </c>
      <c r="AI390" s="101">
        <f t="shared" si="54"/>
        <v>24000</v>
      </c>
      <c r="AJ390" s="101">
        <f t="shared" si="55"/>
        <v>36000</v>
      </c>
    </row>
    <row r="391" spans="1:36" hidden="1" x14ac:dyDescent="0.3">
      <c r="A391" s="126" t="s">
        <v>182</v>
      </c>
      <c r="B391" s="126">
        <v>25</v>
      </c>
      <c r="C391" s="126">
        <v>30</v>
      </c>
      <c r="D391" s="126" t="str">
        <f t="shared" si="48"/>
        <v>2530</v>
      </c>
      <c r="E391" s="101">
        <v>262.5</v>
      </c>
      <c r="F391" s="101">
        <v>3655</v>
      </c>
      <c r="G391" s="101">
        <v>11933</v>
      </c>
      <c r="H391" s="101">
        <v>291238.65500000003</v>
      </c>
      <c r="I391" s="101">
        <v>86292.500500000009</v>
      </c>
      <c r="J391" s="101">
        <v>400</v>
      </c>
      <c r="K391" s="101">
        <v>5162</v>
      </c>
      <c r="L391" s="101">
        <v>17787</v>
      </c>
      <c r="M391" s="101">
        <v>380028.05000000005</v>
      </c>
      <c r="N391" s="101">
        <v>147456.34599999999</v>
      </c>
      <c r="O391" s="101">
        <v>304</v>
      </c>
      <c r="P391" s="101">
        <v>5238</v>
      </c>
      <c r="Q391" s="101">
        <v>20066</v>
      </c>
      <c r="R391" s="101">
        <v>405476.76000000007</v>
      </c>
      <c r="S391" s="101">
        <v>126319.98500000002</v>
      </c>
      <c r="T391" s="133">
        <v>1.02</v>
      </c>
      <c r="U391" s="101">
        <f t="shared" si="56"/>
        <v>310.08</v>
      </c>
      <c r="V391" s="101">
        <f t="shared" si="57"/>
        <v>5342.76</v>
      </c>
      <c r="W391" s="101">
        <f t="shared" si="58"/>
        <v>20467.32</v>
      </c>
      <c r="X391" s="101">
        <f t="shared" si="59"/>
        <v>413586.29520000005</v>
      </c>
      <c r="Y391" s="101">
        <f t="shared" si="60"/>
        <v>128846.38470000002</v>
      </c>
      <c r="AG391" s="225"/>
      <c r="AH391" s="101">
        <v>30000</v>
      </c>
      <c r="AI391" s="101">
        <f t="shared" si="54"/>
        <v>24000</v>
      </c>
      <c r="AJ391" s="101">
        <f t="shared" si="55"/>
        <v>36000</v>
      </c>
    </row>
    <row r="392" spans="1:36" hidden="1" x14ac:dyDescent="0.3">
      <c r="A392" s="126" t="s">
        <v>182</v>
      </c>
      <c r="B392" s="126">
        <v>25</v>
      </c>
      <c r="C392" s="126">
        <v>66</v>
      </c>
      <c r="D392" s="126" t="str">
        <f t="shared" si="48"/>
        <v>2566</v>
      </c>
      <c r="J392" s="101">
        <v>35</v>
      </c>
      <c r="K392" s="101">
        <v>78</v>
      </c>
      <c r="L392" s="101">
        <v>1899</v>
      </c>
      <c r="M392" s="101">
        <v>28280.629999999997</v>
      </c>
      <c r="N392" s="101">
        <v>16767.034999999996</v>
      </c>
      <c r="O392" s="101">
        <v>15</v>
      </c>
      <c r="P392" s="101">
        <v>18</v>
      </c>
      <c r="Q392" s="101">
        <v>752</v>
      </c>
      <c r="R392" s="101">
        <v>9947.2899999999991</v>
      </c>
      <c r="S392" s="101">
        <v>6663.4070000000002</v>
      </c>
      <c r="T392" s="133">
        <v>1.02</v>
      </c>
      <c r="U392" s="101">
        <f t="shared" si="56"/>
        <v>15.3</v>
      </c>
      <c r="V392" s="101">
        <f t="shared" si="57"/>
        <v>18.36</v>
      </c>
      <c r="W392" s="101">
        <f t="shared" si="58"/>
        <v>767.04</v>
      </c>
      <c r="X392" s="101">
        <f t="shared" si="59"/>
        <v>10146.235799999999</v>
      </c>
      <c r="Y392" s="101">
        <f t="shared" si="60"/>
        <v>6796.6751400000003</v>
      </c>
      <c r="AG392" s="225"/>
      <c r="AH392" s="101"/>
      <c r="AI392" s="101"/>
      <c r="AJ392" s="101"/>
    </row>
    <row r="393" spans="1:36" hidden="1" x14ac:dyDescent="0.3">
      <c r="A393" s="126" t="s">
        <v>182</v>
      </c>
      <c r="B393" s="126">
        <v>25</v>
      </c>
      <c r="C393" s="126">
        <v>46</v>
      </c>
      <c r="D393" s="126" t="str">
        <f t="shared" si="48"/>
        <v>2546</v>
      </c>
      <c r="J393" s="101">
        <v>6</v>
      </c>
      <c r="K393" s="101">
        <v>6</v>
      </c>
      <c r="L393" s="101">
        <v>51</v>
      </c>
      <c r="M393" s="101">
        <v>1136.21</v>
      </c>
      <c r="N393" s="101">
        <v>165.11299999999997</v>
      </c>
      <c r="O393" s="101">
        <v>2</v>
      </c>
      <c r="P393" s="101">
        <v>3</v>
      </c>
      <c r="Q393" s="101">
        <v>63</v>
      </c>
      <c r="R393" s="101">
        <v>388.57</v>
      </c>
      <c r="S393" s="101">
        <v>139.75</v>
      </c>
      <c r="T393" s="133">
        <v>1.02</v>
      </c>
      <c r="U393" s="101">
        <f t="shared" si="56"/>
        <v>2.04</v>
      </c>
      <c r="V393" s="101">
        <f t="shared" si="57"/>
        <v>3.06</v>
      </c>
      <c r="W393" s="101">
        <f t="shared" si="58"/>
        <v>64.260000000000005</v>
      </c>
      <c r="X393" s="101">
        <f t="shared" si="59"/>
        <v>396.34140000000002</v>
      </c>
      <c r="Y393" s="101">
        <f t="shared" si="60"/>
        <v>142.54500000000002</v>
      </c>
      <c r="AG393" s="225"/>
      <c r="AH393" s="101"/>
      <c r="AI393" s="101"/>
      <c r="AJ393" s="101"/>
    </row>
    <row r="394" spans="1:36" x14ac:dyDescent="0.3">
      <c r="A394" s="126" t="s">
        <v>182</v>
      </c>
      <c r="B394" s="126">
        <v>25</v>
      </c>
      <c r="C394" s="126">
        <v>91</v>
      </c>
      <c r="D394" s="126" t="str">
        <f t="shared" si="48"/>
        <v>2591</v>
      </c>
      <c r="J394" s="101">
        <v>7</v>
      </c>
      <c r="K394" s="101">
        <v>9</v>
      </c>
      <c r="L394" s="101">
        <v>39</v>
      </c>
      <c r="M394" s="101">
        <v>221.45000000000002</v>
      </c>
      <c r="N394" s="101">
        <v>93.800999999999988</v>
      </c>
      <c r="O394" s="101">
        <v>18</v>
      </c>
      <c r="P394" s="101">
        <v>19</v>
      </c>
      <c r="Q394" s="101">
        <v>20</v>
      </c>
      <c r="R394" s="101">
        <v>792.83999999999992</v>
      </c>
      <c r="S394" s="101">
        <v>315.07800000000003</v>
      </c>
      <c r="T394" s="133">
        <v>1.02</v>
      </c>
      <c r="U394" s="101">
        <f t="shared" si="56"/>
        <v>18.36</v>
      </c>
      <c r="V394" s="101">
        <f t="shared" si="57"/>
        <v>19.38</v>
      </c>
      <c r="W394" s="101">
        <f t="shared" si="58"/>
        <v>20.399999999999999</v>
      </c>
      <c r="X394" s="101">
        <f t="shared" si="59"/>
        <v>808.69679999999994</v>
      </c>
      <c r="Y394" s="101">
        <f t="shared" si="60"/>
        <v>321.37956000000003</v>
      </c>
      <c r="AG394" s="225"/>
      <c r="AH394" s="101"/>
      <c r="AI394" s="101"/>
      <c r="AJ394" s="101"/>
    </row>
    <row r="395" spans="1:36" hidden="1" x14ac:dyDescent="0.3">
      <c r="A395" s="126" t="s">
        <v>182</v>
      </c>
      <c r="B395" s="126">
        <v>25</v>
      </c>
      <c r="C395" s="126">
        <v>28</v>
      </c>
      <c r="D395" s="126" t="str">
        <f t="shared" si="48"/>
        <v>2528</v>
      </c>
      <c r="J395" s="101">
        <v>86</v>
      </c>
      <c r="K395" s="101">
        <v>201</v>
      </c>
      <c r="L395" s="101">
        <v>1469</v>
      </c>
      <c r="M395" s="101">
        <v>24582.080000000002</v>
      </c>
      <c r="N395" s="101">
        <v>5795.2110000000011</v>
      </c>
      <c r="O395" s="101">
        <v>86</v>
      </c>
      <c r="P395" s="101">
        <v>281</v>
      </c>
      <c r="Q395" s="101">
        <v>4358</v>
      </c>
      <c r="R395" s="101">
        <v>68355.740000000005</v>
      </c>
      <c r="S395" s="101">
        <v>24173.973999999998</v>
      </c>
      <c r="T395" s="133">
        <v>1.02</v>
      </c>
      <c r="U395" s="101">
        <f t="shared" si="56"/>
        <v>87.72</v>
      </c>
      <c r="V395" s="101">
        <f t="shared" si="57"/>
        <v>286.62</v>
      </c>
      <c r="W395" s="101">
        <f t="shared" si="58"/>
        <v>4445.16</v>
      </c>
      <c r="X395" s="101">
        <f t="shared" si="59"/>
        <v>69722.854800000001</v>
      </c>
      <c r="Y395" s="101">
        <f t="shared" si="60"/>
        <v>24657.45348</v>
      </c>
      <c r="AG395" s="225"/>
      <c r="AH395" s="101"/>
      <c r="AI395" s="101"/>
      <c r="AJ395" s="101"/>
    </row>
    <row r="396" spans="1:36" hidden="1" x14ac:dyDescent="0.3">
      <c r="A396" s="126" t="s">
        <v>182</v>
      </c>
      <c r="B396" s="126">
        <v>25</v>
      </c>
      <c r="C396" s="126">
        <v>71</v>
      </c>
      <c r="D396" s="126" t="str">
        <f t="shared" si="48"/>
        <v>2571</v>
      </c>
      <c r="E396" s="101">
        <v>611</v>
      </c>
      <c r="F396" s="101">
        <v>6608</v>
      </c>
      <c r="G396" s="101">
        <v>25132</v>
      </c>
      <c r="H396" s="101">
        <v>218660.39</v>
      </c>
      <c r="I396" s="101">
        <v>107289.25450000001</v>
      </c>
      <c r="J396" s="101">
        <v>471</v>
      </c>
      <c r="K396" s="101">
        <v>4995</v>
      </c>
      <c r="L396" s="101">
        <v>12571</v>
      </c>
      <c r="M396" s="101">
        <v>92222.760000000009</v>
      </c>
      <c r="N396" s="101">
        <v>59685.415000000008</v>
      </c>
      <c r="O396" s="101">
        <v>435</v>
      </c>
      <c r="P396" s="101">
        <v>6406</v>
      </c>
      <c r="Q396" s="101">
        <v>70898</v>
      </c>
      <c r="R396" s="101">
        <v>160159.87999999998</v>
      </c>
      <c r="S396" s="101">
        <v>71144.335999999996</v>
      </c>
      <c r="T396" s="133">
        <v>0.98</v>
      </c>
      <c r="U396" s="101">
        <f t="shared" si="56"/>
        <v>426.3</v>
      </c>
      <c r="V396" s="101">
        <f t="shared" si="57"/>
        <v>6277.88</v>
      </c>
      <c r="W396" s="101">
        <f t="shared" si="58"/>
        <v>69480.039999999994</v>
      </c>
      <c r="X396" s="101">
        <f t="shared" si="59"/>
        <v>156956.68239999996</v>
      </c>
      <c r="Y396" s="101">
        <f t="shared" si="60"/>
        <v>69721.449280000001</v>
      </c>
      <c r="AG396" s="225"/>
      <c r="AH396" s="101">
        <v>30000</v>
      </c>
      <c r="AI396" s="101">
        <f t="shared" si="54"/>
        <v>24000</v>
      </c>
      <c r="AJ396" s="101">
        <f t="shared" si="55"/>
        <v>36000</v>
      </c>
    </row>
    <row r="397" spans="1:36" hidden="1" x14ac:dyDescent="0.3">
      <c r="A397" s="126" t="s">
        <v>182</v>
      </c>
      <c r="B397" s="126">
        <v>25</v>
      </c>
      <c r="C397" s="126">
        <v>41</v>
      </c>
      <c r="D397" s="126" t="str">
        <f t="shared" si="48"/>
        <v>2541</v>
      </c>
      <c r="O397" s="101">
        <v>7</v>
      </c>
      <c r="P397" s="101">
        <v>8</v>
      </c>
      <c r="Q397" s="101">
        <v>73</v>
      </c>
      <c r="R397" s="101">
        <v>392.43</v>
      </c>
      <c r="S397" s="101">
        <v>203.286</v>
      </c>
      <c r="T397" s="133">
        <v>1.02</v>
      </c>
      <c r="U397" s="101">
        <f t="shared" si="56"/>
        <v>7.1400000000000006</v>
      </c>
      <c r="V397" s="101">
        <f t="shared" si="57"/>
        <v>8.16</v>
      </c>
      <c r="W397" s="101">
        <f t="shared" si="58"/>
        <v>74.460000000000008</v>
      </c>
      <c r="X397" s="101">
        <f t="shared" si="59"/>
        <v>400.27860000000004</v>
      </c>
      <c r="Y397" s="101">
        <f t="shared" si="60"/>
        <v>207.35172</v>
      </c>
      <c r="AG397" s="225"/>
      <c r="AH397" s="101"/>
      <c r="AI397" s="101"/>
      <c r="AJ397" s="101"/>
    </row>
    <row r="398" spans="1:36" hidden="1" x14ac:dyDescent="0.3">
      <c r="A398" s="126" t="s">
        <v>182</v>
      </c>
      <c r="B398" s="126">
        <v>25</v>
      </c>
      <c r="C398" s="126">
        <v>12</v>
      </c>
      <c r="D398" s="126" t="str">
        <f t="shared" si="48"/>
        <v>2512</v>
      </c>
      <c r="O398" s="101">
        <v>1</v>
      </c>
      <c r="P398" s="101">
        <v>1</v>
      </c>
      <c r="Q398" s="101">
        <v>1</v>
      </c>
      <c r="R398" s="101">
        <v>85.68</v>
      </c>
      <c r="S398" s="101">
        <v>25.757999999999999</v>
      </c>
      <c r="T398" s="133">
        <v>1.02</v>
      </c>
      <c r="U398" s="101">
        <f t="shared" si="56"/>
        <v>1.02</v>
      </c>
      <c r="V398" s="101">
        <f t="shared" si="57"/>
        <v>1.02</v>
      </c>
      <c r="W398" s="101">
        <f t="shared" si="58"/>
        <v>1.02</v>
      </c>
      <c r="X398" s="101">
        <f t="shared" si="59"/>
        <v>87.393600000000006</v>
      </c>
      <c r="Y398" s="101">
        <f t="shared" si="60"/>
        <v>26.273160000000001</v>
      </c>
      <c r="AG398" s="225"/>
      <c r="AH398" s="101"/>
      <c r="AI398" s="101"/>
      <c r="AJ398" s="101"/>
    </row>
    <row r="399" spans="1:36" hidden="1" x14ac:dyDescent="0.3">
      <c r="A399" s="126" t="s">
        <v>182</v>
      </c>
      <c r="B399" s="126">
        <v>25</v>
      </c>
      <c r="C399" s="126">
        <v>1</v>
      </c>
      <c r="D399" s="126" t="str">
        <f t="shared" si="48"/>
        <v>251</v>
      </c>
      <c r="J399" s="101">
        <v>187</v>
      </c>
      <c r="K399" s="101">
        <v>187</v>
      </c>
      <c r="L399" s="101">
        <v>78439</v>
      </c>
      <c r="M399" s="101">
        <v>0</v>
      </c>
      <c r="N399" s="101">
        <v>219448</v>
      </c>
      <c r="O399" s="101">
        <v>88</v>
      </c>
      <c r="P399" s="101">
        <v>88</v>
      </c>
      <c r="Q399" s="101">
        <v>36790</v>
      </c>
      <c r="S399" s="101">
        <v>240830</v>
      </c>
      <c r="T399" s="133">
        <v>1.02</v>
      </c>
      <c r="U399" s="101">
        <f t="shared" si="56"/>
        <v>89.76</v>
      </c>
      <c r="V399" s="101">
        <f t="shared" si="57"/>
        <v>89.76</v>
      </c>
      <c r="W399" s="101">
        <f t="shared" si="58"/>
        <v>37525.800000000003</v>
      </c>
      <c r="X399" s="101">
        <f t="shared" si="59"/>
        <v>0</v>
      </c>
      <c r="Y399" s="101">
        <f t="shared" si="60"/>
        <v>245646.6</v>
      </c>
      <c r="AG399" s="225"/>
      <c r="AH399" s="101"/>
      <c r="AI399" s="101"/>
      <c r="AJ399" s="101"/>
    </row>
    <row r="400" spans="1:36" hidden="1" x14ac:dyDescent="0.3">
      <c r="A400" s="126" t="s">
        <v>182</v>
      </c>
      <c r="B400" s="126">
        <v>25</v>
      </c>
      <c r="C400" s="126">
        <v>37</v>
      </c>
      <c r="D400" s="126" t="str">
        <f t="shared" si="48"/>
        <v>2537</v>
      </c>
      <c r="E400" s="101">
        <v>10.25</v>
      </c>
      <c r="F400" s="101">
        <v>0</v>
      </c>
      <c r="G400" s="101">
        <v>0</v>
      </c>
      <c r="H400" s="101">
        <v>42942.150000000009</v>
      </c>
      <c r="I400" s="101">
        <v>26807.580999999998</v>
      </c>
      <c r="J400" s="101">
        <v>1</v>
      </c>
      <c r="K400" s="101">
        <v>2</v>
      </c>
      <c r="L400" s="101">
        <v>116</v>
      </c>
      <c r="M400" s="101">
        <v>273.76</v>
      </c>
      <c r="N400" s="101">
        <v>256.416</v>
      </c>
      <c r="O400" s="101">
        <v>0</v>
      </c>
      <c r="P400" s="101">
        <v>0</v>
      </c>
      <c r="Q400" s="101">
        <v>0</v>
      </c>
      <c r="R400" s="101">
        <v>0</v>
      </c>
      <c r="S400" s="101">
        <v>0</v>
      </c>
      <c r="T400" s="133">
        <v>1.02</v>
      </c>
      <c r="U400" s="101">
        <f t="shared" si="56"/>
        <v>0</v>
      </c>
      <c r="V400" s="101">
        <f t="shared" si="57"/>
        <v>0</v>
      </c>
      <c r="W400" s="101">
        <f t="shared" si="58"/>
        <v>0</v>
      </c>
      <c r="X400" s="101">
        <f t="shared" si="59"/>
        <v>0</v>
      </c>
      <c r="Y400" s="101">
        <f t="shared" si="60"/>
        <v>0</v>
      </c>
      <c r="AG400" s="225"/>
      <c r="AH400" s="101">
        <v>30000</v>
      </c>
      <c r="AI400" s="101">
        <f t="shared" si="54"/>
        <v>24000</v>
      </c>
      <c r="AJ400" s="101">
        <f t="shared" si="55"/>
        <v>36000</v>
      </c>
    </row>
    <row r="401" spans="1:36" hidden="1" x14ac:dyDescent="0.3">
      <c r="A401" s="126" t="s">
        <v>182</v>
      </c>
      <c r="B401" s="126">
        <v>26</v>
      </c>
      <c r="C401" s="126">
        <v>22</v>
      </c>
      <c r="D401" s="126" t="str">
        <f t="shared" si="48"/>
        <v>2622</v>
      </c>
      <c r="E401" s="101">
        <v>427</v>
      </c>
      <c r="F401" s="101">
        <v>2948</v>
      </c>
      <c r="G401" s="101">
        <v>23955</v>
      </c>
      <c r="H401" s="101">
        <v>107981.14</v>
      </c>
      <c r="I401" s="101">
        <v>77662.869000000006</v>
      </c>
      <c r="J401" s="101">
        <v>366</v>
      </c>
      <c r="K401" s="101">
        <v>3404</v>
      </c>
      <c r="L401" s="101">
        <v>23466</v>
      </c>
      <c r="M401" s="101">
        <v>152859.03</v>
      </c>
      <c r="N401" s="101">
        <v>79831.865000000005</v>
      </c>
      <c r="O401" s="101">
        <v>381</v>
      </c>
      <c r="P401" s="101">
        <v>3080</v>
      </c>
      <c r="Q401" s="101">
        <v>23120</v>
      </c>
      <c r="R401" s="101">
        <v>108617.06</v>
      </c>
      <c r="S401" s="101">
        <v>68781.179999999993</v>
      </c>
      <c r="T401" s="133">
        <v>1.02</v>
      </c>
      <c r="U401" s="101">
        <f t="shared" si="56"/>
        <v>388.62</v>
      </c>
      <c r="V401" s="101">
        <f t="shared" si="57"/>
        <v>3141.6</v>
      </c>
      <c r="W401" s="101">
        <f t="shared" si="58"/>
        <v>23582.400000000001</v>
      </c>
      <c r="X401" s="101">
        <f t="shared" si="59"/>
        <v>110789.40119999999</v>
      </c>
      <c r="Y401" s="101">
        <f t="shared" si="60"/>
        <v>70156.803599999999</v>
      </c>
      <c r="AG401" s="225">
        <f>SUM(V401:V416)</f>
        <v>16568.280000000006</v>
      </c>
      <c r="AH401" s="101">
        <v>30000</v>
      </c>
      <c r="AI401" s="101">
        <f t="shared" si="54"/>
        <v>24000</v>
      </c>
      <c r="AJ401" s="101">
        <f t="shared" si="55"/>
        <v>36000</v>
      </c>
    </row>
    <row r="402" spans="1:36" hidden="1" x14ac:dyDescent="0.3">
      <c r="A402" s="126" t="s">
        <v>182</v>
      </c>
      <c r="B402" s="126">
        <v>26</v>
      </c>
      <c r="C402" s="126">
        <v>25</v>
      </c>
      <c r="D402" s="126" t="str">
        <f t="shared" si="48"/>
        <v>2625</v>
      </c>
      <c r="E402" s="101">
        <v>166</v>
      </c>
      <c r="F402" s="101">
        <v>918</v>
      </c>
      <c r="G402" s="101">
        <v>34885</v>
      </c>
      <c r="H402" s="101">
        <v>853091.48</v>
      </c>
      <c r="I402" s="101">
        <v>452277.85499999992</v>
      </c>
      <c r="J402" s="101">
        <v>114</v>
      </c>
      <c r="K402" s="101">
        <v>697</v>
      </c>
      <c r="L402" s="101">
        <v>54730</v>
      </c>
      <c r="M402" s="101">
        <v>802303.67999999993</v>
      </c>
      <c r="N402" s="101">
        <v>438928.95699999999</v>
      </c>
      <c r="O402" s="101">
        <v>203</v>
      </c>
      <c r="P402" s="101">
        <v>2371</v>
      </c>
      <c r="Q402" s="101">
        <v>46429</v>
      </c>
      <c r="R402" s="101">
        <v>697185.5</v>
      </c>
      <c r="S402" s="101">
        <v>321194.21399999998</v>
      </c>
      <c r="T402" s="133">
        <v>1.02</v>
      </c>
      <c r="U402" s="101">
        <f t="shared" si="56"/>
        <v>207.06</v>
      </c>
      <c r="V402" s="101">
        <f t="shared" si="57"/>
        <v>2418.42</v>
      </c>
      <c r="W402" s="101">
        <f t="shared" si="58"/>
        <v>47357.58</v>
      </c>
      <c r="X402" s="101">
        <f t="shared" si="59"/>
        <v>711129.21</v>
      </c>
      <c r="Y402" s="101">
        <f t="shared" si="60"/>
        <v>327618.09827999998</v>
      </c>
      <c r="AG402" s="225"/>
      <c r="AH402" s="101">
        <v>30000</v>
      </c>
      <c r="AI402" s="101">
        <f t="shared" si="54"/>
        <v>24000</v>
      </c>
      <c r="AJ402" s="101">
        <f t="shared" si="55"/>
        <v>36000</v>
      </c>
    </row>
    <row r="403" spans="1:36" hidden="1" x14ac:dyDescent="0.3">
      <c r="A403" s="126" t="s">
        <v>182</v>
      </c>
      <c r="B403" s="126">
        <v>26</v>
      </c>
      <c r="C403" s="126">
        <v>27</v>
      </c>
      <c r="D403" s="126" t="str">
        <f t="shared" si="48"/>
        <v>2627</v>
      </c>
      <c r="E403" s="101">
        <v>9</v>
      </c>
      <c r="F403" s="101">
        <v>282</v>
      </c>
      <c r="G403" s="101">
        <v>3738</v>
      </c>
      <c r="H403" s="101">
        <v>25507.079999999998</v>
      </c>
      <c r="I403" s="101">
        <v>7726.4230000000007</v>
      </c>
      <c r="J403" s="101">
        <v>14</v>
      </c>
      <c r="K403" s="101">
        <v>19</v>
      </c>
      <c r="L403" s="101">
        <v>79</v>
      </c>
      <c r="M403" s="101">
        <v>424.15999999999997</v>
      </c>
      <c r="N403" s="101">
        <v>222.238</v>
      </c>
      <c r="O403" s="101">
        <v>6</v>
      </c>
      <c r="P403" s="101">
        <v>23</v>
      </c>
      <c r="Q403" s="101">
        <v>200</v>
      </c>
      <c r="R403" s="101">
        <v>2174.7199999999998</v>
      </c>
      <c r="S403" s="101">
        <v>1116.0619999999999</v>
      </c>
      <c r="T403" s="133">
        <v>1.02</v>
      </c>
      <c r="U403" s="101">
        <f t="shared" si="56"/>
        <v>6.12</v>
      </c>
      <c r="V403" s="101">
        <f t="shared" si="57"/>
        <v>23.46</v>
      </c>
      <c r="W403" s="101">
        <f t="shared" si="58"/>
        <v>204</v>
      </c>
      <c r="X403" s="101">
        <f t="shared" si="59"/>
        <v>2218.2143999999998</v>
      </c>
      <c r="Y403" s="101">
        <f t="shared" si="60"/>
        <v>1138.3832399999999</v>
      </c>
      <c r="AG403" s="225"/>
      <c r="AH403" s="101">
        <v>30000</v>
      </c>
      <c r="AI403" s="101">
        <f t="shared" si="54"/>
        <v>24000</v>
      </c>
      <c r="AJ403" s="101">
        <f t="shared" si="55"/>
        <v>36000</v>
      </c>
    </row>
    <row r="404" spans="1:36" hidden="1" x14ac:dyDescent="0.3">
      <c r="A404" s="126" t="s">
        <v>182</v>
      </c>
      <c r="B404" s="126">
        <v>26</v>
      </c>
      <c r="C404" s="126">
        <v>26</v>
      </c>
      <c r="D404" s="126" t="str">
        <f t="shared" si="48"/>
        <v>2626</v>
      </c>
      <c r="E404" s="101">
        <v>76</v>
      </c>
      <c r="F404" s="101">
        <v>1647</v>
      </c>
      <c r="G404" s="101">
        <v>28800</v>
      </c>
      <c r="H404" s="101">
        <v>292572.18</v>
      </c>
      <c r="I404" s="101">
        <v>142559.29999999999</v>
      </c>
      <c r="J404" s="101">
        <v>52</v>
      </c>
      <c r="K404" s="101">
        <v>1769</v>
      </c>
      <c r="L404" s="101">
        <v>24982</v>
      </c>
      <c r="M404" s="101">
        <v>365077.25</v>
      </c>
      <c r="N404" s="101">
        <v>146495.967</v>
      </c>
      <c r="O404" s="101">
        <v>16</v>
      </c>
      <c r="P404" s="101">
        <v>673</v>
      </c>
      <c r="Q404" s="101">
        <v>21170</v>
      </c>
      <c r="R404" s="101">
        <v>211446.87</v>
      </c>
      <c r="S404" s="101">
        <v>94072.418000000005</v>
      </c>
      <c r="T404" s="133">
        <v>1.02</v>
      </c>
      <c r="U404" s="101">
        <f t="shared" si="56"/>
        <v>16.32</v>
      </c>
      <c r="V404" s="101">
        <f t="shared" si="57"/>
        <v>686.46</v>
      </c>
      <c r="W404" s="101">
        <f t="shared" si="58"/>
        <v>21593.4</v>
      </c>
      <c r="X404" s="101">
        <f t="shared" si="59"/>
        <v>215675.80739999999</v>
      </c>
      <c r="Y404" s="101">
        <f t="shared" si="60"/>
        <v>95953.86636</v>
      </c>
      <c r="AG404" s="225"/>
      <c r="AH404" s="101">
        <v>30000</v>
      </c>
      <c r="AI404" s="101">
        <f t="shared" si="54"/>
        <v>24000</v>
      </c>
      <c r="AJ404" s="101">
        <f t="shared" si="55"/>
        <v>36000</v>
      </c>
    </row>
    <row r="405" spans="1:36" hidden="1" x14ac:dyDescent="0.3">
      <c r="A405" s="126" t="s">
        <v>182</v>
      </c>
      <c r="B405" s="126">
        <v>26</v>
      </c>
      <c r="C405" s="126">
        <v>32</v>
      </c>
      <c r="D405" s="126" t="str">
        <f t="shared" ref="D405:D515" si="61">CONCATENATE(B405,C405)</f>
        <v>2632</v>
      </c>
      <c r="E405" s="101">
        <v>455</v>
      </c>
      <c r="F405" s="101">
        <v>2231</v>
      </c>
      <c r="G405" s="101">
        <v>41150</v>
      </c>
      <c r="H405" s="101">
        <v>648778.68000000005</v>
      </c>
      <c r="I405" s="101">
        <v>247377.50699999998</v>
      </c>
      <c r="J405" s="101">
        <v>238</v>
      </c>
      <c r="K405" s="101">
        <v>681</v>
      </c>
      <c r="L405" s="101">
        <v>8918</v>
      </c>
      <c r="M405" s="101">
        <v>53400.34</v>
      </c>
      <c r="N405" s="101">
        <v>24604.781999999999</v>
      </c>
      <c r="O405" s="101">
        <v>172</v>
      </c>
      <c r="P405" s="101">
        <v>797</v>
      </c>
      <c r="Q405" s="101">
        <v>17689</v>
      </c>
      <c r="R405" s="101">
        <v>87063.29</v>
      </c>
      <c r="S405" s="101">
        <v>84364.126999999993</v>
      </c>
      <c r="T405" s="133">
        <v>1.02</v>
      </c>
      <c r="U405" s="101">
        <f t="shared" si="56"/>
        <v>175.44</v>
      </c>
      <c r="V405" s="101">
        <f t="shared" si="57"/>
        <v>812.94</v>
      </c>
      <c r="W405" s="101">
        <f t="shared" si="58"/>
        <v>18042.78</v>
      </c>
      <c r="X405" s="101">
        <f t="shared" si="59"/>
        <v>88804.555800000002</v>
      </c>
      <c r="Y405" s="101">
        <f t="shared" si="60"/>
        <v>86051.409539999993</v>
      </c>
      <c r="AG405" s="225"/>
      <c r="AH405" s="101">
        <v>30000</v>
      </c>
      <c r="AI405" s="101">
        <f t="shared" si="54"/>
        <v>24000</v>
      </c>
      <c r="AJ405" s="101">
        <f t="shared" si="55"/>
        <v>36000</v>
      </c>
    </row>
    <row r="406" spans="1:36" hidden="1" x14ac:dyDescent="0.3">
      <c r="A406" s="126" t="s">
        <v>182</v>
      </c>
      <c r="B406" s="126">
        <v>26</v>
      </c>
      <c r="C406" s="126">
        <v>21</v>
      </c>
      <c r="D406" s="126" t="str">
        <f t="shared" si="61"/>
        <v>2621</v>
      </c>
      <c r="E406" s="101">
        <v>903</v>
      </c>
      <c r="F406" s="101">
        <v>4587.5</v>
      </c>
      <c r="G406" s="101">
        <v>22963</v>
      </c>
      <c r="H406" s="101">
        <v>374526.13500000007</v>
      </c>
      <c r="I406" s="101">
        <v>107119.95000000001</v>
      </c>
      <c r="J406" s="101">
        <v>0</v>
      </c>
      <c r="K406" s="101">
        <v>0</v>
      </c>
      <c r="L406" s="101">
        <v>0</v>
      </c>
      <c r="M406" s="101">
        <v>0</v>
      </c>
      <c r="N406" s="101">
        <v>0</v>
      </c>
      <c r="O406" s="101">
        <v>28</v>
      </c>
      <c r="P406" s="101">
        <v>57</v>
      </c>
      <c r="Q406" s="101">
        <v>502</v>
      </c>
      <c r="R406" s="101">
        <v>12038.11</v>
      </c>
      <c r="S406" s="101">
        <v>3923.866</v>
      </c>
      <c r="T406" s="133">
        <v>1.02</v>
      </c>
      <c r="U406" s="101">
        <f t="shared" si="56"/>
        <v>28.560000000000002</v>
      </c>
      <c r="V406" s="101">
        <f t="shared" si="57"/>
        <v>58.14</v>
      </c>
      <c r="W406" s="101">
        <f t="shared" si="58"/>
        <v>512.04</v>
      </c>
      <c r="X406" s="101">
        <f t="shared" si="59"/>
        <v>12278.872200000002</v>
      </c>
      <c r="Y406" s="101">
        <f t="shared" si="60"/>
        <v>4002.3433199999999</v>
      </c>
      <c r="AG406" s="225"/>
      <c r="AH406" s="101">
        <v>30000</v>
      </c>
      <c r="AI406" s="101">
        <f t="shared" si="54"/>
        <v>24000</v>
      </c>
      <c r="AJ406" s="101">
        <f t="shared" si="55"/>
        <v>36000</v>
      </c>
    </row>
    <row r="407" spans="1:36" hidden="1" x14ac:dyDescent="0.3">
      <c r="A407" s="126" t="s">
        <v>182</v>
      </c>
      <c r="B407" s="126">
        <v>26</v>
      </c>
      <c r="C407" s="126">
        <v>28</v>
      </c>
      <c r="D407" s="126" t="str">
        <f t="shared" si="61"/>
        <v>2628</v>
      </c>
      <c r="J407" s="101">
        <v>75</v>
      </c>
      <c r="K407" s="101">
        <v>181</v>
      </c>
      <c r="L407" s="101">
        <v>3229</v>
      </c>
      <c r="M407" s="101">
        <v>43627.82</v>
      </c>
      <c r="N407" s="101">
        <v>11916.637000000001</v>
      </c>
      <c r="O407" s="101">
        <v>83</v>
      </c>
      <c r="P407" s="101">
        <v>449</v>
      </c>
      <c r="Q407" s="101">
        <v>1982</v>
      </c>
      <c r="R407" s="101">
        <v>34174.550000000003</v>
      </c>
      <c r="S407" s="101">
        <v>10925.536</v>
      </c>
      <c r="T407" s="133">
        <v>1.02</v>
      </c>
      <c r="U407" s="101">
        <f t="shared" si="56"/>
        <v>84.66</v>
      </c>
      <c r="V407" s="101">
        <f t="shared" si="57"/>
        <v>457.98</v>
      </c>
      <c r="W407" s="101">
        <f t="shared" si="58"/>
        <v>2021.64</v>
      </c>
      <c r="X407" s="101">
        <f t="shared" si="59"/>
        <v>34858.041000000005</v>
      </c>
      <c r="Y407" s="101">
        <f t="shared" si="60"/>
        <v>11144.04672</v>
      </c>
      <c r="AG407" s="225"/>
      <c r="AH407" s="101"/>
      <c r="AI407" s="101"/>
      <c r="AJ407" s="101"/>
    </row>
    <row r="408" spans="1:36" hidden="1" x14ac:dyDescent="0.3">
      <c r="A408" s="126" t="s">
        <v>182</v>
      </c>
      <c r="B408" s="126">
        <v>26</v>
      </c>
      <c r="C408" s="126">
        <v>46</v>
      </c>
      <c r="D408" s="126" t="str">
        <f t="shared" si="61"/>
        <v>2646</v>
      </c>
      <c r="J408" s="101">
        <v>9</v>
      </c>
      <c r="K408" s="101">
        <v>11</v>
      </c>
      <c r="L408" s="101">
        <v>3115</v>
      </c>
      <c r="M408" s="101">
        <v>16398.84</v>
      </c>
      <c r="N408" s="101">
        <v>1664.7439999999999</v>
      </c>
      <c r="O408" s="101">
        <v>1</v>
      </c>
      <c r="P408" s="101">
        <v>1</v>
      </c>
      <c r="Q408" s="101">
        <v>1</v>
      </c>
      <c r="R408" s="101">
        <v>287.36</v>
      </c>
      <c r="S408" s="101">
        <v>57.064</v>
      </c>
      <c r="T408" s="133">
        <v>1.02</v>
      </c>
      <c r="U408" s="101">
        <f t="shared" si="56"/>
        <v>1.02</v>
      </c>
      <c r="V408" s="101">
        <f t="shared" si="57"/>
        <v>1.02</v>
      </c>
      <c r="W408" s="101">
        <f t="shared" si="58"/>
        <v>1.02</v>
      </c>
      <c r="X408" s="101">
        <f t="shared" si="59"/>
        <v>293.10720000000003</v>
      </c>
      <c r="Y408" s="101">
        <f t="shared" si="60"/>
        <v>58.205280000000002</v>
      </c>
      <c r="AG408" s="225"/>
      <c r="AH408" s="101"/>
      <c r="AI408" s="101"/>
      <c r="AJ408" s="101"/>
    </row>
    <row r="409" spans="1:36" x14ac:dyDescent="0.3">
      <c r="A409" s="126" t="s">
        <v>182</v>
      </c>
      <c r="B409" s="126">
        <v>26</v>
      </c>
      <c r="C409" s="126">
        <v>91</v>
      </c>
      <c r="D409" s="126" t="str">
        <f t="shared" si="61"/>
        <v>2691</v>
      </c>
      <c r="J409" s="101">
        <v>7</v>
      </c>
      <c r="K409" s="101">
        <v>7</v>
      </c>
      <c r="L409" s="101">
        <v>29</v>
      </c>
      <c r="M409" s="101">
        <v>477.24000000000007</v>
      </c>
      <c r="N409" s="101">
        <v>128.80199999999999</v>
      </c>
      <c r="O409" s="101">
        <v>2</v>
      </c>
      <c r="P409" s="101">
        <v>5</v>
      </c>
      <c r="Q409" s="101">
        <v>10</v>
      </c>
      <c r="R409" s="101">
        <v>358.16</v>
      </c>
      <c r="S409" s="101">
        <v>128.59299999999999</v>
      </c>
      <c r="T409" s="133">
        <v>1.02</v>
      </c>
      <c r="U409" s="101">
        <f t="shared" si="56"/>
        <v>2.04</v>
      </c>
      <c r="V409" s="101">
        <f t="shared" si="57"/>
        <v>5.0999999999999996</v>
      </c>
      <c r="W409" s="101">
        <f t="shared" si="58"/>
        <v>10.199999999999999</v>
      </c>
      <c r="X409" s="101">
        <f t="shared" si="59"/>
        <v>365.32320000000004</v>
      </c>
      <c r="Y409" s="101">
        <f t="shared" si="60"/>
        <v>131.16486</v>
      </c>
      <c r="AG409" s="225"/>
      <c r="AH409" s="101"/>
      <c r="AI409" s="101"/>
      <c r="AJ409" s="101"/>
    </row>
    <row r="410" spans="1:36" hidden="1" x14ac:dyDescent="0.3">
      <c r="A410" s="126" t="s">
        <v>182</v>
      </c>
      <c r="B410" s="126">
        <v>26</v>
      </c>
      <c r="C410" s="126">
        <v>66</v>
      </c>
      <c r="D410" s="126" t="str">
        <f t="shared" si="61"/>
        <v>2666</v>
      </c>
      <c r="J410" s="101">
        <v>22</v>
      </c>
      <c r="K410" s="101">
        <v>33</v>
      </c>
      <c r="L410" s="101">
        <v>1437</v>
      </c>
      <c r="M410" s="101">
        <v>8607.4</v>
      </c>
      <c r="N410" s="101">
        <v>5774.3509999999997</v>
      </c>
      <c r="O410" s="101">
        <v>41</v>
      </c>
      <c r="P410" s="101">
        <v>58</v>
      </c>
      <c r="Q410" s="101">
        <v>2607</v>
      </c>
      <c r="R410" s="101">
        <v>26205.48</v>
      </c>
      <c r="S410" s="101">
        <v>22661.253000000001</v>
      </c>
      <c r="T410" s="133">
        <v>1.02</v>
      </c>
      <c r="U410" s="101">
        <f t="shared" si="56"/>
        <v>41.82</v>
      </c>
      <c r="V410" s="101">
        <f t="shared" si="57"/>
        <v>59.160000000000004</v>
      </c>
      <c r="W410" s="101">
        <f t="shared" si="58"/>
        <v>2659.14</v>
      </c>
      <c r="X410" s="101">
        <f t="shared" si="59"/>
        <v>26729.589599999999</v>
      </c>
      <c r="Y410" s="101">
        <f t="shared" si="60"/>
        <v>23114.478060000001</v>
      </c>
      <c r="AG410" s="225"/>
      <c r="AH410" s="101"/>
      <c r="AI410" s="101"/>
      <c r="AJ410" s="101"/>
    </row>
    <row r="411" spans="1:36" hidden="1" x14ac:dyDescent="0.3">
      <c r="A411" s="126" t="s">
        <v>182</v>
      </c>
      <c r="B411" s="126">
        <v>26</v>
      </c>
      <c r="C411" s="126">
        <v>30</v>
      </c>
      <c r="D411" s="126" t="str">
        <f t="shared" si="61"/>
        <v>2630</v>
      </c>
      <c r="E411" s="101">
        <v>317</v>
      </c>
      <c r="F411" s="101">
        <v>3649.5</v>
      </c>
      <c r="G411" s="101">
        <v>14028</v>
      </c>
      <c r="H411" s="101">
        <v>312819.98499999999</v>
      </c>
      <c r="I411" s="101">
        <v>90479.656999999992</v>
      </c>
      <c r="J411" s="101">
        <v>664</v>
      </c>
      <c r="K411" s="101">
        <v>7366</v>
      </c>
      <c r="L411" s="101">
        <v>26190</v>
      </c>
      <c r="M411" s="101">
        <v>580353.67000000004</v>
      </c>
      <c r="N411" s="101">
        <v>159114.383</v>
      </c>
      <c r="O411" s="101">
        <v>227</v>
      </c>
      <c r="P411" s="101">
        <v>4761</v>
      </c>
      <c r="Q411" s="101">
        <v>18114</v>
      </c>
      <c r="R411" s="101">
        <v>373268.8</v>
      </c>
      <c r="S411" s="101">
        <v>115816.62</v>
      </c>
      <c r="T411" s="133">
        <v>1.02</v>
      </c>
      <c r="U411" s="101">
        <f t="shared" si="56"/>
        <v>231.54</v>
      </c>
      <c r="V411" s="101">
        <f t="shared" si="57"/>
        <v>4856.22</v>
      </c>
      <c r="W411" s="101">
        <f t="shared" si="58"/>
        <v>18476.28</v>
      </c>
      <c r="X411" s="101">
        <f t="shared" si="59"/>
        <v>380734.17599999998</v>
      </c>
      <c r="Y411" s="101">
        <f t="shared" si="60"/>
        <v>118132.95239999999</v>
      </c>
      <c r="AG411" s="225"/>
      <c r="AH411" s="101">
        <v>30000</v>
      </c>
      <c r="AI411" s="101">
        <f t="shared" si="54"/>
        <v>24000</v>
      </c>
      <c r="AJ411" s="101">
        <f t="shared" si="55"/>
        <v>36000</v>
      </c>
    </row>
    <row r="412" spans="1:36" hidden="1" x14ac:dyDescent="0.3">
      <c r="A412" s="126" t="s">
        <v>182</v>
      </c>
      <c r="B412" s="126">
        <v>26</v>
      </c>
      <c r="C412" s="126">
        <v>71</v>
      </c>
      <c r="D412" s="126" t="str">
        <f t="shared" si="61"/>
        <v>2671</v>
      </c>
      <c r="E412" s="101">
        <v>473.5</v>
      </c>
      <c r="F412" s="101">
        <v>4285.5</v>
      </c>
      <c r="G412" s="101">
        <v>12397</v>
      </c>
      <c r="H412" s="101">
        <v>99777.635000000009</v>
      </c>
      <c r="I412" s="101">
        <v>50780.376999999993</v>
      </c>
      <c r="J412" s="101">
        <v>475</v>
      </c>
      <c r="K412" s="101">
        <v>5444</v>
      </c>
      <c r="L412" s="101">
        <v>11386</v>
      </c>
      <c r="M412" s="101">
        <v>97347.1</v>
      </c>
      <c r="N412" s="101">
        <v>50642.990999999995</v>
      </c>
      <c r="O412" s="101">
        <v>387</v>
      </c>
      <c r="P412" s="101">
        <v>3993</v>
      </c>
      <c r="Q412" s="101">
        <v>24232</v>
      </c>
      <c r="R412" s="101">
        <v>78018.3</v>
      </c>
      <c r="S412" s="101">
        <v>44850.27</v>
      </c>
      <c r="T412" s="133">
        <v>0.98</v>
      </c>
      <c r="U412" s="101">
        <f t="shared" si="56"/>
        <v>379.26</v>
      </c>
      <c r="V412" s="101">
        <f t="shared" si="57"/>
        <v>3913.14</v>
      </c>
      <c r="W412" s="101">
        <f t="shared" si="58"/>
        <v>23747.360000000001</v>
      </c>
      <c r="X412" s="101">
        <f t="shared" si="59"/>
        <v>76457.934000000008</v>
      </c>
      <c r="Y412" s="101">
        <f t="shared" si="60"/>
        <v>43953.264599999995</v>
      </c>
      <c r="AG412" s="225"/>
      <c r="AH412" s="101">
        <v>30000</v>
      </c>
      <c r="AI412" s="101">
        <f t="shared" si="54"/>
        <v>24000</v>
      </c>
      <c r="AJ412" s="101">
        <f t="shared" si="55"/>
        <v>36000</v>
      </c>
    </row>
    <row r="413" spans="1:36" hidden="1" x14ac:dyDescent="0.3">
      <c r="A413" s="126" t="s">
        <v>182</v>
      </c>
      <c r="B413" s="126">
        <v>26</v>
      </c>
      <c r="C413" s="126">
        <v>41</v>
      </c>
      <c r="D413" s="126" t="str">
        <f t="shared" si="61"/>
        <v>2641</v>
      </c>
      <c r="O413" s="101">
        <v>10</v>
      </c>
      <c r="P413" s="101">
        <v>19</v>
      </c>
      <c r="Q413" s="101">
        <v>164</v>
      </c>
      <c r="R413" s="101">
        <v>1570.37</v>
      </c>
      <c r="S413" s="101">
        <v>422.005</v>
      </c>
      <c r="T413" s="133">
        <v>1.02</v>
      </c>
      <c r="U413" s="101">
        <f t="shared" si="56"/>
        <v>10.199999999999999</v>
      </c>
      <c r="V413" s="101">
        <f t="shared" si="57"/>
        <v>19.38</v>
      </c>
      <c r="W413" s="101">
        <f t="shared" si="58"/>
        <v>167.28</v>
      </c>
      <c r="X413" s="101">
        <f t="shared" si="59"/>
        <v>1601.7773999999999</v>
      </c>
      <c r="Y413" s="101">
        <f t="shared" si="60"/>
        <v>430.44510000000002</v>
      </c>
      <c r="AG413" s="225"/>
      <c r="AH413" s="101"/>
      <c r="AI413" s="101"/>
      <c r="AJ413" s="101"/>
    </row>
    <row r="414" spans="1:36" hidden="1" x14ac:dyDescent="0.3">
      <c r="A414" s="126" t="s">
        <v>182</v>
      </c>
      <c r="B414" s="126">
        <v>26</v>
      </c>
      <c r="C414" s="126">
        <v>17</v>
      </c>
      <c r="D414" s="126" t="str">
        <f t="shared" si="61"/>
        <v>2617</v>
      </c>
      <c r="O414" s="101">
        <v>1</v>
      </c>
      <c r="P414" s="101">
        <v>1</v>
      </c>
      <c r="Q414" s="101">
        <v>2</v>
      </c>
      <c r="R414" s="101">
        <v>25.14</v>
      </c>
      <c r="S414" s="101">
        <v>8.3160000000000007</v>
      </c>
      <c r="T414" s="133">
        <v>1.02</v>
      </c>
      <c r="U414" s="101">
        <f t="shared" si="56"/>
        <v>1.02</v>
      </c>
      <c r="V414" s="101">
        <f t="shared" si="57"/>
        <v>1.02</v>
      </c>
      <c r="W414" s="101">
        <f t="shared" si="58"/>
        <v>2.04</v>
      </c>
      <c r="X414" s="101">
        <f t="shared" si="59"/>
        <v>25.642800000000001</v>
      </c>
      <c r="Y414" s="101">
        <f t="shared" si="60"/>
        <v>8.4823200000000014</v>
      </c>
      <c r="AG414" s="225"/>
      <c r="AH414" s="101"/>
      <c r="AI414" s="101"/>
      <c r="AJ414" s="101"/>
    </row>
    <row r="415" spans="1:36" hidden="1" x14ac:dyDescent="0.3">
      <c r="A415" s="126" t="s">
        <v>182</v>
      </c>
      <c r="B415" s="126">
        <v>26</v>
      </c>
      <c r="C415" s="126">
        <v>1</v>
      </c>
      <c r="D415" s="126" t="str">
        <f t="shared" si="61"/>
        <v>261</v>
      </c>
      <c r="J415" s="101">
        <v>119</v>
      </c>
      <c r="K415" s="101">
        <v>119</v>
      </c>
      <c r="L415" s="101">
        <v>45865</v>
      </c>
      <c r="M415" s="101">
        <v>0</v>
      </c>
      <c r="N415" s="101">
        <v>162945.44206000003</v>
      </c>
      <c r="O415" s="101">
        <v>111</v>
      </c>
      <c r="P415" s="101">
        <v>111</v>
      </c>
      <c r="Q415" s="101">
        <v>41047</v>
      </c>
      <c r="S415" s="101">
        <v>181322</v>
      </c>
      <c r="T415" s="133">
        <v>1.02</v>
      </c>
      <c r="U415" s="101">
        <f t="shared" si="56"/>
        <v>113.22</v>
      </c>
      <c r="V415" s="101">
        <f t="shared" si="57"/>
        <v>113.22</v>
      </c>
      <c r="W415" s="101">
        <f t="shared" si="58"/>
        <v>41867.94</v>
      </c>
      <c r="X415" s="101">
        <f t="shared" si="59"/>
        <v>0</v>
      </c>
      <c r="Y415" s="101">
        <f t="shared" si="60"/>
        <v>184948.44</v>
      </c>
      <c r="AG415" s="225"/>
      <c r="AH415" s="101"/>
      <c r="AI415" s="101"/>
      <c r="AJ415" s="101"/>
    </row>
    <row r="416" spans="1:36" hidden="1" x14ac:dyDescent="0.3">
      <c r="A416" s="126" t="s">
        <v>182</v>
      </c>
      <c r="B416" s="126">
        <v>26</v>
      </c>
      <c r="C416" s="126">
        <v>37</v>
      </c>
      <c r="D416" s="126" t="str">
        <f t="shared" si="61"/>
        <v>2637</v>
      </c>
      <c r="E416" s="101">
        <v>14.25</v>
      </c>
      <c r="F416" s="101">
        <v>24.5</v>
      </c>
      <c r="G416" s="101">
        <v>545.5</v>
      </c>
      <c r="H416" s="101">
        <v>2984.1374999999998</v>
      </c>
      <c r="I416" s="101">
        <v>1655.4922499999998</v>
      </c>
      <c r="J416" s="101">
        <v>2</v>
      </c>
      <c r="K416" s="101">
        <v>4</v>
      </c>
      <c r="L416" s="101">
        <v>22501</v>
      </c>
      <c r="M416" s="101">
        <v>11700</v>
      </c>
      <c r="N416" s="101">
        <v>1016.221</v>
      </c>
      <c r="O416" s="101">
        <v>1</v>
      </c>
      <c r="P416" s="101">
        <v>1</v>
      </c>
      <c r="Q416" s="101">
        <v>432</v>
      </c>
      <c r="R416" s="101">
        <v>561.6</v>
      </c>
      <c r="S416" s="101">
        <v>1014.7140000000001</v>
      </c>
      <c r="T416" s="133">
        <v>1.02</v>
      </c>
      <c r="U416" s="101">
        <f t="shared" si="56"/>
        <v>1.02</v>
      </c>
      <c r="V416" s="101">
        <f t="shared" si="57"/>
        <v>1.02</v>
      </c>
      <c r="W416" s="101">
        <f t="shared" si="58"/>
        <v>440.64</v>
      </c>
      <c r="X416" s="101">
        <f t="shared" si="59"/>
        <v>572.83199999999999</v>
      </c>
      <c r="Y416" s="101">
        <f t="shared" si="60"/>
        <v>1035.00828</v>
      </c>
      <c r="AG416" s="225"/>
      <c r="AH416" s="101">
        <v>30000</v>
      </c>
      <c r="AI416" s="101">
        <f t="shared" si="54"/>
        <v>24000</v>
      </c>
      <c r="AJ416" s="101">
        <f t="shared" si="55"/>
        <v>36000</v>
      </c>
    </row>
    <row r="417" spans="1:36" hidden="1" x14ac:dyDescent="0.3">
      <c r="A417" s="126" t="s">
        <v>183</v>
      </c>
      <c r="B417" s="126">
        <v>27</v>
      </c>
      <c r="C417" s="126">
        <v>22</v>
      </c>
      <c r="D417" s="126" t="str">
        <f t="shared" si="61"/>
        <v>2722</v>
      </c>
      <c r="E417" s="101">
        <v>448</v>
      </c>
      <c r="F417" s="101">
        <v>3136</v>
      </c>
      <c r="G417" s="101">
        <v>35065</v>
      </c>
      <c r="H417" s="101">
        <v>219087.78</v>
      </c>
      <c r="I417" s="101">
        <v>150168.92200000002</v>
      </c>
      <c r="J417" s="101">
        <v>387</v>
      </c>
      <c r="K417" s="101">
        <v>3141</v>
      </c>
      <c r="L417" s="101">
        <v>22622</v>
      </c>
      <c r="M417" s="101">
        <v>132942.46000000002</v>
      </c>
      <c r="N417" s="101">
        <v>75763.388000000006</v>
      </c>
      <c r="O417" s="101">
        <v>361</v>
      </c>
      <c r="P417" s="101">
        <v>2531</v>
      </c>
      <c r="Q417" s="101">
        <v>19621</v>
      </c>
      <c r="R417" s="101">
        <v>131785.04</v>
      </c>
      <c r="S417" s="101">
        <v>88953.875</v>
      </c>
      <c r="T417" s="133">
        <v>1.02</v>
      </c>
      <c r="U417" s="101">
        <f t="shared" si="56"/>
        <v>368.22</v>
      </c>
      <c r="V417" s="101">
        <f t="shared" si="57"/>
        <v>2581.62</v>
      </c>
      <c r="W417" s="101">
        <f t="shared" si="58"/>
        <v>20013.420000000002</v>
      </c>
      <c r="X417" s="101">
        <f t="shared" si="59"/>
        <v>134420.7408</v>
      </c>
      <c r="Y417" s="101">
        <f t="shared" si="60"/>
        <v>90732.952499999999</v>
      </c>
      <c r="AG417" s="225">
        <f>SUM(V417:V432)</f>
        <v>18736.54</v>
      </c>
      <c r="AH417" s="101">
        <v>30000</v>
      </c>
      <c r="AI417" s="101">
        <f t="shared" si="54"/>
        <v>24000</v>
      </c>
      <c r="AJ417" s="101">
        <f t="shared" si="55"/>
        <v>36000</v>
      </c>
    </row>
    <row r="418" spans="1:36" hidden="1" x14ac:dyDescent="0.3">
      <c r="A418" s="126" t="s">
        <v>183</v>
      </c>
      <c r="B418" s="126">
        <v>27</v>
      </c>
      <c r="C418" s="126">
        <v>25</v>
      </c>
      <c r="D418" s="126" t="str">
        <f t="shared" si="61"/>
        <v>2725</v>
      </c>
      <c r="E418" s="101">
        <v>81</v>
      </c>
      <c r="F418" s="101">
        <v>615</v>
      </c>
      <c r="G418" s="101">
        <v>14942</v>
      </c>
      <c r="H418" s="101">
        <v>287559.74</v>
      </c>
      <c r="I418" s="101">
        <v>72723.729000000007</v>
      </c>
      <c r="J418" s="101">
        <v>113</v>
      </c>
      <c r="K418" s="101">
        <v>1752</v>
      </c>
      <c r="L418" s="101">
        <v>26364</v>
      </c>
      <c r="M418" s="101">
        <v>446609.95</v>
      </c>
      <c r="N418" s="101">
        <v>201381.15600000002</v>
      </c>
      <c r="O418" s="101">
        <v>146</v>
      </c>
      <c r="P418" s="101">
        <v>1749</v>
      </c>
      <c r="Q418" s="101">
        <v>32147</v>
      </c>
      <c r="R418" s="101">
        <v>315355.40000000002</v>
      </c>
      <c r="S418" s="101">
        <v>167609.46900000001</v>
      </c>
      <c r="T418" s="133">
        <v>1.02</v>
      </c>
      <c r="U418" s="101">
        <f t="shared" si="56"/>
        <v>148.92000000000002</v>
      </c>
      <c r="V418" s="101">
        <f t="shared" si="57"/>
        <v>1783.98</v>
      </c>
      <c r="W418" s="101">
        <f t="shared" si="58"/>
        <v>32789.94</v>
      </c>
      <c r="X418" s="101">
        <f t="shared" si="59"/>
        <v>321662.50800000003</v>
      </c>
      <c r="Y418" s="101">
        <f t="shared" si="60"/>
        <v>170961.65838000001</v>
      </c>
      <c r="AG418" s="225"/>
      <c r="AH418" s="101">
        <v>30000</v>
      </c>
      <c r="AI418" s="101">
        <f t="shared" si="54"/>
        <v>24000</v>
      </c>
      <c r="AJ418" s="101">
        <f t="shared" si="55"/>
        <v>36000</v>
      </c>
    </row>
    <row r="419" spans="1:36" hidden="1" x14ac:dyDescent="0.3">
      <c r="A419" s="126" t="s">
        <v>183</v>
      </c>
      <c r="B419" s="126">
        <v>27</v>
      </c>
      <c r="C419" s="126">
        <v>27</v>
      </c>
      <c r="D419" s="126" t="str">
        <f t="shared" si="61"/>
        <v>2727</v>
      </c>
      <c r="E419" s="101">
        <v>10</v>
      </c>
      <c r="F419" s="101">
        <v>238</v>
      </c>
      <c r="G419" s="101">
        <v>1810</v>
      </c>
      <c r="H419" s="101">
        <v>18503.28</v>
      </c>
      <c r="I419" s="101">
        <v>6214.7069999999994</v>
      </c>
      <c r="J419" s="101">
        <v>7</v>
      </c>
      <c r="K419" s="101">
        <v>31</v>
      </c>
      <c r="L419" s="101">
        <v>138</v>
      </c>
      <c r="M419" s="101">
        <v>2352.59</v>
      </c>
      <c r="N419" s="101">
        <v>1120.2739999999999</v>
      </c>
      <c r="O419" s="101">
        <v>2</v>
      </c>
      <c r="P419" s="101">
        <v>2</v>
      </c>
      <c r="Q419" s="101">
        <v>2</v>
      </c>
      <c r="R419" s="101">
        <v>20.86</v>
      </c>
      <c r="S419" s="101">
        <v>5.5350000000000001</v>
      </c>
      <c r="T419" s="133">
        <v>1.02</v>
      </c>
      <c r="U419" s="101">
        <f t="shared" si="56"/>
        <v>2.04</v>
      </c>
      <c r="V419" s="101">
        <f t="shared" si="57"/>
        <v>2.04</v>
      </c>
      <c r="W419" s="101">
        <f t="shared" si="58"/>
        <v>2.04</v>
      </c>
      <c r="X419" s="101">
        <f t="shared" si="59"/>
        <v>21.277200000000001</v>
      </c>
      <c r="Y419" s="101">
        <f t="shared" si="60"/>
        <v>5.6457000000000006</v>
      </c>
      <c r="AG419" s="225"/>
      <c r="AH419" s="101">
        <v>30000</v>
      </c>
      <c r="AI419" s="101">
        <f t="shared" si="54"/>
        <v>24000</v>
      </c>
      <c r="AJ419" s="101">
        <f t="shared" si="55"/>
        <v>36000</v>
      </c>
    </row>
    <row r="420" spans="1:36" hidden="1" x14ac:dyDescent="0.3">
      <c r="A420" s="126" t="s">
        <v>183</v>
      </c>
      <c r="B420" s="126">
        <v>27</v>
      </c>
      <c r="C420" s="126">
        <v>12</v>
      </c>
      <c r="D420" s="126" t="str">
        <f t="shared" si="61"/>
        <v>2712</v>
      </c>
      <c r="J420" s="101">
        <v>1</v>
      </c>
      <c r="K420" s="101">
        <v>2</v>
      </c>
      <c r="L420" s="101">
        <v>2</v>
      </c>
      <c r="M420" s="101">
        <v>31.57</v>
      </c>
      <c r="N420" s="101">
        <v>2.1589999999999998</v>
      </c>
      <c r="O420" s="101">
        <v>1</v>
      </c>
      <c r="P420" s="101">
        <v>1</v>
      </c>
      <c r="Q420" s="101">
        <v>1</v>
      </c>
      <c r="R420" s="101">
        <v>57.47</v>
      </c>
      <c r="S420" s="101">
        <v>7.07</v>
      </c>
      <c r="T420" s="133">
        <v>1.02</v>
      </c>
      <c r="U420" s="101">
        <f t="shared" si="56"/>
        <v>1.02</v>
      </c>
      <c r="V420" s="101">
        <f t="shared" si="57"/>
        <v>1.02</v>
      </c>
      <c r="W420" s="101">
        <f t="shared" si="58"/>
        <v>1.02</v>
      </c>
      <c r="X420" s="101">
        <f t="shared" si="59"/>
        <v>58.619399999999999</v>
      </c>
      <c r="Y420" s="101">
        <f t="shared" si="60"/>
        <v>7.2114000000000003</v>
      </c>
      <c r="AG420" s="225"/>
      <c r="AH420" s="101"/>
      <c r="AI420" s="101"/>
      <c r="AJ420" s="101"/>
    </row>
    <row r="421" spans="1:36" hidden="1" x14ac:dyDescent="0.3">
      <c r="A421" s="126" t="s">
        <v>183</v>
      </c>
      <c r="B421" s="126">
        <v>27</v>
      </c>
      <c r="C421" s="126">
        <v>28</v>
      </c>
      <c r="D421" s="126" t="str">
        <f t="shared" si="61"/>
        <v>2728</v>
      </c>
      <c r="J421" s="101">
        <v>55</v>
      </c>
      <c r="K421" s="101">
        <v>113</v>
      </c>
      <c r="L421" s="101">
        <v>3148</v>
      </c>
      <c r="M421" s="101">
        <v>139295.14000000001</v>
      </c>
      <c r="N421" s="101">
        <v>55201.315999999999</v>
      </c>
      <c r="O421" s="101">
        <v>99</v>
      </c>
      <c r="P421" s="101">
        <v>359</v>
      </c>
      <c r="Q421" s="101">
        <v>1696</v>
      </c>
      <c r="R421" s="101">
        <v>31049.31</v>
      </c>
      <c r="S421" s="101">
        <v>9737.2970000000005</v>
      </c>
      <c r="T421" s="133">
        <v>1.02</v>
      </c>
      <c r="U421" s="101">
        <f t="shared" si="56"/>
        <v>100.98</v>
      </c>
      <c r="V421" s="101">
        <f t="shared" si="57"/>
        <v>366.18</v>
      </c>
      <c r="W421" s="101">
        <f t="shared" si="58"/>
        <v>1729.92</v>
      </c>
      <c r="X421" s="101">
        <f t="shared" si="59"/>
        <v>31670.296200000001</v>
      </c>
      <c r="Y421" s="101">
        <f t="shared" si="60"/>
        <v>9932.0429400000012</v>
      </c>
      <c r="AG421" s="225"/>
      <c r="AH421" s="101"/>
      <c r="AI421" s="101"/>
      <c r="AJ421" s="101"/>
    </row>
    <row r="422" spans="1:36" x14ac:dyDescent="0.3">
      <c r="A422" s="126" t="s">
        <v>183</v>
      </c>
      <c r="B422" s="126">
        <v>27</v>
      </c>
      <c r="C422" s="126">
        <v>91</v>
      </c>
      <c r="D422" s="126" t="str">
        <f t="shared" si="61"/>
        <v>2791</v>
      </c>
      <c r="J422" s="101">
        <v>6</v>
      </c>
      <c r="K422" s="101">
        <v>9</v>
      </c>
      <c r="L422" s="101">
        <v>61</v>
      </c>
      <c r="M422" s="101">
        <v>1722.6699999999998</v>
      </c>
      <c r="N422" s="101">
        <v>906.93700000000001</v>
      </c>
      <c r="O422" s="101">
        <v>7</v>
      </c>
      <c r="P422" s="101">
        <v>13</v>
      </c>
      <c r="Q422" s="101">
        <v>18</v>
      </c>
      <c r="R422" s="101">
        <v>236.47</v>
      </c>
      <c r="S422" s="101">
        <v>128.36699999999999</v>
      </c>
      <c r="T422" s="133">
        <v>1.02</v>
      </c>
      <c r="U422" s="101">
        <f t="shared" si="56"/>
        <v>7.1400000000000006</v>
      </c>
      <c r="V422" s="101">
        <f t="shared" si="57"/>
        <v>13.26</v>
      </c>
      <c r="W422" s="101">
        <f t="shared" si="58"/>
        <v>18.36</v>
      </c>
      <c r="X422" s="101">
        <f t="shared" si="59"/>
        <v>241.1994</v>
      </c>
      <c r="Y422" s="101">
        <f t="shared" si="60"/>
        <v>130.93433999999999</v>
      </c>
      <c r="AG422" s="225"/>
      <c r="AH422" s="101"/>
      <c r="AI422" s="101"/>
      <c r="AJ422" s="101"/>
    </row>
    <row r="423" spans="1:36" hidden="1" x14ac:dyDescent="0.3">
      <c r="A423" s="126" t="s">
        <v>183</v>
      </c>
      <c r="B423" s="126">
        <v>27</v>
      </c>
      <c r="C423" s="126">
        <v>46</v>
      </c>
      <c r="D423" s="126" t="str">
        <f t="shared" si="61"/>
        <v>2746</v>
      </c>
      <c r="J423" s="101">
        <v>5</v>
      </c>
      <c r="K423" s="101">
        <v>6</v>
      </c>
      <c r="L423" s="101">
        <v>15</v>
      </c>
      <c r="M423" s="101">
        <v>365.87</v>
      </c>
      <c r="N423" s="101">
        <v>92.570999999999998</v>
      </c>
      <c r="O423" s="101">
        <v>6</v>
      </c>
      <c r="P423" s="101">
        <v>10</v>
      </c>
      <c r="Q423" s="101">
        <v>36</v>
      </c>
      <c r="R423" s="101">
        <v>1282.23</v>
      </c>
      <c r="S423" s="101">
        <v>271.15600000000001</v>
      </c>
      <c r="T423" s="133">
        <v>1.02</v>
      </c>
      <c r="U423" s="101">
        <f t="shared" si="56"/>
        <v>6.12</v>
      </c>
      <c r="V423" s="101">
        <f t="shared" si="57"/>
        <v>10.199999999999999</v>
      </c>
      <c r="W423" s="101">
        <f t="shared" si="58"/>
        <v>36.72</v>
      </c>
      <c r="X423" s="101">
        <f t="shared" si="59"/>
        <v>1307.8746000000001</v>
      </c>
      <c r="Y423" s="101">
        <f t="shared" si="60"/>
        <v>276.57911999999999</v>
      </c>
      <c r="AG423" s="225"/>
      <c r="AH423" s="101"/>
      <c r="AI423" s="101"/>
      <c r="AJ423" s="101"/>
    </row>
    <row r="424" spans="1:36" hidden="1" x14ac:dyDescent="0.3">
      <c r="A424" s="126" t="s">
        <v>183</v>
      </c>
      <c r="B424" s="126">
        <v>27</v>
      </c>
      <c r="C424" s="126">
        <v>66</v>
      </c>
      <c r="D424" s="126" t="str">
        <f t="shared" si="61"/>
        <v>2766</v>
      </c>
      <c r="J424" s="101">
        <v>32</v>
      </c>
      <c r="K424" s="101">
        <v>36</v>
      </c>
      <c r="L424" s="101">
        <v>1671</v>
      </c>
      <c r="M424" s="101">
        <v>19693.28</v>
      </c>
      <c r="N424" s="101">
        <v>22995.530999999995</v>
      </c>
      <c r="O424" s="101">
        <v>13</v>
      </c>
      <c r="P424" s="101">
        <v>23</v>
      </c>
      <c r="Q424" s="101">
        <v>703</v>
      </c>
      <c r="R424" s="101">
        <v>8657.75</v>
      </c>
      <c r="S424" s="101">
        <v>10482.581</v>
      </c>
      <c r="T424" s="133">
        <v>1.02</v>
      </c>
      <c r="U424" s="101">
        <f t="shared" si="56"/>
        <v>13.26</v>
      </c>
      <c r="V424" s="101">
        <f t="shared" si="57"/>
        <v>23.46</v>
      </c>
      <c r="W424" s="101">
        <f t="shared" si="58"/>
        <v>717.06000000000006</v>
      </c>
      <c r="X424" s="101">
        <f t="shared" si="59"/>
        <v>8830.9050000000007</v>
      </c>
      <c r="Y424" s="101">
        <f t="shared" si="60"/>
        <v>10692.232620000001</v>
      </c>
      <c r="AG424" s="225"/>
      <c r="AH424" s="101"/>
      <c r="AI424" s="101"/>
      <c r="AJ424" s="101"/>
    </row>
    <row r="425" spans="1:36" hidden="1" x14ac:dyDescent="0.3">
      <c r="A425" s="126" t="s">
        <v>183</v>
      </c>
      <c r="B425" s="126">
        <v>27</v>
      </c>
      <c r="C425" s="126">
        <v>26</v>
      </c>
      <c r="D425" s="126" t="str">
        <f t="shared" si="61"/>
        <v>2726</v>
      </c>
      <c r="E425" s="101">
        <v>71</v>
      </c>
      <c r="F425" s="101">
        <v>1964</v>
      </c>
      <c r="G425" s="101">
        <v>20222</v>
      </c>
      <c r="H425" s="101">
        <v>223365.65999999997</v>
      </c>
      <c r="I425" s="101">
        <v>97529.558999999994</v>
      </c>
      <c r="J425" s="101">
        <v>47</v>
      </c>
      <c r="K425" s="101">
        <v>1023</v>
      </c>
      <c r="L425" s="101">
        <v>13739</v>
      </c>
      <c r="M425" s="101">
        <v>306974.69000000006</v>
      </c>
      <c r="N425" s="101">
        <v>116584.139</v>
      </c>
      <c r="O425" s="101">
        <v>10</v>
      </c>
      <c r="P425" s="101">
        <v>285</v>
      </c>
      <c r="Q425" s="101">
        <v>10406</v>
      </c>
      <c r="R425" s="101">
        <v>116502.45</v>
      </c>
      <c r="S425" s="101">
        <v>51205.161999999997</v>
      </c>
      <c r="T425" s="133">
        <v>1.02</v>
      </c>
      <c r="U425" s="101">
        <f t="shared" si="56"/>
        <v>10.199999999999999</v>
      </c>
      <c r="V425" s="101">
        <f t="shared" si="57"/>
        <v>290.7</v>
      </c>
      <c r="W425" s="101">
        <f t="shared" si="58"/>
        <v>10614.12</v>
      </c>
      <c r="X425" s="101">
        <f t="shared" si="59"/>
        <v>118832.499</v>
      </c>
      <c r="Y425" s="101">
        <f t="shared" si="60"/>
        <v>52229.265240000001</v>
      </c>
      <c r="AG425" s="225"/>
      <c r="AH425" s="101">
        <v>30000</v>
      </c>
      <c r="AI425" s="101">
        <f t="shared" si="54"/>
        <v>24000</v>
      </c>
      <c r="AJ425" s="101">
        <f t="shared" si="55"/>
        <v>36000</v>
      </c>
    </row>
    <row r="426" spans="1:36" hidden="1" x14ac:dyDescent="0.3">
      <c r="A426" s="126" t="s">
        <v>183</v>
      </c>
      <c r="B426" s="126">
        <v>27</v>
      </c>
      <c r="C426" s="126">
        <v>32</v>
      </c>
      <c r="D426" s="126" t="str">
        <f t="shared" si="61"/>
        <v>2732</v>
      </c>
      <c r="E426" s="101">
        <v>443</v>
      </c>
      <c r="F426" s="101">
        <v>1897</v>
      </c>
      <c r="G426" s="101">
        <v>47115</v>
      </c>
      <c r="H426" s="101">
        <v>449012.72000000003</v>
      </c>
      <c r="I426" s="101">
        <v>219734.79500000001</v>
      </c>
      <c r="J426" s="101">
        <v>234</v>
      </c>
      <c r="K426" s="101">
        <v>692</v>
      </c>
      <c r="L426" s="101">
        <v>10820</v>
      </c>
      <c r="M426" s="101">
        <v>79817.270000000019</v>
      </c>
      <c r="N426" s="101">
        <v>29639.307000000001</v>
      </c>
      <c r="O426" s="101">
        <v>182</v>
      </c>
      <c r="P426" s="101">
        <v>1053</v>
      </c>
      <c r="Q426" s="101">
        <v>23706</v>
      </c>
      <c r="R426" s="101">
        <v>134341.9</v>
      </c>
      <c r="S426" s="101">
        <v>77133.577999999994</v>
      </c>
      <c r="T426" s="133">
        <v>1.02</v>
      </c>
      <c r="U426" s="101">
        <f>O426*$T$5+2</f>
        <v>187.64000000000001</v>
      </c>
      <c r="V426" s="101">
        <f>P426*$T$5+24</f>
        <v>1098.06</v>
      </c>
      <c r="W426" s="101">
        <f>Q426*$T$5+4651</f>
        <v>28831.119999999999</v>
      </c>
      <c r="X426" s="101">
        <f>R426*$T$5+14448</f>
        <v>151476.73799999998</v>
      </c>
      <c r="Y426" s="101">
        <f>S426*$T$5+3811</f>
        <v>82487.249559999997</v>
      </c>
      <c r="AG426" s="225"/>
      <c r="AH426" s="101">
        <v>30000</v>
      </c>
      <c r="AI426" s="101">
        <f t="shared" si="54"/>
        <v>24000</v>
      </c>
      <c r="AJ426" s="101">
        <f t="shared" si="55"/>
        <v>36000</v>
      </c>
    </row>
    <row r="427" spans="1:36" hidden="1" x14ac:dyDescent="0.3">
      <c r="A427" s="126" t="s">
        <v>183</v>
      </c>
      <c r="B427" s="126">
        <v>27</v>
      </c>
      <c r="C427" s="126">
        <v>21</v>
      </c>
      <c r="D427" s="126" t="str">
        <f t="shared" si="61"/>
        <v>2721</v>
      </c>
      <c r="E427" s="101">
        <v>778</v>
      </c>
      <c r="F427" s="101">
        <v>3716.5</v>
      </c>
      <c r="G427" s="101">
        <v>14986</v>
      </c>
      <c r="H427" s="101">
        <v>224826.15999999997</v>
      </c>
      <c r="I427" s="101">
        <v>61111.001000000004</v>
      </c>
      <c r="J427" s="101">
        <v>0</v>
      </c>
      <c r="K427" s="101">
        <v>0</v>
      </c>
      <c r="L427" s="101">
        <v>0</v>
      </c>
      <c r="M427" s="101">
        <v>0</v>
      </c>
      <c r="N427" s="101">
        <v>0</v>
      </c>
      <c r="O427" s="101">
        <v>35</v>
      </c>
      <c r="P427" s="101">
        <v>44</v>
      </c>
      <c r="Q427" s="101">
        <v>691</v>
      </c>
      <c r="R427" s="101">
        <v>14829.65</v>
      </c>
      <c r="S427" s="101">
        <v>5657.3249999999998</v>
      </c>
      <c r="T427" s="133">
        <v>1.02</v>
      </c>
      <c r="U427" s="101">
        <f t="shared" si="56"/>
        <v>35.700000000000003</v>
      </c>
      <c r="V427" s="101">
        <f t="shared" si="57"/>
        <v>44.88</v>
      </c>
      <c r="W427" s="101">
        <f t="shared" si="58"/>
        <v>704.82</v>
      </c>
      <c r="X427" s="101">
        <f t="shared" si="59"/>
        <v>15126.243</v>
      </c>
      <c r="Y427" s="101">
        <f t="shared" si="60"/>
        <v>5770.4714999999997</v>
      </c>
      <c r="AG427" s="225"/>
      <c r="AH427" s="101">
        <v>30000</v>
      </c>
      <c r="AI427" s="101">
        <f t="shared" si="54"/>
        <v>24000</v>
      </c>
      <c r="AJ427" s="101">
        <f t="shared" si="55"/>
        <v>36000</v>
      </c>
    </row>
    <row r="428" spans="1:36" hidden="1" x14ac:dyDescent="0.3">
      <c r="A428" s="126" t="s">
        <v>183</v>
      </c>
      <c r="B428" s="126">
        <v>27</v>
      </c>
      <c r="C428" s="126">
        <v>30</v>
      </c>
      <c r="D428" s="126" t="str">
        <f t="shared" si="61"/>
        <v>2730</v>
      </c>
      <c r="E428" s="101">
        <v>231.5</v>
      </c>
      <c r="F428" s="101">
        <v>2791.5</v>
      </c>
      <c r="G428" s="101">
        <v>11334.5</v>
      </c>
      <c r="H428" s="101">
        <v>324233.95</v>
      </c>
      <c r="I428" s="101">
        <v>91424.590499999991</v>
      </c>
      <c r="J428" s="101">
        <v>498</v>
      </c>
      <c r="K428" s="101">
        <v>5450</v>
      </c>
      <c r="L428" s="101">
        <v>25867</v>
      </c>
      <c r="M428" s="101">
        <v>853275.49</v>
      </c>
      <c r="N428" s="101">
        <v>334863.26699999999</v>
      </c>
      <c r="O428" s="101">
        <v>283</v>
      </c>
      <c r="P428" s="101">
        <v>4630</v>
      </c>
      <c r="Q428" s="101">
        <v>17803</v>
      </c>
      <c r="R428" s="101">
        <v>493014.66</v>
      </c>
      <c r="S428" s="101">
        <v>165266.554</v>
      </c>
      <c r="T428" s="133">
        <v>1.02</v>
      </c>
      <c r="U428" s="101">
        <f t="shared" si="56"/>
        <v>288.66000000000003</v>
      </c>
      <c r="V428" s="101">
        <f t="shared" si="57"/>
        <v>4722.6000000000004</v>
      </c>
      <c r="W428" s="101">
        <f t="shared" si="58"/>
        <v>18159.060000000001</v>
      </c>
      <c r="X428" s="101">
        <f t="shared" si="59"/>
        <v>502874.95319999999</v>
      </c>
      <c r="Y428" s="101">
        <f t="shared" si="60"/>
        <v>168571.88508000001</v>
      </c>
      <c r="AG428" s="225"/>
      <c r="AH428" s="101">
        <v>30000</v>
      </c>
      <c r="AI428" s="101">
        <f t="shared" si="54"/>
        <v>24000</v>
      </c>
      <c r="AJ428" s="101">
        <f t="shared" si="55"/>
        <v>36000</v>
      </c>
    </row>
    <row r="429" spans="1:36" hidden="1" x14ac:dyDescent="0.3">
      <c r="A429" s="126" t="s">
        <v>183</v>
      </c>
      <c r="B429" s="126">
        <v>27</v>
      </c>
      <c r="C429" s="126">
        <v>71</v>
      </c>
      <c r="D429" s="126" t="str">
        <f t="shared" si="61"/>
        <v>2771</v>
      </c>
      <c r="E429" s="101">
        <v>671.5</v>
      </c>
      <c r="F429" s="101">
        <v>8582</v>
      </c>
      <c r="G429" s="101">
        <v>28593.5</v>
      </c>
      <c r="H429" s="101">
        <v>193220.32</v>
      </c>
      <c r="I429" s="101">
        <v>123222.86749999999</v>
      </c>
      <c r="J429" s="101">
        <v>472</v>
      </c>
      <c r="K429" s="101">
        <v>5569</v>
      </c>
      <c r="L429" s="101">
        <v>17224</v>
      </c>
      <c r="M429" s="101">
        <v>104883.35999999999</v>
      </c>
      <c r="N429" s="101">
        <v>60807.721999999994</v>
      </c>
      <c r="O429" s="101">
        <v>435</v>
      </c>
      <c r="P429" s="101">
        <v>7889</v>
      </c>
      <c r="Q429" s="101">
        <v>42437</v>
      </c>
      <c r="R429" s="101">
        <v>313830.03999999998</v>
      </c>
      <c r="S429" s="101">
        <v>160396.41699999999</v>
      </c>
      <c r="T429" s="133">
        <v>0.98</v>
      </c>
      <c r="U429" s="101">
        <f t="shared" si="56"/>
        <v>426.3</v>
      </c>
      <c r="V429" s="101">
        <f t="shared" si="57"/>
        <v>7731.22</v>
      </c>
      <c r="W429" s="101">
        <f t="shared" si="58"/>
        <v>41588.26</v>
      </c>
      <c r="X429" s="101">
        <f t="shared" si="59"/>
        <v>307553.43919999996</v>
      </c>
      <c r="Y429" s="101">
        <f t="shared" si="60"/>
        <v>157188.48865999997</v>
      </c>
      <c r="AG429" s="225"/>
      <c r="AH429" s="101">
        <v>30000</v>
      </c>
      <c r="AI429" s="101">
        <f t="shared" si="54"/>
        <v>24000</v>
      </c>
      <c r="AJ429" s="101">
        <f t="shared" si="55"/>
        <v>36000</v>
      </c>
    </row>
    <row r="430" spans="1:36" hidden="1" x14ac:dyDescent="0.3">
      <c r="A430" s="126" t="s">
        <v>183</v>
      </c>
      <c r="B430" s="126">
        <v>27</v>
      </c>
      <c r="C430" s="126">
        <v>41</v>
      </c>
      <c r="D430" s="126" t="str">
        <f t="shared" si="61"/>
        <v>2741</v>
      </c>
      <c r="O430" s="101">
        <v>3</v>
      </c>
      <c r="P430" s="101">
        <v>6</v>
      </c>
      <c r="Q430" s="101">
        <v>130</v>
      </c>
      <c r="R430" s="101">
        <v>2870.18</v>
      </c>
      <c r="S430" s="101">
        <v>213.262</v>
      </c>
      <c r="T430" s="133">
        <v>1.02</v>
      </c>
      <c r="U430" s="101">
        <f t="shared" si="56"/>
        <v>3.06</v>
      </c>
      <c r="V430" s="101">
        <f t="shared" si="57"/>
        <v>6.12</v>
      </c>
      <c r="W430" s="101">
        <f t="shared" si="58"/>
        <v>132.6</v>
      </c>
      <c r="X430" s="101">
        <f t="shared" si="59"/>
        <v>2927.5835999999999</v>
      </c>
      <c r="Y430" s="101">
        <f t="shared" si="60"/>
        <v>217.52724000000001</v>
      </c>
      <c r="AG430" s="225"/>
      <c r="AH430" s="101"/>
      <c r="AI430" s="101"/>
      <c r="AJ430" s="101"/>
    </row>
    <row r="431" spans="1:36" hidden="1" x14ac:dyDescent="0.3">
      <c r="A431" s="126" t="s">
        <v>183</v>
      </c>
      <c r="B431" s="126">
        <v>27</v>
      </c>
      <c r="C431" s="126">
        <v>1</v>
      </c>
      <c r="D431" s="126" t="str">
        <f t="shared" si="61"/>
        <v>271</v>
      </c>
      <c r="J431" s="101">
        <v>218</v>
      </c>
      <c r="K431" s="101">
        <v>222</v>
      </c>
      <c r="L431" s="101">
        <v>58637</v>
      </c>
      <c r="M431" s="101">
        <v>0</v>
      </c>
      <c r="N431" s="101">
        <v>325672</v>
      </c>
      <c r="O431" s="101">
        <v>53</v>
      </c>
      <c r="P431" s="101">
        <v>53</v>
      </c>
      <c r="Q431" s="101">
        <v>15825</v>
      </c>
      <c r="S431" s="101">
        <v>69353</v>
      </c>
      <c r="T431" s="133">
        <v>1.02</v>
      </c>
      <c r="U431" s="101">
        <f t="shared" si="56"/>
        <v>54.06</v>
      </c>
      <c r="V431" s="101">
        <f t="shared" si="57"/>
        <v>54.06</v>
      </c>
      <c r="W431" s="101">
        <f t="shared" si="58"/>
        <v>16141.5</v>
      </c>
      <c r="X431" s="101">
        <f t="shared" si="59"/>
        <v>0</v>
      </c>
      <c r="Y431" s="101">
        <f t="shared" si="60"/>
        <v>70740.06</v>
      </c>
      <c r="AG431" s="225"/>
      <c r="AH431" s="101"/>
      <c r="AI431" s="101"/>
      <c r="AJ431" s="101"/>
    </row>
    <row r="432" spans="1:36" hidden="1" x14ac:dyDescent="0.3">
      <c r="A432" s="126" t="s">
        <v>183</v>
      </c>
      <c r="B432" s="126">
        <v>27</v>
      </c>
      <c r="C432" s="126">
        <v>37</v>
      </c>
      <c r="D432" s="126" t="str">
        <f t="shared" si="61"/>
        <v>2737</v>
      </c>
      <c r="E432" s="101">
        <v>7</v>
      </c>
      <c r="F432" s="101">
        <v>33.25</v>
      </c>
      <c r="G432" s="101">
        <v>4533</v>
      </c>
      <c r="H432" s="101">
        <v>9051.1375000000007</v>
      </c>
      <c r="I432" s="101">
        <v>3880.2249999999999</v>
      </c>
      <c r="J432" s="101">
        <v>8</v>
      </c>
      <c r="K432" s="101">
        <v>28</v>
      </c>
      <c r="L432" s="101">
        <v>37129</v>
      </c>
      <c r="M432" s="101">
        <v>67650</v>
      </c>
      <c r="N432" s="101">
        <v>44311.47</v>
      </c>
      <c r="O432" s="101">
        <v>4</v>
      </c>
      <c r="P432" s="101">
        <v>7</v>
      </c>
      <c r="Q432" s="101">
        <v>5296</v>
      </c>
      <c r="R432" s="101">
        <v>7473.64</v>
      </c>
      <c r="S432" s="101">
        <v>1843.671</v>
      </c>
      <c r="T432" s="133">
        <v>1.02</v>
      </c>
      <c r="U432" s="101">
        <f t="shared" si="56"/>
        <v>4.08</v>
      </c>
      <c r="V432" s="101">
        <f t="shared" si="57"/>
        <v>7.1400000000000006</v>
      </c>
      <c r="W432" s="101">
        <f t="shared" si="58"/>
        <v>5401.92</v>
      </c>
      <c r="X432" s="101">
        <f t="shared" si="59"/>
        <v>7623.1128000000008</v>
      </c>
      <c r="Y432" s="101">
        <f t="shared" si="60"/>
        <v>1880.5444200000002</v>
      </c>
      <c r="AG432" s="225"/>
      <c r="AH432" s="101">
        <v>30000</v>
      </c>
      <c r="AI432" s="101">
        <f t="shared" si="54"/>
        <v>24000</v>
      </c>
      <c r="AJ432" s="101">
        <f t="shared" si="55"/>
        <v>36000</v>
      </c>
    </row>
    <row r="433" spans="1:36" hidden="1" x14ac:dyDescent="0.3">
      <c r="A433" s="126" t="s">
        <v>183</v>
      </c>
      <c r="B433" s="126">
        <v>28</v>
      </c>
      <c r="C433" s="126">
        <v>22</v>
      </c>
      <c r="D433" s="126" t="str">
        <f t="shared" si="61"/>
        <v>2822</v>
      </c>
      <c r="E433" s="101">
        <v>430</v>
      </c>
      <c r="F433" s="101">
        <v>2434</v>
      </c>
      <c r="G433" s="101">
        <v>30606</v>
      </c>
      <c r="H433" s="101">
        <v>140186.42000000001</v>
      </c>
      <c r="I433" s="101">
        <v>98987.241999999998</v>
      </c>
      <c r="J433" s="101">
        <v>370</v>
      </c>
      <c r="K433" s="101">
        <v>2908</v>
      </c>
      <c r="L433" s="101">
        <v>19870</v>
      </c>
      <c r="M433" s="101">
        <v>125146.53</v>
      </c>
      <c r="N433" s="101">
        <v>70781.120999999999</v>
      </c>
      <c r="O433" s="101">
        <v>344</v>
      </c>
      <c r="P433" s="101">
        <v>2242</v>
      </c>
      <c r="Q433" s="101">
        <v>26879</v>
      </c>
      <c r="R433" s="101">
        <v>100250.95</v>
      </c>
      <c r="S433" s="101">
        <v>80520.092000000004</v>
      </c>
      <c r="T433" s="133">
        <v>1.02</v>
      </c>
      <c r="U433" s="101">
        <f t="shared" si="56"/>
        <v>350.88</v>
      </c>
      <c r="V433" s="101">
        <f t="shared" si="57"/>
        <v>2286.84</v>
      </c>
      <c r="W433" s="101">
        <f t="shared" si="58"/>
        <v>27416.58</v>
      </c>
      <c r="X433" s="101">
        <f t="shared" si="59"/>
        <v>102255.969</v>
      </c>
      <c r="Y433" s="101">
        <f t="shared" si="60"/>
        <v>82130.49384000001</v>
      </c>
      <c r="AG433" s="225">
        <f>SUM(V433:V447)</f>
        <v>21771.040000000001</v>
      </c>
      <c r="AH433" s="101">
        <v>30000</v>
      </c>
      <c r="AI433" s="101">
        <f t="shared" si="54"/>
        <v>24000</v>
      </c>
      <c r="AJ433" s="101">
        <f t="shared" si="55"/>
        <v>36000</v>
      </c>
    </row>
    <row r="434" spans="1:36" hidden="1" x14ac:dyDescent="0.3">
      <c r="A434" s="126" t="s">
        <v>183</v>
      </c>
      <c r="B434" s="126">
        <v>28</v>
      </c>
      <c r="C434" s="126">
        <v>25</v>
      </c>
      <c r="D434" s="126" t="str">
        <f t="shared" si="61"/>
        <v>2825</v>
      </c>
      <c r="E434" s="101">
        <v>136</v>
      </c>
      <c r="F434" s="101">
        <v>882</v>
      </c>
      <c r="G434" s="101">
        <v>22446</v>
      </c>
      <c r="H434" s="101">
        <v>255766.83000000002</v>
      </c>
      <c r="I434" s="101">
        <v>120273.09600000001</v>
      </c>
      <c r="J434" s="101">
        <v>91</v>
      </c>
      <c r="K434" s="101">
        <v>749</v>
      </c>
      <c r="L434" s="101">
        <v>20686</v>
      </c>
      <c r="M434" s="101">
        <v>153249.90000000002</v>
      </c>
      <c r="N434" s="101">
        <v>126935.311</v>
      </c>
      <c r="O434" s="101">
        <v>139</v>
      </c>
      <c r="P434" s="101">
        <v>2014</v>
      </c>
      <c r="Q434" s="101">
        <v>31985</v>
      </c>
      <c r="R434" s="101">
        <v>441041.48</v>
      </c>
      <c r="S434" s="101">
        <v>255638.016</v>
      </c>
      <c r="T434" s="133">
        <v>1.02</v>
      </c>
      <c r="U434" s="101">
        <f t="shared" si="56"/>
        <v>141.78</v>
      </c>
      <c r="V434" s="101">
        <f t="shared" si="57"/>
        <v>2054.2800000000002</v>
      </c>
      <c r="W434" s="101">
        <f t="shared" si="58"/>
        <v>32624.7</v>
      </c>
      <c r="X434" s="101">
        <f t="shared" si="59"/>
        <v>449862.30959999998</v>
      </c>
      <c r="Y434" s="101">
        <f t="shared" si="60"/>
        <v>260750.77632</v>
      </c>
      <c r="AG434" s="225"/>
      <c r="AH434" s="101">
        <v>30000</v>
      </c>
      <c r="AI434" s="101">
        <f t="shared" si="54"/>
        <v>24000</v>
      </c>
      <c r="AJ434" s="101">
        <f t="shared" si="55"/>
        <v>36000</v>
      </c>
    </row>
    <row r="435" spans="1:36" hidden="1" x14ac:dyDescent="0.3">
      <c r="A435" s="126" t="s">
        <v>183</v>
      </c>
      <c r="B435" s="126">
        <v>28</v>
      </c>
      <c r="C435" s="126">
        <v>27</v>
      </c>
      <c r="D435" s="126" t="str">
        <f t="shared" si="61"/>
        <v>2827</v>
      </c>
      <c r="E435" s="101">
        <v>7</v>
      </c>
      <c r="F435" s="101">
        <v>129</v>
      </c>
      <c r="G435" s="101">
        <v>1212</v>
      </c>
      <c r="H435" s="101">
        <v>11402.869999999999</v>
      </c>
      <c r="I435" s="101">
        <v>3487.4900000000002</v>
      </c>
      <c r="J435" s="101">
        <v>12</v>
      </c>
      <c r="K435" s="101">
        <v>28</v>
      </c>
      <c r="L435" s="101">
        <v>306</v>
      </c>
      <c r="M435" s="101">
        <v>7276.8099999999995</v>
      </c>
      <c r="N435" s="101">
        <v>3653.8119999999999</v>
      </c>
      <c r="O435" s="101">
        <v>8</v>
      </c>
      <c r="P435" s="101">
        <v>28</v>
      </c>
      <c r="Q435" s="101">
        <v>313</v>
      </c>
      <c r="R435" s="101">
        <v>2079.79</v>
      </c>
      <c r="S435" s="101">
        <v>1047.2660000000001</v>
      </c>
      <c r="T435" s="133">
        <v>1.02</v>
      </c>
      <c r="U435" s="101">
        <f t="shared" si="56"/>
        <v>8.16</v>
      </c>
      <c r="V435" s="101">
        <f t="shared" si="57"/>
        <v>28.560000000000002</v>
      </c>
      <c r="W435" s="101">
        <f t="shared" si="58"/>
        <v>319.26</v>
      </c>
      <c r="X435" s="101">
        <f t="shared" si="59"/>
        <v>2121.3858</v>
      </c>
      <c r="Y435" s="101">
        <f t="shared" si="60"/>
        <v>1068.2113200000001</v>
      </c>
      <c r="AG435" s="225"/>
      <c r="AH435" s="101">
        <v>30000</v>
      </c>
      <c r="AI435" s="101">
        <f t="shared" si="54"/>
        <v>24000</v>
      </c>
      <c r="AJ435" s="101">
        <f t="shared" si="55"/>
        <v>36000</v>
      </c>
    </row>
    <row r="436" spans="1:36" hidden="1" x14ac:dyDescent="0.3">
      <c r="A436" s="126" t="s">
        <v>183</v>
      </c>
      <c r="B436" s="126">
        <v>28</v>
      </c>
      <c r="C436" s="126">
        <v>28</v>
      </c>
      <c r="D436" s="126" t="str">
        <f t="shared" si="61"/>
        <v>2828</v>
      </c>
      <c r="J436" s="101">
        <v>124</v>
      </c>
      <c r="K436" s="101">
        <v>197</v>
      </c>
      <c r="L436" s="101">
        <v>3872</v>
      </c>
      <c r="M436" s="101">
        <v>222732.63</v>
      </c>
      <c r="N436" s="101">
        <v>90047.870999999985</v>
      </c>
      <c r="O436" s="101">
        <v>145</v>
      </c>
      <c r="P436" s="101">
        <v>311</v>
      </c>
      <c r="Q436" s="101">
        <v>3121</v>
      </c>
      <c r="R436" s="101">
        <v>84348.160000000003</v>
      </c>
      <c r="S436" s="101">
        <v>17853.235000000001</v>
      </c>
      <c r="T436" s="133">
        <v>1.02</v>
      </c>
      <c r="U436" s="101">
        <f t="shared" si="56"/>
        <v>147.9</v>
      </c>
      <c r="V436" s="101">
        <f t="shared" si="57"/>
        <v>317.22000000000003</v>
      </c>
      <c r="W436" s="101">
        <f t="shared" si="58"/>
        <v>3183.42</v>
      </c>
      <c r="X436" s="101">
        <f t="shared" si="59"/>
        <v>86035.123200000002</v>
      </c>
      <c r="Y436" s="101">
        <f t="shared" si="60"/>
        <v>18210.2997</v>
      </c>
      <c r="AG436" s="225"/>
      <c r="AH436" s="101"/>
      <c r="AI436" s="101"/>
      <c r="AJ436" s="101"/>
    </row>
    <row r="437" spans="1:36" x14ac:dyDescent="0.3">
      <c r="A437" s="126" t="s">
        <v>183</v>
      </c>
      <c r="B437" s="126">
        <v>28</v>
      </c>
      <c r="C437" s="126">
        <v>91</v>
      </c>
      <c r="D437" s="126" t="str">
        <f t="shared" si="61"/>
        <v>2891</v>
      </c>
      <c r="J437" s="101">
        <v>8</v>
      </c>
      <c r="K437" s="101">
        <v>16</v>
      </c>
      <c r="L437" s="101">
        <v>81</v>
      </c>
      <c r="M437" s="101">
        <v>654.67999999999995</v>
      </c>
      <c r="N437" s="101">
        <v>599.50399999999991</v>
      </c>
      <c r="O437" s="101">
        <v>3</v>
      </c>
      <c r="P437" s="101">
        <v>15</v>
      </c>
      <c r="Q437" s="101">
        <v>37</v>
      </c>
      <c r="R437" s="101">
        <v>704.58</v>
      </c>
      <c r="S437" s="101">
        <v>550.803</v>
      </c>
      <c r="T437" s="133">
        <v>1.02</v>
      </c>
      <c r="U437" s="101">
        <f t="shared" si="56"/>
        <v>3.06</v>
      </c>
      <c r="V437" s="101">
        <f t="shared" si="57"/>
        <v>15.3</v>
      </c>
      <c r="W437" s="101">
        <f t="shared" si="58"/>
        <v>37.74</v>
      </c>
      <c r="X437" s="101">
        <f t="shared" si="59"/>
        <v>718.67160000000001</v>
      </c>
      <c r="Y437" s="101">
        <f t="shared" si="60"/>
        <v>561.81906000000004</v>
      </c>
      <c r="AG437" s="225"/>
      <c r="AH437" s="101"/>
      <c r="AI437" s="101"/>
      <c r="AJ437" s="101"/>
    </row>
    <row r="438" spans="1:36" hidden="1" x14ac:dyDescent="0.3">
      <c r="A438" s="126" t="s">
        <v>183</v>
      </c>
      <c r="B438" s="126">
        <v>28</v>
      </c>
      <c r="C438" s="126">
        <v>66</v>
      </c>
      <c r="D438" s="126" t="str">
        <f t="shared" si="61"/>
        <v>2866</v>
      </c>
      <c r="J438" s="101">
        <v>6</v>
      </c>
      <c r="K438" s="101">
        <v>14</v>
      </c>
      <c r="L438" s="101">
        <v>656</v>
      </c>
      <c r="M438" s="101">
        <v>9296.76</v>
      </c>
      <c r="N438" s="101">
        <v>4477.3719999999994</v>
      </c>
      <c r="O438" s="101">
        <v>26</v>
      </c>
      <c r="P438" s="101">
        <v>31</v>
      </c>
      <c r="Q438" s="101">
        <v>958</v>
      </c>
      <c r="R438" s="101">
        <v>9707.58</v>
      </c>
      <c r="S438" s="101">
        <v>9021.5020000000004</v>
      </c>
      <c r="T438" s="133">
        <v>1.02</v>
      </c>
      <c r="U438" s="101">
        <f t="shared" si="56"/>
        <v>26.52</v>
      </c>
      <c r="V438" s="101">
        <f t="shared" si="57"/>
        <v>31.62</v>
      </c>
      <c r="W438" s="101">
        <f t="shared" si="58"/>
        <v>977.16</v>
      </c>
      <c r="X438" s="101">
        <f t="shared" si="59"/>
        <v>9901.731600000001</v>
      </c>
      <c r="Y438" s="101">
        <f t="shared" si="60"/>
        <v>9201.9320399999997</v>
      </c>
      <c r="AG438" s="225"/>
      <c r="AH438" s="101"/>
      <c r="AI438" s="101"/>
      <c r="AJ438" s="101"/>
    </row>
    <row r="439" spans="1:36" hidden="1" x14ac:dyDescent="0.3">
      <c r="A439" s="126" t="s">
        <v>183</v>
      </c>
      <c r="B439" s="126">
        <v>28</v>
      </c>
      <c r="C439" s="126">
        <v>46</v>
      </c>
      <c r="D439" s="126" t="str">
        <f t="shared" si="61"/>
        <v>2846</v>
      </c>
      <c r="J439" s="101">
        <v>11</v>
      </c>
      <c r="K439" s="101">
        <v>12</v>
      </c>
      <c r="L439" s="101">
        <v>633</v>
      </c>
      <c r="M439" s="101">
        <v>16611.27</v>
      </c>
      <c r="N439" s="101">
        <v>8253.8450000000012</v>
      </c>
      <c r="O439" s="101">
        <v>10</v>
      </c>
      <c r="P439" s="101">
        <v>12</v>
      </c>
      <c r="Q439" s="101">
        <v>172</v>
      </c>
      <c r="R439" s="101">
        <v>1791.6</v>
      </c>
      <c r="S439" s="101">
        <v>381.755</v>
      </c>
      <c r="T439" s="133">
        <v>1.02</v>
      </c>
      <c r="U439" s="101">
        <f t="shared" si="56"/>
        <v>10.199999999999999</v>
      </c>
      <c r="V439" s="101">
        <f t="shared" si="57"/>
        <v>12.24</v>
      </c>
      <c r="W439" s="101">
        <f t="shared" si="58"/>
        <v>175.44</v>
      </c>
      <c r="X439" s="101">
        <f t="shared" si="59"/>
        <v>1827.432</v>
      </c>
      <c r="Y439" s="101">
        <f t="shared" si="60"/>
        <v>389.39010000000002</v>
      </c>
      <c r="AG439" s="225"/>
      <c r="AH439" s="101"/>
      <c r="AI439" s="101"/>
      <c r="AJ439" s="101"/>
    </row>
    <row r="440" spans="1:36" hidden="1" x14ac:dyDescent="0.3">
      <c r="A440" s="126" t="s">
        <v>183</v>
      </c>
      <c r="B440" s="126">
        <v>28</v>
      </c>
      <c r="C440" s="126">
        <v>26</v>
      </c>
      <c r="D440" s="126" t="str">
        <f t="shared" si="61"/>
        <v>2826</v>
      </c>
      <c r="E440" s="101">
        <v>75</v>
      </c>
      <c r="F440" s="101">
        <v>2137</v>
      </c>
      <c r="G440" s="101">
        <v>26330</v>
      </c>
      <c r="H440" s="101">
        <v>274993.34000000003</v>
      </c>
      <c r="I440" s="101">
        <v>125993.16300000002</v>
      </c>
      <c r="J440" s="101">
        <v>56</v>
      </c>
      <c r="K440" s="101">
        <v>2216</v>
      </c>
      <c r="L440" s="101">
        <v>25320</v>
      </c>
      <c r="M440" s="101">
        <v>370541.09</v>
      </c>
      <c r="N440" s="101">
        <v>135716.538</v>
      </c>
      <c r="O440" s="101">
        <v>9</v>
      </c>
      <c r="P440" s="101">
        <v>254</v>
      </c>
      <c r="Q440" s="101">
        <v>7237</v>
      </c>
      <c r="R440" s="101">
        <v>86223.33</v>
      </c>
      <c r="S440" s="101">
        <v>40120.521999999997</v>
      </c>
      <c r="T440" s="133">
        <v>1.02</v>
      </c>
      <c r="U440" s="101">
        <f t="shared" si="56"/>
        <v>9.18</v>
      </c>
      <c r="V440" s="101">
        <f t="shared" si="57"/>
        <v>259.08</v>
      </c>
      <c r="W440" s="101">
        <f t="shared" si="58"/>
        <v>7381.74</v>
      </c>
      <c r="X440" s="101">
        <f t="shared" si="59"/>
        <v>87947.796600000001</v>
      </c>
      <c r="Y440" s="101">
        <f t="shared" si="60"/>
        <v>40922.932439999997</v>
      </c>
      <c r="AG440" s="225"/>
      <c r="AH440" s="101">
        <v>30000</v>
      </c>
      <c r="AI440" s="101">
        <f t="shared" si="54"/>
        <v>24000</v>
      </c>
      <c r="AJ440" s="101">
        <f t="shared" si="55"/>
        <v>36000</v>
      </c>
    </row>
    <row r="441" spans="1:36" hidden="1" x14ac:dyDescent="0.3">
      <c r="A441" s="126" t="s">
        <v>183</v>
      </c>
      <c r="B441" s="126">
        <v>28</v>
      </c>
      <c r="C441" s="126">
        <v>32</v>
      </c>
      <c r="D441" s="126" t="str">
        <f t="shared" si="61"/>
        <v>2832</v>
      </c>
      <c r="E441" s="101">
        <v>299</v>
      </c>
      <c r="F441" s="101">
        <v>1032</v>
      </c>
      <c r="G441" s="101">
        <v>18201</v>
      </c>
      <c r="H441" s="101">
        <v>284488.24999999994</v>
      </c>
      <c r="I441" s="101">
        <v>125715.86999999998</v>
      </c>
      <c r="J441" s="101">
        <v>229</v>
      </c>
      <c r="K441" s="101">
        <v>1190</v>
      </c>
      <c r="L441" s="101">
        <v>16571</v>
      </c>
      <c r="M441" s="101">
        <v>104767.31999999998</v>
      </c>
      <c r="N441" s="101">
        <v>43081.029999999992</v>
      </c>
      <c r="O441" s="101">
        <v>148</v>
      </c>
      <c r="P441" s="101">
        <v>955</v>
      </c>
      <c r="Q441" s="101">
        <v>17724</v>
      </c>
      <c r="R441" s="101">
        <v>124401.2</v>
      </c>
      <c r="S441" s="101">
        <v>111572.887</v>
      </c>
      <c r="T441" s="133">
        <v>1.02</v>
      </c>
      <c r="U441" s="101">
        <f>O441*$T$5+2</f>
        <v>152.96</v>
      </c>
      <c r="V441" s="101">
        <f>P441*$T$5+4</f>
        <v>978.1</v>
      </c>
      <c r="W441" s="101">
        <f>Q441*$T$5+200</f>
        <v>18278.48</v>
      </c>
      <c r="X441" s="101">
        <f>R441*$T$5+2700</f>
        <v>129589.224</v>
      </c>
      <c r="Y441" s="101">
        <f>S441*$T$5+1277</f>
        <v>115081.34474</v>
      </c>
      <c r="AG441" s="225"/>
      <c r="AH441" s="101">
        <v>30000</v>
      </c>
      <c r="AI441" s="101">
        <f t="shared" si="54"/>
        <v>24000</v>
      </c>
      <c r="AJ441" s="101">
        <f t="shared" si="55"/>
        <v>36000</v>
      </c>
    </row>
    <row r="442" spans="1:36" hidden="1" x14ac:dyDescent="0.3">
      <c r="A442" s="126" t="s">
        <v>183</v>
      </c>
      <c r="B442" s="126">
        <v>28</v>
      </c>
      <c r="C442" s="126">
        <v>21</v>
      </c>
      <c r="D442" s="126" t="str">
        <f t="shared" si="61"/>
        <v>2821</v>
      </c>
      <c r="E442" s="101">
        <v>723.5</v>
      </c>
      <c r="F442" s="101">
        <v>4569.5</v>
      </c>
      <c r="G442" s="101">
        <v>18469.5</v>
      </c>
      <c r="H442" s="101">
        <v>287391.84999999998</v>
      </c>
      <c r="I442" s="101">
        <v>80191.445999999982</v>
      </c>
      <c r="J442" s="101">
        <v>0</v>
      </c>
      <c r="K442" s="101">
        <v>0</v>
      </c>
      <c r="L442" s="101">
        <v>0</v>
      </c>
      <c r="M442" s="101">
        <v>0</v>
      </c>
      <c r="N442" s="101">
        <v>0</v>
      </c>
      <c r="O442" s="101">
        <v>31</v>
      </c>
      <c r="P442" s="101">
        <v>57</v>
      </c>
      <c r="Q442" s="101">
        <v>1056</v>
      </c>
      <c r="R442" s="101">
        <v>14127.33</v>
      </c>
      <c r="S442" s="101">
        <v>4379.7470000000003</v>
      </c>
      <c r="T442" s="133">
        <v>1.02</v>
      </c>
      <c r="U442" s="101">
        <f t="shared" si="56"/>
        <v>31.62</v>
      </c>
      <c r="V442" s="101">
        <f t="shared" si="57"/>
        <v>58.14</v>
      </c>
      <c r="W442" s="101">
        <f t="shared" si="58"/>
        <v>1077.1200000000001</v>
      </c>
      <c r="X442" s="101">
        <f t="shared" si="59"/>
        <v>14409.8766</v>
      </c>
      <c r="Y442" s="101">
        <f t="shared" si="60"/>
        <v>4467.3419400000002</v>
      </c>
      <c r="AG442" s="225"/>
      <c r="AH442" s="101">
        <v>30000</v>
      </c>
      <c r="AI442" s="101">
        <f t="shared" si="54"/>
        <v>24000</v>
      </c>
      <c r="AJ442" s="101">
        <f t="shared" si="55"/>
        <v>36000</v>
      </c>
    </row>
    <row r="443" spans="1:36" hidden="1" x14ac:dyDescent="0.3">
      <c r="A443" s="126" t="s">
        <v>183</v>
      </c>
      <c r="B443" s="126">
        <v>28</v>
      </c>
      <c r="C443" s="126">
        <v>30</v>
      </c>
      <c r="D443" s="126" t="str">
        <f t="shared" si="61"/>
        <v>2830</v>
      </c>
      <c r="E443" s="101">
        <v>231</v>
      </c>
      <c r="F443" s="101">
        <v>3542.5</v>
      </c>
      <c r="G443" s="101">
        <v>12529</v>
      </c>
      <c r="H443" s="101">
        <v>264055.17000000004</v>
      </c>
      <c r="I443" s="101">
        <v>85475.356500000009</v>
      </c>
      <c r="J443" s="101">
        <v>673</v>
      </c>
      <c r="K443" s="101">
        <v>6770</v>
      </c>
      <c r="L443" s="101">
        <v>25137</v>
      </c>
      <c r="M443" s="101">
        <v>573346.17999999993</v>
      </c>
      <c r="N443" s="101">
        <v>206562.56499999997</v>
      </c>
      <c r="O443" s="101">
        <v>277</v>
      </c>
      <c r="P443" s="101">
        <v>6471</v>
      </c>
      <c r="Q443" s="101">
        <v>22125</v>
      </c>
      <c r="R443" s="101">
        <v>468327.92</v>
      </c>
      <c r="S443" s="101">
        <v>157258.405</v>
      </c>
      <c r="T443" s="133">
        <v>1.02</v>
      </c>
      <c r="U443" s="101">
        <f t="shared" si="56"/>
        <v>282.54000000000002</v>
      </c>
      <c r="V443" s="101">
        <f t="shared" si="57"/>
        <v>6600.42</v>
      </c>
      <c r="W443" s="101">
        <f t="shared" si="58"/>
        <v>22567.5</v>
      </c>
      <c r="X443" s="101">
        <f t="shared" si="59"/>
        <v>477694.47839999996</v>
      </c>
      <c r="Y443" s="101">
        <f t="shared" si="60"/>
        <v>160403.57310000001</v>
      </c>
      <c r="AG443" s="225"/>
      <c r="AH443" s="101">
        <v>30000</v>
      </c>
      <c r="AI443" s="101">
        <f t="shared" si="54"/>
        <v>24000</v>
      </c>
      <c r="AJ443" s="101">
        <f t="shared" si="55"/>
        <v>36000</v>
      </c>
    </row>
    <row r="444" spans="1:36" hidden="1" x14ac:dyDescent="0.3">
      <c r="A444" s="126" t="s">
        <v>183</v>
      </c>
      <c r="B444" s="126">
        <v>28</v>
      </c>
      <c r="C444" s="126">
        <v>71</v>
      </c>
      <c r="D444" s="126" t="str">
        <f t="shared" si="61"/>
        <v>2871</v>
      </c>
      <c r="E444" s="101">
        <v>657.5</v>
      </c>
      <c r="F444" s="101">
        <v>4449</v>
      </c>
      <c r="G444" s="101">
        <v>14722</v>
      </c>
      <c r="H444" s="101">
        <v>118696.84</v>
      </c>
      <c r="I444" s="101">
        <v>64218.713499999998</v>
      </c>
      <c r="J444" s="101">
        <v>386</v>
      </c>
      <c r="K444" s="101">
        <v>4226</v>
      </c>
      <c r="L444" s="101">
        <v>11865</v>
      </c>
      <c r="M444" s="101">
        <v>112860.40999999999</v>
      </c>
      <c r="N444" s="101">
        <v>77709.865999999995</v>
      </c>
      <c r="O444" s="101">
        <v>423</v>
      </c>
      <c r="P444" s="101">
        <v>9072</v>
      </c>
      <c r="Q444" s="101">
        <v>34879</v>
      </c>
      <c r="R444" s="101">
        <v>198025.91</v>
      </c>
      <c r="S444" s="101">
        <v>83587.516000000003</v>
      </c>
      <c r="T444" s="133">
        <v>0.98</v>
      </c>
      <c r="U444" s="101">
        <f t="shared" si="56"/>
        <v>414.54</v>
      </c>
      <c r="V444" s="101">
        <f t="shared" si="57"/>
        <v>8890.56</v>
      </c>
      <c r="W444" s="101">
        <f t="shared" si="58"/>
        <v>34181.42</v>
      </c>
      <c r="X444" s="101">
        <f t="shared" si="59"/>
        <v>194065.39180000001</v>
      </c>
      <c r="Y444" s="101">
        <f t="shared" si="60"/>
        <v>81915.765679999997</v>
      </c>
      <c r="AG444" s="225"/>
      <c r="AH444" s="101">
        <v>30000</v>
      </c>
      <c r="AI444" s="101">
        <f t="shared" si="54"/>
        <v>24000</v>
      </c>
      <c r="AJ444" s="101">
        <f t="shared" si="55"/>
        <v>36000</v>
      </c>
    </row>
    <row r="445" spans="1:36" hidden="1" x14ac:dyDescent="0.3">
      <c r="A445" s="126" t="s">
        <v>183</v>
      </c>
      <c r="B445" s="126">
        <v>28</v>
      </c>
      <c r="C445" s="126">
        <v>41</v>
      </c>
      <c r="D445" s="126" t="str">
        <f t="shared" si="61"/>
        <v>2841</v>
      </c>
      <c r="O445" s="101">
        <v>13</v>
      </c>
      <c r="P445" s="101">
        <v>54</v>
      </c>
      <c r="Q445" s="101">
        <v>199</v>
      </c>
      <c r="R445" s="101">
        <v>3157.16</v>
      </c>
      <c r="S445" s="101">
        <v>623.35199999999998</v>
      </c>
      <c r="T445" s="133">
        <v>1.02</v>
      </c>
      <c r="U445" s="101">
        <f t="shared" si="56"/>
        <v>13.26</v>
      </c>
      <c r="V445" s="101">
        <f t="shared" si="57"/>
        <v>55.08</v>
      </c>
      <c r="W445" s="101">
        <f t="shared" si="58"/>
        <v>202.98</v>
      </c>
      <c r="X445" s="101">
        <f t="shared" si="59"/>
        <v>3220.3031999999998</v>
      </c>
      <c r="Y445" s="101">
        <f t="shared" si="60"/>
        <v>635.81903999999997</v>
      </c>
      <c r="AG445" s="225"/>
      <c r="AH445" s="101"/>
      <c r="AI445" s="101"/>
      <c r="AJ445" s="101"/>
    </row>
    <row r="446" spans="1:36" hidden="1" x14ac:dyDescent="0.3">
      <c r="A446" s="126" t="s">
        <v>183</v>
      </c>
      <c r="B446" s="126">
        <v>28</v>
      </c>
      <c r="C446" s="126">
        <v>1</v>
      </c>
      <c r="D446" s="126" t="str">
        <f t="shared" si="61"/>
        <v>281</v>
      </c>
      <c r="J446" s="101">
        <v>128</v>
      </c>
      <c r="K446" s="101">
        <v>128</v>
      </c>
      <c r="L446" s="101">
        <v>43080</v>
      </c>
      <c r="M446" s="101">
        <v>0</v>
      </c>
      <c r="N446" s="101">
        <v>311687</v>
      </c>
      <c r="O446" s="101">
        <v>164</v>
      </c>
      <c r="P446" s="101">
        <v>164</v>
      </c>
      <c r="Q446" s="101">
        <v>34987</v>
      </c>
      <c r="S446" s="101">
        <v>183939</v>
      </c>
      <c r="T446" s="133">
        <v>1.02</v>
      </c>
      <c r="U446" s="101">
        <f t="shared" si="56"/>
        <v>167.28</v>
      </c>
      <c r="V446" s="101">
        <f t="shared" si="57"/>
        <v>167.28</v>
      </c>
      <c r="W446" s="101">
        <f t="shared" si="58"/>
        <v>35686.74</v>
      </c>
      <c r="X446" s="101">
        <f t="shared" si="59"/>
        <v>0</v>
      </c>
      <c r="Y446" s="101">
        <f t="shared" si="60"/>
        <v>187617.78</v>
      </c>
      <c r="AG446" s="225"/>
      <c r="AH446" s="101"/>
      <c r="AI446" s="101"/>
      <c r="AJ446" s="101"/>
    </row>
    <row r="447" spans="1:36" hidden="1" x14ac:dyDescent="0.3">
      <c r="A447" s="126" t="s">
        <v>183</v>
      </c>
      <c r="B447" s="126">
        <v>28</v>
      </c>
      <c r="C447" s="126">
        <v>37</v>
      </c>
      <c r="D447" s="126" t="str">
        <f t="shared" si="61"/>
        <v>2837</v>
      </c>
      <c r="E447" s="101">
        <v>7.75</v>
      </c>
      <c r="F447" s="101">
        <v>15</v>
      </c>
      <c r="G447" s="101">
        <v>3619.75</v>
      </c>
      <c r="H447" s="101">
        <v>5207.1575000000003</v>
      </c>
      <c r="I447" s="101">
        <v>1315.63825</v>
      </c>
      <c r="J447" s="101">
        <v>8</v>
      </c>
      <c r="K447" s="101">
        <v>28</v>
      </c>
      <c r="L447" s="101">
        <v>37129</v>
      </c>
      <c r="M447" s="101">
        <v>67650</v>
      </c>
      <c r="N447" s="101">
        <v>44311.47</v>
      </c>
      <c r="O447" s="101">
        <v>4</v>
      </c>
      <c r="P447" s="101">
        <v>16</v>
      </c>
      <c r="Q447" s="101">
        <v>12550</v>
      </c>
      <c r="R447" s="101">
        <v>14367.65</v>
      </c>
      <c r="S447" s="101">
        <v>21637.74</v>
      </c>
      <c r="T447" s="133">
        <v>1.02</v>
      </c>
      <c r="U447" s="101">
        <f t="shared" si="56"/>
        <v>4.08</v>
      </c>
      <c r="V447" s="101">
        <f t="shared" si="57"/>
        <v>16.32</v>
      </c>
      <c r="W447" s="101">
        <f t="shared" si="58"/>
        <v>12801</v>
      </c>
      <c r="X447" s="101">
        <f t="shared" si="59"/>
        <v>14655.003000000001</v>
      </c>
      <c r="Y447" s="101">
        <f t="shared" si="60"/>
        <v>22070.4948</v>
      </c>
      <c r="AG447" s="225"/>
      <c r="AH447" s="101">
        <v>30000</v>
      </c>
      <c r="AI447" s="101">
        <f t="shared" si="54"/>
        <v>24000</v>
      </c>
      <c r="AJ447" s="101">
        <f t="shared" si="55"/>
        <v>36000</v>
      </c>
    </row>
    <row r="448" spans="1:36" hidden="1" x14ac:dyDescent="0.3">
      <c r="A448" s="126" t="s">
        <v>183</v>
      </c>
      <c r="B448" s="126">
        <v>29</v>
      </c>
      <c r="C448" s="126">
        <v>22</v>
      </c>
      <c r="D448" s="126" t="str">
        <f t="shared" si="61"/>
        <v>2922</v>
      </c>
      <c r="E448" s="101">
        <v>363</v>
      </c>
      <c r="F448" s="101">
        <v>3918</v>
      </c>
      <c r="G448" s="101">
        <v>44445</v>
      </c>
      <c r="H448" s="101">
        <v>170950.17</v>
      </c>
      <c r="I448" s="101">
        <v>147554.64799999999</v>
      </c>
      <c r="J448" s="101">
        <v>682</v>
      </c>
      <c r="K448" s="101">
        <v>4027</v>
      </c>
      <c r="L448" s="101">
        <v>28130</v>
      </c>
      <c r="M448" s="101">
        <v>235589.34999999998</v>
      </c>
      <c r="N448" s="101">
        <v>141107.99400000001</v>
      </c>
      <c r="O448" s="101">
        <v>350</v>
      </c>
      <c r="P448" s="101">
        <v>2458</v>
      </c>
      <c r="Q448" s="101">
        <v>18647</v>
      </c>
      <c r="R448" s="101">
        <v>88587.32</v>
      </c>
      <c r="S448" s="101">
        <v>65534.777999999998</v>
      </c>
      <c r="T448" s="133">
        <v>1.02</v>
      </c>
      <c r="U448" s="101">
        <f t="shared" si="56"/>
        <v>357</v>
      </c>
      <c r="V448" s="101">
        <f t="shared" si="57"/>
        <v>2507.16</v>
      </c>
      <c r="W448" s="101">
        <f t="shared" si="58"/>
        <v>19019.939999999999</v>
      </c>
      <c r="X448" s="101">
        <f t="shared" si="59"/>
        <v>90359.066400000011</v>
      </c>
      <c r="Y448" s="101">
        <f t="shared" si="60"/>
        <v>66845.473559999999</v>
      </c>
      <c r="AG448" s="225">
        <f>SUM(V448:V462)</f>
        <v>17518.019999999997</v>
      </c>
      <c r="AH448" s="101">
        <v>30000</v>
      </c>
      <c r="AI448" s="101">
        <f t="shared" si="54"/>
        <v>24000</v>
      </c>
      <c r="AJ448" s="101">
        <f t="shared" si="55"/>
        <v>36000</v>
      </c>
    </row>
    <row r="449" spans="1:36" hidden="1" x14ac:dyDescent="0.3">
      <c r="A449" s="126" t="s">
        <v>183</v>
      </c>
      <c r="B449" s="126">
        <v>29</v>
      </c>
      <c r="C449" s="126">
        <v>25</v>
      </c>
      <c r="D449" s="126" t="str">
        <f t="shared" si="61"/>
        <v>2925</v>
      </c>
      <c r="E449" s="101">
        <v>138</v>
      </c>
      <c r="F449" s="101">
        <v>1168</v>
      </c>
      <c r="G449" s="101">
        <v>34604</v>
      </c>
      <c r="H449" s="101">
        <v>163531.98999999996</v>
      </c>
      <c r="I449" s="101">
        <v>103271</v>
      </c>
      <c r="J449" s="101">
        <v>106</v>
      </c>
      <c r="K449" s="101">
        <v>1245</v>
      </c>
      <c r="L449" s="101">
        <v>21234</v>
      </c>
      <c r="M449" s="101">
        <v>414515.61999999994</v>
      </c>
      <c r="N449" s="101">
        <v>206889.04699999999</v>
      </c>
      <c r="O449" s="101">
        <v>163</v>
      </c>
      <c r="P449" s="101">
        <v>2125</v>
      </c>
      <c r="Q449" s="101">
        <v>57072</v>
      </c>
      <c r="R449" s="101">
        <v>743225.17</v>
      </c>
      <c r="S449" s="101">
        <v>394541.41399999999</v>
      </c>
      <c r="T449" s="133">
        <v>1.02</v>
      </c>
      <c r="U449" s="101">
        <f t="shared" si="56"/>
        <v>166.26</v>
      </c>
      <c r="V449" s="101">
        <f t="shared" si="57"/>
        <v>2167.5</v>
      </c>
      <c r="W449" s="101">
        <f t="shared" si="58"/>
        <v>58213.440000000002</v>
      </c>
      <c r="X449" s="101">
        <f t="shared" si="59"/>
        <v>758089.67340000009</v>
      </c>
      <c r="Y449" s="101">
        <f t="shared" si="60"/>
        <v>402432.24228000001</v>
      </c>
      <c r="AG449" s="225"/>
      <c r="AH449" s="101">
        <v>30000</v>
      </c>
      <c r="AI449" s="101">
        <f t="shared" si="54"/>
        <v>24000</v>
      </c>
      <c r="AJ449" s="101">
        <f t="shared" si="55"/>
        <v>36000</v>
      </c>
    </row>
    <row r="450" spans="1:36" hidden="1" x14ac:dyDescent="0.3">
      <c r="A450" s="126" t="s">
        <v>183</v>
      </c>
      <c r="B450" s="126">
        <v>29</v>
      </c>
      <c r="C450" s="126">
        <v>27</v>
      </c>
      <c r="D450" s="126" t="str">
        <f t="shared" si="61"/>
        <v>2927</v>
      </c>
      <c r="E450" s="101">
        <v>10</v>
      </c>
      <c r="F450" s="101">
        <v>416</v>
      </c>
      <c r="G450" s="101">
        <v>4125</v>
      </c>
      <c r="H450" s="101">
        <v>46615.8</v>
      </c>
      <c r="I450" s="101">
        <v>13818.505000000001</v>
      </c>
      <c r="J450" s="101">
        <v>12</v>
      </c>
      <c r="K450" s="101">
        <v>50</v>
      </c>
      <c r="L450" s="101">
        <v>200</v>
      </c>
      <c r="M450" s="101">
        <v>6144.9400000000005</v>
      </c>
      <c r="N450" s="101">
        <v>2722.37</v>
      </c>
      <c r="O450" s="101">
        <v>2</v>
      </c>
      <c r="P450" s="101">
        <v>21</v>
      </c>
      <c r="Q450" s="101">
        <v>313</v>
      </c>
      <c r="R450" s="101">
        <v>1831.3</v>
      </c>
      <c r="S450" s="101">
        <v>1683.126</v>
      </c>
      <c r="T450" s="133">
        <v>1.02</v>
      </c>
      <c r="U450" s="101">
        <f t="shared" si="56"/>
        <v>2.04</v>
      </c>
      <c r="V450" s="101">
        <f t="shared" si="57"/>
        <v>21.42</v>
      </c>
      <c r="W450" s="101">
        <f t="shared" si="58"/>
        <v>319.26</v>
      </c>
      <c r="X450" s="101">
        <f t="shared" si="59"/>
        <v>1867.9259999999999</v>
      </c>
      <c r="Y450" s="101">
        <f t="shared" si="60"/>
        <v>1716.7885200000001</v>
      </c>
      <c r="AG450" s="225"/>
      <c r="AH450" s="101">
        <v>30000</v>
      </c>
      <c r="AI450" s="101">
        <f t="shared" si="54"/>
        <v>24000</v>
      </c>
      <c r="AJ450" s="101">
        <f t="shared" si="55"/>
        <v>36000</v>
      </c>
    </row>
    <row r="451" spans="1:36" hidden="1" x14ac:dyDescent="0.3">
      <c r="A451" s="126" t="s">
        <v>183</v>
      </c>
      <c r="B451" s="126">
        <v>29</v>
      </c>
      <c r="C451" s="126">
        <v>26</v>
      </c>
      <c r="D451" s="126" t="str">
        <f t="shared" si="61"/>
        <v>2926</v>
      </c>
      <c r="E451" s="101">
        <v>108</v>
      </c>
      <c r="F451" s="101">
        <v>2949</v>
      </c>
      <c r="G451" s="101">
        <v>50144</v>
      </c>
      <c r="H451" s="101">
        <v>942825.44</v>
      </c>
      <c r="I451" s="101">
        <v>272556.201</v>
      </c>
      <c r="J451" s="101">
        <v>39</v>
      </c>
      <c r="K451" s="101">
        <v>1315</v>
      </c>
      <c r="L451" s="101">
        <v>15381</v>
      </c>
      <c r="M451" s="101">
        <v>257640.88</v>
      </c>
      <c r="N451" s="101">
        <v>72481.502999999997</v>
      </c>
      <c r="O451" s="101">
        <v>10</v>
      </c>
      <c r="P451" s="101">
        <v>258</v>
      </c>
      <c r="Q451" s="101">
        <v>8738</v>
      </c>
      <c r="R451" s="101">
        <v>107669.24</v>
      </c>
      <c r="S451" s="101">
        <v>50112.142</v>
      </c>
      <c r="T451" s="133">
        <v>1.02</v>
      </c>
      <c r="U451" s="101">
        <f t="shared" si="56"/>
        <v>10.199999999999999</v>
      </c>
      <c r="V451" s="101">
        <f t="shared" si="57"/>
        <v>263.16000000000003</v>
      </c>
      <c r="W451" s="101">
        <f t="shared" si="58"/>
        <v>8912.76</v>
      </c>
      <c r="X451" s="101">
        <f t="shared" si="59"/>
        <v>109822.62480000001</v>
      </c>
      <c r="Y451" s="101">
        <f t="shared" si="60"/>
        <v>51114.384839999999</v>
      </c>
      <c r="AG451" s="225"/>
      <c r="AH451" s="101">
        <v>30000</v>
      </c>
      <c r="AI451" s="101">
        <f t="shared" si="54"/>
        <v>24000</v>
      </c>
      <c r="AJ451" s="101">
        <f t="shared" si="55"/>
        <v>36000</v>
      </c>
    </row>
    <row r="452" spans="1:36" hidden="1" x14ac:dyDescent="0.3">
      <c r="A452" s="126" t="s">
        <v>183</v>
      </c>
      <c r="B452" s="126">
        <v>29</v>
      </c>
      <c r="C452" s="126">
        <v>32</v>
      </c>
      <c r="D452" s="126" t="str">
        <f t="shared" si="61"/>
        <v>2932</v>
      </c>
      <c r="E452" s="101">
        <v>568</v>
      </c>
      <c r="F452" s="101">
        <v>1769</v>
      </c>
      <c r="G452" s="101">
        <v>28948</v>
      </c>
      <c r="H452" s="101">
        <v>188230.3</v>
      </c>
      <c r="I452" s="101">
        <v>147028.90399999998</v>
      </c>
      <c r="J452" s="101">
        <v>218</v>
      </c>
      <c r="K452" s="101">
        <v>675</v>
      </c>
      <c r="L452" s="101">
        <v>10526</v>
      </c>
      <c r="M452" s="101">
        <v>84828.799999999988</v>
      </c>
      <c r="N452" s="101">
        <v>26793.430000000004</v>
      </c>
      <c r="O452" s="101">
        <v>197</v>
      </c>
      <c r="P452" s="101">
        <v>885</v>
      </c>
      <c r="Q452" s="101">
        <v>12542</v>
      </c>
      <c r="R452" s="101">
        <v>178077.1</v>
      </c>
      <c r="S452" s="101">
        <v>102739.90399999999</v>
      </c>
      <c r="T452" s="133">
        <v>1.02</v>
      </c>
      <c r="U452" s="101">
        <f>O452*$T$5+14</f>
        <v>214.94</v>
      </c>
      <c r="V452" s="101">
        <f>P452*$T$5+69</f>
        <v>971.7</v>
      </c>
      <c r="W452" s="101">
        <f>Q452*$T$5+6105</f>
        <v>18897.84</v>
      </c>
      <c r="X452" s="101">
        <f>R452*$T$5+44705</f>
        <v>226343.64200000002</v>
      </c>
      <c r="Y452" s="101">
        <f>S452*$T$5+22382</f>
        <v>127176.70208</v>
      </c>
      <c r="AG452" s="225"/>
      <c r="AH452" s="101">
        <v>30000</v>
      </c>
      <c r="AI452" s="101">
        <f t="shared" si="54"/>
        <v>24000</v>
      </c>
      <c r="AJ452" s="101">
        <f t="shared" si="55"/>
        <v>36000</v>
      </c>
    </row>
    <row r="453" spans="1:36" hidden="1" x14ac:dyDescent="0.3">
      <c r="A453" s="126" t="s">
        <v>183</v>
      </c>
      <c r="B453" s="126">
        <v>29</v>
      </c>
      <c r="C453" s="126">
        <v>21</v>
      </c>
      <c r="D453" s="126" t="str">
        <f t="shared" si="61"/>
        <v>2921</v>
      </c>
      <c r="E453" s="101">
        <v>2480.5</v>
      </c>
      <c r="F453" s="101">
        <v>10096</v>
      </c>
      <c r="G453" s="101">
        <v>39891</v>
      </c>
      <c r="H453" s="101">
        <v>505531.89999999997</v>
      </c>
      <c r="I453" s="101">
        <v>119134.057</v>
      </c>
      <c r="J453" s="101">
        <v>0</v>
      </c>
      <c r="K453" s="101">
        <v>0</v>
      </c>
      <c r="L453" s="101">
        <v>0</v>
      </c>
      <c r="M453" s="101">
        <v>0</v>
      </c>
      <c r="N453" s="101">
        <v>0</v>
      </c>
      <c r="O453" s="101">
        <v>62</v>
      </c>
      <c r="P453" s="101">
        <v>96</v>
      </c>
      <c r="Q453" s="101">
        <v>2086</v>
      </c>
      <c r="R453" s="101">
        <v>29165.96</v>
      </c>
      <c r="S453" s="101">
        <v>22180.345000000001</v>
      </c>
      <c r="T453" s="133">
        <v>1.02</v>
      </c>
      <c r="U453" s="101">
        <f t="shared" si="56"/>
        <v>63.24</v>
      </c>
      <c r="V453" s="101">
        <f t="shared" si="57"/>
        <v>97.92</v>
      </c>
      <c r="W453" s="101">
        <f t="shared" si="58"/>
        <v>2127.7200000000003</v>
      </c>
      <c r="X453" s="101">
        <f t="shared" si="59"/>
        <v>29749.279200000001</v>
      </c>
      <c r="Y453" s="101">
        <f t="shared" si="60"/>
        <v>22623.9519</v>
      </c>
      <c r="AG453" s="225"/>
      <c r="AH453" s="101">
        <v>30000</v>
      </c>
      <c r="AI453" s="101">
        <f t="shared" si="54"/>
        <v>24000</v>
      </c>
      <c r="AJ453" s="101">
        <f t="shared" si="55"/>
        <v>36000</v>
      </c>
    </row>
    <row r="454" spans="1:36" hidden="1" x14ac:dyDescent="0.3">
      <c r="A454" s="126" t="s">
        <v>183</v>
      </c>
      <c r="B454" s="126">
        <v>29</v>
      </c>
      <c r="C454" s="126">
        <v>30</v>
      </c>
      <c r="D454" s="126" t="str">
        <f t="shared" si="61"/>
        <v>2930</v>
      </c>
      <c r="E454" s="101">
        <v>936</v>
      </c>
      <c r="F454" s="101">
        <v>8887</v>
      </c>
      <c r="G454" s="101">
        <v>29651.5</v>
      </c>
      <c r="H454" s="101">
        <v>515254.81000000006</v>
      </c>
      <c r="I454" s="101">
        <v>150766.7145</v>
      </c>
      <c r="J454" s="101">
        <v>448</v>
      </c>
      <c r="K454" s="101">
        <v>5902</v>
      </c>
      <c r="L454" s="101">
        <v>28001</v>
      </c>
      <c r="M454" s="101">
        <v>1145479.4700000002</v>
      </c>
      <c r="N454" s="101">
        <v>424065.94</v>
      </c>
      <c r="O454" s="101">
        <v>309</v>
      </c>
      <c r="P454" s="101">
        <v>5179</v>
      </c>
      <c r="Q454" s="101">
        <v>21118</v>
      </c>
      <c r="R454" s="101">
        <v>534282.73</v>
      </c>
      <c r="S454" s="101">
        <v>173207.78599999999</v>
      </c>
      <c r="T454" s="133">
        <v>1.02</v>
      </c>
      <c r="U454" s="101">
        <f t="shared" ref="U454:U517" si="62">O454*T454</f>
        <v>315.18</v>
      </c>
      <c r="V454" s="101">
        <f t="shared" ref="V454:V517" si="63">P454*T454</f>
        <v>5282.58</v>
      </c>
      <c r="W454" s="101">
        <f t="shared" ref="W454:W517" si="64">Q454*T454</f>
        <v>21540.36</v>
      </c>
      <c r="X454" s="101">
        <f t="shared" ref="X454:X517" si="65">R454*T454</f>
        <v>544968.38459999999</v>
      </c>
      <c r="Y454" s="101">
        <f t="shared" ref="Y454:Y517" si="66">S454*T454</f>
        <v>176671.94172</v>
      </c>
      <c r="AG454" s="225"/>
      <c r="AH454" s="101">
        <v>30000</v>
      </c>
      <c r="AI454" s="101">
        <f t="shared" si="54"/>
        <v>24000</v>
      </c>
      <c r="AJ454" s="101">
        <f t="shared" si="55"/>
        <v>36000</v>
      </c>
    </row>
    <row r="455" spans="1:36" hidden="1" x14ac:dyDescent="0.3">
      <c r="A455" s="126" t="s">
        <v>183</v>
      </c>
      <c r="B455" s="126">
        <v>29</v>
      </c>
      <c r="C455" s="126">
        <v>71</v>
      </c>
      <c r="D455" s="126" t="str">
        <f t="shared" si="61"/>
        <v>2971</v>
      </c>
      <c r="E455" s="101">
        <v>711.5</v>
      </c>
      <c r="F455" s="101">
        <v>5069.5</v>
      </c>
      <c r="G455" s="101">
        <v>18567.5</v>
      </c>
      <c r="H455" s="101">
        <v>141988.495</v>
      </c>
      <c r="I455" s="101">
        <v>86931.246500000008</v>
      </c>
      <c r="J455" s="101">
        <v>491</v>
      </c>
      <c r="K455" s="101">
        <v>6497</v>
      </c>
      <c r="L455" s="101">
        <v>23976</v>
      </c>
      <c r="M455" s="101">
        <v>171251.86</v>
      </c>
      <c r="N455" s="101">
        <v>114486.08700000001</v>
      </c>
      <c r="O455" s="101">
        <v>361</v>
      </c>
      <c r="P455" s="101">
        <v>5664</v>
      </c>
      <c r="Q455" s="101">
        <v>36368</v>
      </c>
      <c r="R455" s="101">
        <v>120495.42</v>
      </c>
      <c r="S455" s="101">
        <v>61783.712</v>
      </c>
      <c r="T455" s="133">
        <v>0.98</v>
      </c>
      <c r="U455" s="101">
        <f t="shared" si="62"/>
        <v>353.78</v>
      </c>
      <c r="V455" s="101">
        <f t="shared" si="63"/>
        <v>5550.72</v>
      </c>
      <c r="W455" s="101">
        <f t="shared" si="64"/>
        <v>35640.639999999999</v>
      </c>
      <c r="X455" s="101">
        <f t="shared" si="65"/>
        <v>118085.5116</v>
      </c>
      <c r="Y455" s="101">
        <f t="shared" si="66"/>
        <v>60548.037759999999</v>
      </c>
      <c r="AG455" s="225"/>
      <c r="AH455" s="101">
        <v>30000</v>
      </c>
      <c r="AI455" s="101">
        <f t="shared" si="54"/>
        <v>24000</v>
      </c>
      <c r="AJ455" s="101">
        <f t="shared" si="55"/>
        <v>36000</v>
      </c>
    </row>
    <row r="456" spans="1:36" hidden="1" x14ac:dyDescent="0.3">
      <c r="A456" s="126" t="s">
        <v>183</v>
      </c>
      <c r="B456" s="126">
        <v>29</v>
      </c>
      <c r="C456" s="126">
        <v>28</v>
      </c>
      <c r="D456" s="126" t="str">
        <f t="shared" si="61"/>
        <v>2928</v>
      </c>
      <c r="J456" s="101">
        <v>60</v>
      </c>
      <c r="K456" s="101">
        <v>132</v>
      </c>
      <c r="L456" s="101">
        <v>1958</v>
      </c>
      <c r="M456" s="101">
        <v>166224.93</v>
      </c>
      <c r="N456" s="101">
        <v>79054.27</v>
      </c>
      <c r="O456" s="101">
        <v>107</v>
      </c>
      <c r="P456" s="101">
        <v>329</v>
      </c>
      <c r="Q456" s="101">
        <v>2672</v>
      </c>
      <c r="R456" s="101">
        <v>37892.120000000003</v>
      </c>
      <c r="S456" s="101">
        <v>11959.6</v>
      </c>
      <c r="T456" s="133">
        <v>1.02</v>
      </c>
      <c r="U456" s="101">
        <f t="shared" si="62"/>
        <v>109.14</v>
      </c>
      <c r="V456" s="101">
        <f t="shared" si="63"/>
        <v>335.58</v>
      </c>
      <c r="W456" s="101">
        <f t="shared" si="64"/>
        <v>2725.44</v>
      </c>
      <c r="X456" s="101">
        <f t="shared" si="65"/>
        <v>38649.962400000004</v>
      </c>
      <c r="Y456" s="101">
        <f t="shared" si="66"/>
        <v>12198.792000000001</v>
      </c>
      <c r="AG456" s="225"/>
      <c r="AH456" s="101"/>
      <c r="AI456" s="101"/>
      <c r="AJ456" s="101"/>
    </row>
    <row r="457" spans="1:36" hidden="1" x14ac:dyDescent="0.3">
      <c r="A457" s="126" t="s">
        <v>183</v>
      </c>
      <c r="B457" s="126">
        <v>29</v>
      </c>
      <c r="C457" s="126">
        <v>46</v>
      </c>
      <c r="D457" s="126" t="str">
        <f t="shared" si="61"/>
        <v>2946</v>
      </c>
      <c r="J457" s="101">
        <v>8</v>
      </c>
      <c r="K457" s="101">
        <v>9</v>
      </c>
      <c r="L457" s="101">
        <v>222</v>
      </c>
      <c r="M457" s="101">
        <v>5651.2300000000005</v>
      </c>
      <c r="N457" s="101">
        <v>1771.578</v>
      </c>
      <c r="O457" s="101">
        <v>5</v>
      </c>
      <c r="P457" s="101">
        <v>5</v>
      </c>
      <c r="Q457" s="101">
        <v>22</v>
      </c>
      <c r="R457" s="101">
        <v>447.85</v>
      </c>
      <c r="S457" s="101">
        <v>131.16499999999999</v>
      </c>
      <c r="T457" s="133">
        <v>1.02</v>
      </c>
      <c r="U457" s="101">
        <f t="shared" si="62"/>
        <v>5.0999999999999996</v>
      </c>
      <c r="V457" s="101">
        <f t="shared" si="63"/>
        <v>5.0999999999999996</v>
      </c>
      <c r="W457" s="101">
        <f t="shared" si="64"/>
        <v>22.44</v>
      </c>
      <c r="X457" s="101">
        <f t="shared" si="65"/>
        <v>456.80700000000002</v>
      </c>
      <c r="Y457" s="101">
        <f t="shared" si="66"/>
        <v>133.78829999999999</v>
      </c>
      <c r="AG457" s="225"/>
      <c r="AH457" s="101"/>
      <c r="AI457" s="101"/>
      <c r="AJ457" s="101"/>
    </row>
    <row r="458" spans="1:36" hidden="1" x14ac:dyDescent="0.3">
      <c r="A458" s="126" t="s">
        <v>183</v>
      </c>
      <c r="B458" s="126">
        <v>29</v>
      </c>
      <c r="C458" s="126">
        <v>66</v>
      </c>
      <c r="D458" s="126" t="str">
        <f t="shared" si="61"/>
        <v>2966</v>
      </c>
      <c r="J458" s="101">
        <v>11</v>
      </c>
      <c r="K458" s="101">
        <v>12</v>
      </c>
      <c r="L458" s="101">
        <v>328</v>
      </c>
      <c r="M458" s="101">
        <v>13503.3</v>
      </c>
      <c r="N458" s="101">
        <v>2358.8440000000001</v>
      </c>
      <c r="O458" s="101">
        <v>19</v>
      </c>
      <c r="P458" s="101">
        <v>23</v>
      </c>
      <c r="Q458" s="101">
        <v>475</v>
      </c>
      <c r="R458" s="101">
        <v>10142.299999999999</v>
      </c>
      <c r="S458" s="101">
        <v>6223.884</v>
      </c>
      <c r="T458" s="133">
        <v>1.02</v>
      </c>
      <c r="U458" s="101">
        <f t="shared" si="62"/>
        <v>19.38</v>
      </c>
      <c r="V458" s="101">
        <f t="shared" si="63"/>
        <v>23.46</v>
      </c>
      <c r="W458" s="101">
        <f t="shared" si="64"/>
        <v>484.5</v>
      </c>
      <c r="X458" s="101">
        <f t="shared" si="65"/>
        <v>10345.145999999999</v>
      </c>
      <c r="Y458" s="101">
        <f t="shared" si="66"/>
        <v>6348.36168</v>
      </c>
      <c r="AG458" s="225"/>
      <c r="AH458" s="101"/>
      <c r="AI458" s="101"/>
      <c r="AJ458" s="101"/>
    </row>
    <row r="459" spans="1:36" x14ac:dyDescent="0.3">
      <c r="A459" s="126" t="s">
        <v>183</v>
      </c>
      <c r="B459" s="126">
        <v>29</v>
      </c>
      <c r="C459" s="126">
        <v>91</v>
      </c>
      <c r="D459" s="126" t="str">
        <f t="shared" si="61"/>
        <v>2991</v>
      </c>
      <c r="J459" s="101">
        <v>3</v>
      </c>
      <c r="K459" s="101">
        <v>3</v>
      </c>
      <c r="L459" s="101">
        <v>7</v>
      </c>
      <c r="M459" s="101">
        <v>54.2</v>
      </c>
      <c r="N459" s="101">
        <v>26.940999999999999</v>
      </c>
      <c r="O459" s="101">
        <v>9</v>
      </c>
      <c r="P459" s="101">
        <v>125</v>
      </c>
      <c r="Q459" s="101">
        <v>371</v>
      </c>
      <c r="R459" s="101">
        <v>494.24</v>
      </c>
      <c r="S459" s="101">
        <v>2101.3890000000001</v>
      </c>
      <c r="T459" s="133">
        <v>1.02</v>
      </c>
      <c r="U459" s="101">
        <f t="shared" si="62"/>
        <v>9.18</v>
      </c>
      <c r="V459" s="101">
        <f t="shared" si="63"/>
        <v>127.5</v>
      </c>
      <c r="W459" s="101">
        <f t="shared" si="64"/>
        <v>378.42</v>
      </c>
      <c r="X459" s="101">
        <f t="shared" si="65"/>
        <v>504.12479999999999</v>
      </c>
      <c r="Y459" s="101">
        <f t="shared" si="66"/>
        <v>2143.41678</v>
      </c>
      <c r="AG459" s="225"/>
      <c r="AH459" s="101"/>
      <c r="AI459" s="101"/>
      <c r="AJ459" s="101"/>
    </row>
    <row r="460" spans="1:36" hidden="1" x14ac:dyDescent="0.3">
      <c r="A460" s="126" t="s">
        <v>183</v>
      </c>
      <c r="B460" s="126">
        <v>29</v>
      </c>
      <c r="C460" s="126">
        <v>41</v>
      </c>
      <c r="D460" s="126" t="str">
        <f t="shared" si="61"/>
        <v>2941</v>
      </c>
      <c r="O460" s="101">
        <v>8</v>
      </c>
      <c r="P460" s="101">
        <v>18</v>
      </c>
      <c r="Q460" s="101">
        <v>193</v>
      </c>
      <c r="R460" s="101">
        <v>2966.72</v>
      </c>
      <c r="S460" s="101">
        <v>516.68100000000004</v>
      </c>
      <c r="T460" s="133">
        <v>1.02</v>
      </c>
      <c r="U460" s="101">
        <f t="shared" si="62"/>
        <v>8.16</v>
      </c>
      <c r="V460" s="101">
        <f t="shared" si="63"/>
        <v>18.36</v>
      </c>
      <c r="W460" s="101">
        <f t="shared" si="64"/>
        <v>196.86</v>
      </c>
      <c r="X460" s="101">
        <f t="shared" si="65"/>
        <v>3026.0544</v>
      </c>
      <c r="Y460" s="101">
        <f t="shared" si="66"/>
        <v>527.01462000000004</v>
      </c>
      <c r="AG460" s="225"/>
      <c r="AH460" s="101"/>
      <c r="AI460" s="101"/>
      <c r="AJ460" s="101"/>
    </row>
    <row r="461" spans="1:36" hidden="1" x14ac:dyDescent="0.3">
      <c r="A461" s="126" t="s">
        <v>183</v>
      </c>
      <c r="B461" s="126">
        <v>29</v>
      </c>
      <c r="C461" s="126">
        <v>1</v>
      </c>
      <c r="D461" s="126" t="str">
        <f t="shared" si="61"/>
        <v>291</v>
      </c>
      <c r="J461" s="101">
        <v>117</v>
      </c>
      <c r="K461" s="101">
        <v>117</v>
      </c>
      <c r="L461" s="101">
        <v>42009</v>
      </c>
      <c r="M461" s="101">
        <v>0</v>
      </c>
      <c r="N461" s="101">
        <v>250404</v>
      </c>
      <c r="O461" s="101">
        <v>95</v>
      </c>
      <c r="P461" s="101">
        <v>96</v>
      </c>
      <c r="Q461" s="101">
        <v>43863</v>
      </c>
      <c r="S461" s="101">
        <v>238735</v>
      </c>
      <c r="T461" s="133">
        <v>1.02</v>
      </c>
      <c r="U461" s="101">
        <f t="shared" si="62"/>
        <v>96.9</v>
      </c>
      <c r="V461" s="101">
        <f t="shared" si="63"/>
        <v>97.92</v>
      </c>
      <c r="W461" s="101">
        <f t="shared" si="64"/>
        <v>44740.26</v>
      </c>
      <c r="X461" s="101">
        <f t="shared" si="65"/>
        <v>0</v>
      </c>
      <c r="Y461" s="101">
        <f t="shared" si="66"/>
        <v>243509.7</v>
      </c>
      <c r="AG461" s="225"/>
      <c r="AH461" s="101"/>
      <c r="AI461" s="101"/>
      <c r="AJ461" s="101"/>
    </row>
    <row r="462" spans="1:36" hidden="1" x14ac:dyDescent="0.3">
      <c r="A462" s="126" t="s">
        <v>183</v>
      </c>
      <c r="B462" s="126">
        <v>29</v>
      </c>
      <c r="C462" s="126">
        <v>37</v>
      </c>
      <c r="D462" s="126" t="str">
        <f t="shared" si="61"/>
        <v>2937</v>
      </c>
      <c r="E462" s="101">
        <v>10.5</v>
      </c>
      <c r="F462" s="101">
        <v>25.25</v>
      </c>
      <c r="G462" s="101">
        <v>4527.5</v>
      </c>
      <c r="H462" s="101">
        <v>6224.2524999999987</v>
      </c>
      <c r="I462" s="101">
        <v>3935.4414999999999</v>
      </c>
      <c r="J462" s="101">
        <v>0</v>
      </c>
      <c r="K462" s="101">
        <v>0</v>
      </c>
      <c r="L462" s="101">
        <v>0</v>
      </c>
      <c r="M462" s="101">
        <v>0</v>
      </c>
      <c r="N462" s="101">
        <v>0</v>
      </c>
      <c r="O462" s="101">
        <v>8</v>
      </c>
      <c r="P462" s="101">
        <v>47</v>
      </c>
      <c r="Q462" s="101">
        <v>351096</v>
      </c>
      <c r="R462" s="101">
        <v>154221.29999999999</v>
      </c>
      <c r="S462" s="101">
        <v>84363.357999999993</v>
      </c>
      <c r="T462" s="133">
        <v>1.02</v>
      </c>
      <c r="U462" s="101">
        <f t="shared" si="62"/>
        <v>8.16</v>
      </c>
      <c r="V462" s="101">
        <f t="shared" si="63"/>
        <v>47.94</v>
      </c>
      <c r="W462" s="101">
        <f t="shared" si="64"/>
        <v>358117.92</v>
      </c>
      <c r="X462" s="101">
        <f t="shared" si="65"/>
        <v>157305.726</v>
      </c>
      <c r="Y462" s="101">
        <f t="shared" si="66"/>
        <v>86050.625159999996</v>
      </c>
      <c r="AG462" s="225"/>
      <c r="AH462" s="101">
        <v>30000</v>
      </c>
      <c r="AI462" s="101">
        <f t="shared" si="54"/>
        <v>24000</v>
      </c>
      <c r="AJ462" s="101">
        <f t="shared" si="55"/>
        <v>36000</v>
      </c>
    </row>
    <row r="463" spans="1:36" hidden="1" x14ac:dyDescent="0.3">
      <c r="A463" s="126" t="s">
        <v>183</v>
      </c>
      <c r="B463" s="126">
        <v>30</v>
      </c>
      <c r="C463" s="126">
        <v>22</v>
      </c>
      <c r="D463" s="126" t="str">
        <f t="shared" si="61"/>
        <v>3022</v>
      </c>
      <c r="E463" s="101">
        <v>390</v>
      </c>
      <c r="F463" s="101">
        <v>2198</v>
      </c>
      <c r="G463" s="101">
        <v>28410</v>
      </c>
      <c r="H463" s="101">
        <v>120253.70000000001</v>
      </c>
      <c r="I463" s="101">
        <v>101980.76299999999</v>
      </c>
      <c r="J463" s="101">
        <v>334</v>
      </c>
      <c r="K463" s="101">
        <v>3428</v>
      </c>
      <c r="L463" s="101">
        <v>24590</v>
      </c>
      <c r="M463" s="101">
        <v>195125.11</v>
      </c>
      <c r="N463" s="101">
        <v>90149.178999999989</v>
      </c>
      <c r="O463" s="101">
        <v>415</v>
      </c>
      <c r="P463" s="101">
        <v>2888</v>
      </c>
      <c r="Q463" s="101">
        <v>26064</v>
      </c>
      <c r="R463" s="101">
        <v>178659.76</v>
      </c>
      <c r="S463" s="101">
        <v>118092.383</v>
      </c>
      <c r="T463" s="133">
        <v>1.02</v>
      </c>
      <c r="U463" s="101">
        <f t="shared" si="62"/>
        <v>423.3</v>
      </c>
      <c r="V463" s="101">
        <f t="shared" si="63"/>
        <v>2945.76</v>
      </c>
      <c r="W463" s="101">
        <f t="shared" si="64"/>
        <v>26585.279999999999</v>
      </c>
      <c r="X463" s="101">
        <f t="shared" si="65"/>
        <v>182232.95520000003</v>
      </c>
      <c r="Y463" s="101">
        <f t="shared" si="66"/>
        <v>120454.23066</v>
      </c>
      <c r="AG463" s="225">
        <f>SUM(V463:V480)</f>
        <v>18033.140000000003</v>
      </c>
      <c r="AH463" s="101">
        <v>30000</v>
      </c>
      <c r="AI463" s="101">
        <f t="shared" si="54"/>
        <v>24000</v>
      </c>
      <c r="AJ463" s="101">
        <f t="shared" si="55"/>
        <v>36000</v>
      </c>
    </row>
    <row r="464" spans="1:36" hidden="1" x14ac:dyDescent="0.3">
      <c r="A464" s="126" t="s">
        <v>183</v>
      </c>
      <c r="B464" s="126">
        <v>30</v>
      </c>
      <c r="C464" s="126">
        <v>25</v>
      </c>
      <c r="D464" s="126" t="str">
        <f t="shared" si="61"/>
        <v>3025</v>
      </c>
      <c r="E464" s="101">
        <v>191</v>
      </c>
      <c r="F464" s="101">
        <v>1270</v>
      </c>
      <c r="G464" s="101">
        <v>21198</v>
      </c>
      <c r="H464" s="101">
        <v>209681.03999999998</v>
      </c>
      <c r="I464" s="101">
        <v>91069.115000000005</v>
      </c>
      <c r="J464" s="101">
        <v>82</v>
      </c>
      <c r="K464" s="101">
        <v>1087</v>
      </c>
      <c r="L464" s="101">
        <v>33684</v>
      </c>
      <c r="M464" s="101">
        <v>560627.45000000007</v>
      </c>
      <c r="N464" s="101">
        <v>262726.05700000003</v>
      </c>
      <c r="O464" s="101">
        <v>182</v>
      </c>
      <c r="P464" s="101">
        <v>1866</v>
      </c>
      <c r="Q464" s="101">
        <v>75720</v>
      </c>
      <c r="R464" s="101">
        <v>904207.52</v>
      </c>
      <c r="S464" s="101">
        <v>581044.63800000004</v>
      </c>
      <c r="T464" s="133">
        <v>1.02</v>
      </c>
      <c r="U464" s="101">
        <f t="shared" si="62"/>
        <v>185.64000000000001</v>
      </c>
      <c r="V464" s="101">
        <f t="shared" si="63"/>
        <v>1903.32</v>
      </c>
      <c r="W464" s="101">
        <f t="shared" si="64"/>
        <v>77234.399999999994</v>
      </c>
      <c r="X464" s="101">
        <f t="shared" si="65"/>
        <v>922291.67040000006</v>
      </c>
      <c r="Y464" s="101">
        <f t="shared" si="66"/>
        <v>592665.53075999999</v>
      </c>
      <c r="AG464" s="225"/>
      <c r="AH464" s="101">
        <v>30000</v>
      </c>
      <c r="AI464" s="101">
        <f t="shared" si="54"/>
        <v>24000</v>
      </c>
      <c r="AJ464" s="101">
        <f t="shared" si="55"/>
        <v>36000</v>
      </c>
    </row>
    <row r="465" spans="1:36" hidden="1" x14ac:dyDescent="0.3">
      <c r="A465" s="126" t="s">
        <v>183</v>
      </c>
      <c r="B465" s="126">
        <v>30</v>
      </c>
      <c r="C465" s="126">
        <v>27</v>
      </c>
      <c r="D465" s="126" t="str">
        <f t="shared" si="61"/>
        <v>3027</v>
      </c>
      <c r="E465" s="101">
        <v>8</v>
      </c>
      <c r="F465" s="101">
        <v>278</v>
      </c>
      <c r="G465" s="101">
        <v>2836</v>
      </c>
      <c r="H465" s="101">
        <v>30140.730000000003</v>
      </c>
      <c r="I465" s="101">
        <v>8644.5619999999999</v>
      </c>
      <c r="J465" s="101">
        <v>5</v>
      </c>
      <c r="K465" s="101">
        <v>20</v>
      </c>
      <c r="L465" s="101">
        <v>227</v>
      </c>
      <c r="M465" s="101">
        <v>4377.3999999999996</v>
      </c>
      <c r="N465" s="101">
        <v>1776.2539999999999</v>
      </c>
      <c r="O465" s="101">
        <v>23</v>
      </c>
      <c r="P465" s="101">
        <v>28</v>
      </c>
      <c r="Q465" s="101">
        <v>2124</v>
      </c>
      <c r="R465" s="101">
        <v>15911.16</v>
      </c>
      <c r="S465" s="101">
        <v>15244.646000000001</v>
      </c>
      <c r="T465" s="133">
        <v>1.02</v>
      </c>
      <c r="U465" s="101">
        <f t="shared" si="62"/>
        <v>23.46</v>
      </c>
      <c r="V465" s="101">
        <f t="shared" si="63"/>
        <v>28.560000000000002</v>
      </c>
      <c r="W465" s="101">
        <f t="shared" si="64"/>
        <v>2166.48</v>
      </c>
      <c r="X465" s="101">
        <f t="shared" si="65"/>
        <v>16229.3832</v>
      </c>
      <c r="Y465" s="101">
        <f t="shared" si="66"/>
        <v>15549.538920000001</v>
      </c>
      <c r="AG465" s="225"/>
      <c r="AH465" s="101">
        <v>30000</v>
      </c>
      <c r="AI465" s="101">
        <f t="shared" si="54"/>
        <v>24000</v>
      </c>
      <c r="AJ465" s="101">
        <f t="shared" si="55"/>
        <v>36000</v>
      </c>
    </row>
    <row r="466" spans="1:36" hidden="1" x14ac:dyDescent="0.3">
      <c r="A466" s="126" t="s">
        <v>183</v>
      </c>
      <c r="B466" s="126">
        <v>30</v>
      </c>
      <c r="C466" s="126">
        <v>26</v>
      </c>
      <c r="D466" s="126" t="str">
        <f t="shared" si="61"/>
        <v>3026</v>
      </c>
      <c r="E466" s="101">
        <v>71</v>
      </c>
      <c r="F466" s="101">
        <v>1706</v>
      </c>
      <c r="G466" s="101">
        <v>18391</v>
      </c>
      <c r="H466" s="101">
        <v>246742.69</v>
      </c>
      <c r="I466" s="101">
        <v>90017.165000000008</v>
      </c>
      <c r="J466" s="101">
        <v>51</v>
      </c>
      <c r="K466" s="101">
        <v>1792</v>
      </c>
      <c r="L466" s="101">
        <v>37136</v>
      </c>
      <c r="M466" s="101">
        <v>476550.26</v>
      </c>
      <c r="N466" s="101">
        <v>159465.592</v>
      </c>
      <c r="O466" s="101">
        <v>7</v>
      </c>
      <c r="P466" s="101">
        <v>177</v>
      </c>
      <c r="Q466" s="101">
        <v>2447</v>
      </c>
      <c r="R466" s="101">
        <v>41938.410000000003</v>
      </c>
      <c r="S466" s="101">
        <v>10866.341</v>
      </c>
      <c r="T466" s="133">
        <v>1.02</v>
      </c>
      <c r="U466" s="101">
        <f t="shared" si="62"/>
        <v>7.1400000000000006</v>
      </c>
      <c r="V466" s="101">
        <f t="shared" si="63"/>
        <v>180.54</v>
      </c>
      <c r="W466" s="101">
        <f t="shared" si="64"/>
        <v>2495.94</v>
      </c>
      <c r="X466" s="101">
        <f t="shared" si="65"/>
        <v>42777.178200000002</v>
      </c>
      <c r="Y466" s="101">
        <f t="shared" si="66"/>
        <v>11083.667820000001</v>
      </c>
      <c r="AG466" s="225"/>
      <c r="AH466" s="101">
        <v>30000</v>
      </c>
      <c r="AI466" s="101">
        <f t="shared" si="54"/>
        <v>24000</v>
      </c>
      <c r="AJ466" s="101">
        <f t="shared" si="55"/>
        <v>36000</v>
      </c>
    </row>
    <row r="467" spans="1:36" hidden="1" x14ac:dyDescent="0.3">
      <c r="A467" s="126" t="s">
        <v>183</v>
      </c>
      <c r="B467" s="126">
        <v>30</v>
      </c>
      <c r="C467" s="126">
        <v>32</v>
      </c>
      <c r="D467" s="126" t="str">
        <f t="shared" si="61"/>
        <v>3032</v>
      </c>
      <c r="E467" s="101">
        <v>517</v>
      </c>
      <c r="F467" s="101">
        <v>2110</v>
      </c>
      <c r="G467" s="101">
        <v>52442</v>
      </c>
      <c r="H467" s="101">
        <v>656857.37</v>
      </c>
      <c r="I467" s="101">
        <v>275808.44099999999</v>
      </c>
      <c r="J467" s="101">
        <v>181</v>
      </c>
      <c r="K467" s="101">
        <v>515</v>
      </c>
      <c r="L467" s="101">
        <v>6392</v>
      </c>
      <c r="M467" s="101">
        <v>60419.4</v>
      </c>
      <c r="N467" s="101">
        <v>24581.554000000004</v>
      </c>
      <c r="O467" s="101">
        <v>172</v>
      </c>
      <c r="P467" s="101">
        <v>861</v>
      </c>
      <c r="Q467" s="101">
        <v>17850</v>
      </c>
      <c r="R467" s="101">
        <v>162944.87</v>
      </c>
      <c r="S467" s="101">
        <v>56523.817000000003</v>
      </c>
      <c r="T467" s="133">
        <v>1.02</v>
      </c>
      <c r="U467" s="101">
        <f>O467*$T$5+6</f>
        <v>181.44</v>
      </c>
      <c r="V467" s="101">
        <f>P467*$T$5+12</f>
        <v>890.22</v>
      </c>
      <c r="W467" s="101">
        <f>Q467*$T$5+1172</f>
        <v>19379</v>
      </c>
      <c r="X467" s="101">
        <f>R467*$T$5+11746</f>
        <v>177949.76740000001</v>
      </c>
      <c r="Y467" s="101">
        <f>S467*$T$5+18753</f>
        <v>76407.293340000004</v>
      </c>
      <c r="AG467" s="225"/>
      <c r="AH467" s="101">
        <v>30000</v>
      </c>
      <c r="AI467" s="101">
        <f t="shared" si="54"/>
        <v>24000</v>
      </c>
      <c r="AJ467" s="101">
        <f t="shared" si="55"/>
        <v>36000</v>
      </c>
    </row>
    <row r="468" spans="1:36" hidden="1" x14ac:dyDescent="0.3">
      <c r="A468" s="126" t="s">
        <v>183</v>
      </c>
      <c r="B468" s="126">
        <v>30</v>
      </c>
      <c r="C468" s="126">
        <v>21</v>
      </c>
      <c r="D468" s="126" t="str">
        <f t="shared" si="61"/>
        <v>3021</v>
      </c>
      <c r="E468" s="101">
        <v>1150</v>
      </c>
      <c r="F468" s="101">
        <v>3828</v>
      </c>
      <c r="G468" s="101">
        <v>26784.5</v>
      </c>
      <c r="H468" s="101">
        <v>309212.64499999996</v>
      </c>
      <c r="I468" s="101">
        <v>102435.0085</v>
      </c>
      <c r="J468" s="101">
        <v>0</v>
      </c>
      <c r="K468" s="101">
        <v>0</v>
      </c>
      <c r="L468" s="101">
        <v>0</v>
      </c>
      <c r="M468" s="101">
        <v>0</v>
      </c>
      <c r="N468" s="101">
        <v>0</v>
      </c>
      <c r="O468" s="101">
        <v>62</v>
      </c>
      <c r="P468" s="101">
        <v>285</v>
      </c>
      <c r="Q468" s="101">
        <v>1221</v>
      </c>
      <c r="R468" s="101">
        <v>16058.12</v>
      </c>
      <c r="S468" s="101">
        <v>6906.1019999999999</v>
      </c>
      <c r="T468" s="133">
        <v>1.02</v>
      </c>
      <c r="U468" s="101">
        <f t="shared" si="62"/>
        <v>63.24</v>
      </c>
      <c r="V468" s="101">
        <f t="shared" si="63"/>
        <v>290.7</v>
      </c>
      <c r="W468" s="101">
        <f t="shared" si="64"/>
        <v>1245.42</v>
      </c>
      <c r="X468" s="101">
        <f t="shared" si="65"/>
        <v>16379.282400000002</v>
      </c>
      <c r="Y468" s="101">
        <f t="shared" si="66"/>
        <v>7044.2240400000001</v>
      </c>
      <c r="AG468" s="225"/>
      <c r="AH468" s="101">
        <v>30000</v>
      </c>
      <c r="AI468" s="101">
        <f t="shared" si="54"/>
        <v>24000</v>
      </c>
      <c r="AJ468" s="101">
        <f t="shared" si="55"/>
        <v>36000</v>
      </c>
    </row>
    <row r="469" spans="1:36" hidden="1" x14ac:dyDescent="0.3">
      <c r="A469" s="126" t="s">
        <v>183</v>
      </c>
      <c r="B469" s="126">
        <v>30</v>
      </c>
      <c r="C469" s="126">
        <v>30</v>
      </c>
      <c r="D469" s="126" t="str">
        <f t="shared" si="61"/>
        <v>3030</v>
      </c>
      <c r="E469" s="101">
        <v>429</v>
      </c>
      <c r="F469" s="101">
        <v>2733</v>
      </c>
      <c r="G469" s="101">
        <v>12966</v>
      </c>
      <c r="H469" s="101">
        <v>310108.90500000003</v>
      </c>
      <c r="I469" s="101">
        <v>110487.83500000001</v>
      </c>
      <c r="J469" s="101">
        <v>585</v>
      </c>
      <c r="K469" s="101">
        <v>5399</v>
      </c>
      <c r="L469" s="101">
        <v>21553</v>
      </c>
      <c r="M469" s="101">
        <v>588615.79</v>
      </c>
      <c r="N469" s="101">
        <v>231825.19300000003</v>
      </c>
      <c r="O469" s="101">
        <v>262</v>
      </c>
      <c r="P469" s="101">
        <v>4805</v>
      </c>
      <c r="Q469" s="101">
        <v>16377</v>
      </c>
      <c r="R469" s="101">
        <v>408778</v>
      </c>
      <c r="S469" s="101">
        <v>110975.704</v>
      </c>
      <c r="T469" s="133">
        <v>1.02</v>
      </c>
      <c r="U469" s="101">
        <f t="shared" si="62"/>
        <v>267.24</v>
      </c>
      <c r="V469" s="101">
        <f t="shared" si="63"/>
        <v>4901.1000000000004</v>
      </c>
      <c r="W469" s="101">
        <f t="shared" si="64"/>
        <v>16704.54</v>
      </c>
      <c r="X469" s="101">
        <f t="shared" si="65"/>
        <v>416953.56</v>
      </c>
      <c r="Y469" s="101">
        <f t="shared" si="66"/>
        <v>113195.21808000001</v>
      </c>
      <c r="AG469" s="225"/>
      <c r="AH469" s="101">
        <v>30000</v>
      </c>
      <c r="AI469" s="101">
        <f t="shared" si="54"/>
        <v>24000</v>
      </c>
      <c r="AJ469" s="101">
        <f t="shared" si="55"/>
        <v>36000</v>
      </c>
    </row>
    <row r="470" spans="1:36" hidden="1" x14ac:dyDescent="0.3">
      <c r="A470" s="126" t="s">
        <v>183</v>
      </c>
      <c r="B470" s="126">
        <v>30</v>
      </c>
      <c r="C470" s="126">
        <v>71</v>
      </c>
      <c r="D470" s="126" t="str">
        <f t="shared" si="61"/>
        <v>3071</v>
      </c>
      <c r="E470" s="101">
        <v>797.5</v>
      </c>
      <c r="F470" s="101">
        <v>15341.5</v>
      </c>
      <c r="G470" s="101">
        <v>53975</v>
      </c>
      <c r="H470" s="101">
        <v>451393.07</v>
      </c>
      <c r="I470" s="101">
        <v>174946.06950000001</v>
      </c>
      <c r="J470" s="101">
        <v>498</v>
      </c>
      <c r="K470" s="101">
        <v>16631</v>
      </c>
      <c r="L470" s="101">
        <v>45773</v>
      </c>
      <c r="M470" s="101">
        <v>336857.66</v>
      </c>
      <c r="N470" s="101">
        <v>163607.46899999998</v>
      </c>
      <c r="O470" s="101">
        <v>456</v>
      </c>
      <c r="P470" s="101">
        <v>6457</v>
      </c>
      <c r="Q470" s="101">
        <v>26877</v>
      </c>
      <c r="R470" s="101">
        <v>186420.21</v>
      </c>
      <c r="S470" s="101">
        <v>112721.28599999999</v>
      </c>
      <c r="T470" s="133">
        <v>0.98</v>
      </c>
      <c r="U470" s="101">
        <f t="shared" si="62"/>
        <v>446.88</v>
      </c>
      <c r="V470" s="101">
        <f t="shared" si="63"/>
        <v>6327.86</v>
      </c>
      <c r="W470" s="101">
        <f t="shared" si="64"/>
        <v>26339.46</v>
      </c>
      <c r="X470" s="101">
        <f t="shared" si="65"/>
        <v>182691.8058</v>
      </c>
      <c r="Y470" s="101">
        <f t="shared" si="66"/>
        <v>110466.86027999999</v>
      </c>
      <c r="AG470" s="225"/>
      <c r="AH470" s="101">
        <v>30000</v>
      </c>
      <c r="AI470" s="101">
        <f t="shared" si="54"/>
        <v>24000</v>
      </c>
      <c r="AJ470" s="101">
        <f t="shared" si="55"/>
        <v>36000</v>
      </c>
    </row>
    <row r="471" spans="1:36" hidden="1" x14ac:dyDescent="0.3">
      <c r="A471" s="126" t="s">
        <v>183</v>
      </c>
      <c r="B471" s="126">
        <v>30</v>
      </c>
      <c r="C471" s="126">
        <v>28</v>
      </c>
      <c r="D471" s="126" t="str">
        <f t="shared" si="61"/>
        <v>3028</v>
      </c>
      <c r="J471" s="101">
        <v>15</v>
      </c>
      <c r="K471" s="101">
        <v>20</v>
      </c>
      <c r="L471" s="101">
        <v>566</v>
      </c>
      <c r="M471" s="101">
        <v>32042.78</v>
      </c>
      <c r="N471" s="101">
        <v>23067.102000000003</v>
      </c>
      <c r="O471" s="101">
        <v>83</v>
      </c>
      <c r="P471" s="101">
        <v>253</v>
      </c>
      <c r="Q471" s="101">
        <v>1675</v>
      </c>
      <c r="R471" s="101">
        <v>77051.839999999997</v>
      </c>
      <c r="S471" s="101">
        <v>24340.682000000001</v>
      </c>
      <c r="T471" s="133">
        <v>1.02</v>
      </c>
      <c r="U471" s="101">
        <f t="shared" si="62"/>
        <v>84.66</v>
      </c>
      <c r="V471" s="101">
        <f t="shared" si="63"/>
        <v>258.06</v>
      </c>
      <c r="W471" s="101">
        <f t="shared" si="64"/>
        <v>1708.5</v>
      </c>
      <c r="X471" s="101">
        <f t="shared" si="65"/>
        <v>78592.876799999998</v>
      </c>
      <c r="Y471" s="101">
        <f t="shared" si="66"/>
        <v>24827.495640000001</v>
      </c>
      <c r="AG471" s="225"/>
      <c r="AH471" s="101"/>
      <c r="AI471" s="101"/>
      <c r="AJ471" s="101"/>
    </row>
    <row r="472" spans="1:36" hidden="1" x14ac:dyDescent="0.3">
      <c r="A472" s="126" t="s">
        <v>183</v>
      </c>
      <c r="B472" s="126">
        <v>30</v>
      </c>
      <c r="C472" s="126">
        <v>66</v>
      </c>
      <c r="D472" s="126" t="str">
        <f t="shared" si="61"/>
        <v>3066</v>
      </c>
      <c r="J472" s="101">
        <v>31</v>
      </c>
      <c r="K472" s="101">
        <v>35</v>
      </c>
      <c r="L472" s="101">
        <v>1469</v>
      </c>
      <c r="M472" s="101">
        <v>25158.159999999996</v>
      </c>
      <c r="N472" s="101">
        <v>12830.54</v>
      </c>
      <c r="O472" s="101">
        <v>35</v>
      </c>
      <c r="P472" s="101">
        <v>93</v>
      </c>
      <c r="Q472" s="101">
        <v>4573</v>
      </c>
      <c r="R472" s="101">
        <v>50664.08</v>
      </c>
      <c r="S472" s="101">
        <v>48988.362999999998</v>
      </c>
      <c r="T472" s="133">
        <v>1.02</v>
      </c>
      <c r="U472" s="101">
        <f t="shared" si="62"/>
        <v>35.700000000000003</v>
      </c>
      <c r="V472" s="101">
        <f t="shared" si="63"/>
        <v>94.86</v>
      </c>
      <c r="W472" s="101">
        <f t="shared" si="64"/>
        <v>4664.46</v>
      </c>
      <c r="X472" s="101">
        <f t="shared" si="65"/>
        <v>51677.361600000004</v>
      </c>
      <c r="Y472" s="101">
        <f t="shared" si="66"/>
        <v>49968.130259999998</v>
      </c>
      <c r="AG472" s="225"/>
      <c r="AH472" s="101"/>
      <c r="AI472" s="101"/>
      <c r="AJ472" s="101"/>
    </row>
    <row r="473" spans="1:36" hidden="1" x14ac:dyDescent="0.3">
      <c r="A473" s="126" t="s">
        <v>183</v>
      </c>
      <c r="B473" s="126">
        <v>30</v>
      </c>
      <c r="C473" s="126">
        <v>46</v>
      </c>
      <c r="D473" s="126" t="str">
        <f t="shared" si="61"/>
        <v>3046</v>
      </c>
      <c r="J473" s="101">
        <v>5</v>
      </c>
      <c r="K473" s="101">
        <v>10</v>
      </c>
      <c r="L473" s="101">
        <v>20</v>
      </c>
      <c r="M473" s="101">
        <v>463.92</v>
      </c>
      <c r="N473" s="101">
        <v>99.334000000000003</v>
      </c>
      <c r="O473" s="101">
        <v>8</v>
      </c>
      <c r="P473" s="101">
        <v>10</v>
      </c>
      <c r="Q473" s="101">
        <v>264</v>
      </c>
      <c r="R473" s="101">
        <v>3906.89</v>
      </c>
      <c r="S473" s="101">
        <v>396.29500000000002</v>
      </c>
      <c r="T473" s="133">
        <v>1.02</v>
      </c>
      <c r="U473" s="101">
        <f t="shared" si="62"/>
        <v>8.16</v>
      </c>
      <c r="V473" s="101">
        <f t="shared" si="63"/>
        <v>10.199999999999999</v>
      </c>
      <c r="W473" s="101">
        <f t="shared" si="64"/>
        <v>269.28000000000003</v>
      </c>
      <c r="X473" s="101">
        <f t="shared" si="65"/>
        <v>3985.0277999999998</v>
      </c>
      <c r="Y473" s="101">
        <f t="shared" si="66"/>
        <v>404.22090000000003</v>
      </c>
      <c r="AG473" s="225"/>
      <c r="AH473" s="101"/>
      <c r="AI473" s="101"/>
      <c r="AJ473" s="101"/>
    </row>
    <row r="474" spans="1:36" x14ac:dyDescent="0.3">
      <c r="A474" s="126" t="s">
        <v>183</v>
      </c>
      <c r="B474" s="126">
        <v>30</v>
      </c>
      <c r="C474" s="126">
        <v>91</v>
      </c>
      <c r="D474" s="126" t="str">
        <f t="shared" si="61"/>
        <v>3091</v>
      </c>
      <c r="J474" s="101">
        <v>1</v>
      </c>
      <c r="K474" s="101">
        <v>2</v>
      </c>
      <c r="L474" s="101">
        <v>6</v>
      </c>
      <c r="M474" s="101">
        <v>421.44</v>
      </c>
      <c r="N474" s="101">
        <v>91.382999999999996</v>
      </c>
      <c r="O474" s="101">
        <v>5</v>
      </c>
      <c r="P474" s="101">
        <v>7</v>
      </c>
      <c r="Q474" s="101">
        <v>118</v>
      </c>
      <c r="R474" s="101">
        <v>545.78</v>
      </c>
      <c r="S474" s="101">
        <v>959.21900000000005</v>
      </c>
      <c r="T474" s="133">
        <v>1.02</v>
      </c>
      <c r="U474" s="101">
        <f t="shared" si="62"/>
        <v>5.0999999999999996</v>
      </c>
      <c r="V474" s="101">
        <f t="shared" si="63"/>
        <v>7.1400000000000006</v>
      </c>
      <c r="W474" s="101">
        <f t="shared" si="64"/>
        <v>120.36</v>
      </c>
      <c r="X474" s="101">
        <f t="shared" si="65"/>
        <v>556.69560000000001</v>
      </c>
      <c r="Y474" s="101">
        <f t="shared" si="66"/>
        <v>978.40338000000008</v>
      </c>
      <c r="AG474" s="225"/>
      <c r="AH474" s="101"/>
      <c r="AI474" s="101"/>
      <c r="AJ474" s="101"/>
    </row>
    <row r="475" spans="1:36" hidden="1" x14ac:dyDescent="0.3">
      <c r="A475" s="126" t="s">
        <v>183</v>
      </c>
      <c r="B475" s="126">
        <v>30</v>
      </c>
      <c r="C475" s="126">
        <v>12</v>
      </c>
      <c r="D475" s="126" t="str">
        <f t="shared" si="61"/>
        <v>3012</v>
      </c>
      <c r="O475" s="101">
        <v>1</v>
      </c>
      <c r="P475" s="101">
        <v>2</v>
      </c>
      <c r="Q475" s="101">
        <v>2</v>
      </c>
      <c r="R475" s="101">
        <v>57.44</v>
      </c>
      <c r="S475" s="101">
        <v>19.5</v>
      </c>
      <c r="T475" s="133">
        <v>1.02</v>
      </c>
      <c r="U475" s="101">
        <f t="shared" si="62"/>
        <v>1.02</v>
      </c>
      <c r="V475" s="101">
        <f t="shared" si="63"/>
        <v>2.04</v>
      </c>
      <c r="W475" s="101">
        <f t="shared" si="64"/>
        <v>2.04</v>
      </c>
      <c r="X475" s="101">
        <f t="shared" si="65"/>
        <v>58.588799999999999</v>
      </c>
      <c r="Y475" s="101">
        <f t="shared" si="66"/>
        <v>19.89</v>
      </c>
      <c r="AG475" s="225"/>
      <c r="AH475" s="101"/>
      <c r="AI475" s="101"/>
      <c r="AJ475" s="101"/>
    </row>
    <row r="476" spans="1:36" hidden="1" x14ac:dyDescent="0.3">
      <c r="A476" s="126" t="s">
        <v>183</v>
      </c>
      <c r="B476" s="126">
        <v>30</v>
      </c>
      <c r="C476" s="126">
        <v>47</v>
      </c>
      <c r="D476" s="126" t="str">
        <f t="shared" si="61"/>
        <v>3047</v>
      </c>
      <c r="O476" s="101">
        <v>2</v>
      </c>
      <c r="P476" s="101">
        <v>2</v>
      </c>
      <c r="Q476" s="101">
        <v>193</v>
      </c>
      <c r="R476" s="101">
        <v>2964.48</v>
      </c>
      <c r="S476" s="101">
        <v>1437.4639999999999</v>
      </c>
      <c r="T476" s="133">
        <v>1.02</v>
      </c>
      <c r="U476" s="101">
        <f t="shared" si="62"/>
        <v>2.04</v>
      </c>
      <c r="V476" s="101">
        <f t="shared" si="63"/>
        <v>2.04</v>
      </c>
      <c r="W476" s="101">
        <f t="shared" si="64"/>
        <v>196.86</v>
      </c>
      <c r="X476" s="101">
        <f t="shared" si="65"/>
        <v>3023.7696000000001</v>
      </c>
      <c r="Y476" s="101">
        <f t="shared" si="66"/>
        <v>1466.2132799999999</v>
      </c>
      <c r="AG476" s="225"/>
      <c r="AH476" s="101"/>
      <c r="AI476" s="101"/>
      <c r="AJ476" s="101"/>
    </row>
    <row r="477" spans="1:36" hidden="1" x14ac:dyDescent="0.3">
      <c r="A477" s="126" t="s">
        <v>183</v>
      </c>
      <c r="B477" s="126">
        <v>30</v>
      </c>
      <c r="C477" s="126">
        <v>41</v>
      </c>
      <c r="D477" s="126" t="str">
        <f t="shared" si="61"/>
        <v>3041</v>
      </c>
      <c r="O477" s="101">
        <v>5</v>
      </c>
      <c r="P477" s="101">
        <v>7</v>
      </c>
      <c r="Q477" s="101">
        <v>119</v>
      </c>
      <c r="R477" s="101">
        <v>749.54</v>
      </c>
      <c r="S477" s="101">
        <v>211.11699999999999</v>
      </c>
      <c r="T477" s="133">
        <v>1.02</v>
      </c>
      <c r="U477" s="101">
        <f t="shared" si="62"/>
        <v>5.0999999999999996</v>
      </c>
      <c r="V477" s="101">
        <f t="shared" si="63"/>
        <v>7.1400000000000006</v>
      </c>
      <c r="W477" s="101">
        <f t="shared" si="64"/>
        <v>121.38</v>
      </c>
      <c r="X477" s="101">
        <f t="shared" si="65"/>
        <v>764.5308</v>
      </c>
      <c r="Y477" s="101">
        <f t="shared" si="66"/>
        <v>215.33933999999999</v>
      </c>
      <c r="AG477" s="225"/>
      <c r="AH477" s="101"/>
      <c r="AI477" s="101"/>
      <c r="AJ477" s="101"/>
    </row>
    <row r="478" spans="1:36" hidden="1" x14ac:dyDescent="0.3">
      <c r="A478" s="126" t="s">
        <v>183</v>
      </c>
      <c r="B478" s="126">
        <v>30</v>
      </c>
      <c r="C478" s="126">
        <v>48</v>
      </c>
      <c r="D478" s="126" t="str">
        <f t="shared" si="61"/>
        <v>3048</v>
      </c>
      <c r="O478" s="101">
        <v>1</v>
      </c>
      <c r="P478" s="101">
        <v>1</v>
      </c>
      <c r="Q478" s="101">
        <v>62</v>
      </c>
      <c r="R478" s="101">
        <v>285.2</v>
      </c>
      <c r="S478" s="101">
        <v>42.557000000000002</v>
      </c>
      <c r="T478" s="133">
        <v>1.02</v>
      </c>
      <c r="U478" s="101">
        <f t="shared" si="62"/>
        <v>1.02</v>
      </c>
      <c r="V478" s="101">
        <f t="shared" si="63"/>
        <v>1.02</v>
      </c>
      <c r="W478" s="101">
        <f t="shared" si="64"/>
        <v>63.24</v>
      </c>
      <c r="X478" s="101">
        <f t="shared" si="65"/>
        <v>290.904</v>
      </c>
      <c r="Y478" s="101">
        <f t="shared" si="66"/>
        <v>43.408140000000003</v>
      </c>
      <c r="AG478" s="225"/>
      <c r="AH478" s="101"/>
      <c r="AI478" s="101"/>
      <c r="AJ478" s="101"/>
    </row>
    <row r="479" spans="1:36" hidden="1" x14ac:dyDescent="0.3">
      <c r="A479" s="126" t="s">
        <v>183</v>
      </c>
      <c r="B479" s="126">
        <v>30</v>
      </c>
      <c r="C479" s="126">
        <v>1</v>
      </c>
      <c r="D479" s="126" t="str">
        <f t="shared" si="61"/>
        <v>301</v>
      </c>
      <c r="J479" s="101">
        <v>123</v>
      </c>
      <c r="K479" s="101">
        <v>123</v>
      </c>
      <c r="L479" s="101">
        <v>53560</v>
      </c>
      <c r="M479" s="101">
        <v>0</v>
      </c>
      <c r="N479" s="101">
        <v>174758</v>
      </c>
      <c r="O479" s="101">
        <v>124</v>
      </c>
      <c r="P479" s="101">
        <v>124</v>
      </c>
      <c r="Q479" s="101">
        <v>33582</v>
      </c>
      <c r="S479" s="101">
        <v>256624</v>
      </c>
      <c r="T479" s="133">
        <v>1.02</v>
      </c>
      <c r="U479" s="101">
        <f t="shared" si="62"/>
        <v>126.48</v>
      </c>
      <c r="V479" s="101">
        <f t="shared" si="63"/>
        <v>126.48</v>
      </c>
      <c r="W479" s="101">
        <f t="shared" si="64"/>
        <v>34253.64</v>
      </c>
      <c r="X479" s="101">
        <f t="shared" si="65"/>
        <v>0</v>
      </c>
      <c r="Y479" s="101">
        <f t="shared" si="66"/>
        <v>261756.48</v>
      </c>
      <c r="AG479" s="225"/>
      <c r="AH479" s="101"/>
      <c r="AI479" s="101"/>
      <c r="AJ479" s="101"/>
    </row>
    <row r="480" spans="1:36" hidden="1" x14ac:dyDescent="0.3">
      <c r="A480" s="126" t="s">
        <v>183</v>
      </c>
      <c r="B480" s="126">
        <v>30</v>
      </c>
      <c r="C480" s="126">
        <v>37</v>
      </c>
      <c r="D480" s="126" t="str">
        <f t="shared" si="61"/>
        <v>3037</v>
      </c>
      <c r="E480" s="101">
        <v>8.75</v>
      </c>
      <c r="F480" s="101">
        <v>26.75</v>
      </c>
      <c r="G480" s="101">
        <v>466.25</v>
      </c>
      <c r="H480" s="101">
        <v>1525.5325</v>
      </c>
      <c r="I480" s="101">
        <v>795.89974999999993</v>
      </c>
      <c r="J480" s="101">
        <v>2</v>
      </c>
      <c r="K480" s="101">
        <v>10</v>
      </c>
      <c r="L480" s="101">
        <v>22025</v>
      </c>
      <c r="M480" s="101">
        <v>13364.9</v>
      </c>
      <c r="N480" s="101">
        <v>12726.888999999999</v>
      </c>
      <c r="O480" s="101">
        <v>9</v>
      </c>
      <c r="P480" s="101">
        <v>55</v>
      </c>
      <c r="Q480" s="101">
        <v>190625</v>
      </c>
      <c r="R480" s="101">
        <v>383474.33</v>
      </c>
      <c r="S480" s="101">
        <v>85686.269</v>
      </c>
      <c r="T480" s="133">
        <v>1.02</v>
      </c>
      <c r="U480" s="101">
        <f t="shared" si="62"/>
        <v>9.18</v>
      </c>
      <c r="V480" s="101">
        <f t="shared" si="63"/>
        <v>56.1</v>
      </c>
      <c r="W480" s="101">
        <f t="shared" si="64"/>
        <v>194437.5</v>
      </c>
      <c r="X480" s="101">
        <f t="shared" si="65"/>
        <v>391143.81660000002</v>
      </c>
      <c r="Y480" s="101">
        <f t="shared" si="66"/>
        <v>87399.994380000004</v>
      </c>
      <c r="AG480" s="225"/>
      <c r="AH480" s="101">
        <v>30000</v>
      </c>
      <c r="AI480" s="101">
        <f t="shared" si="54"/>
        <v>24000</v>
      </c>
      <c r="AJ480" s="101">
        <f t="shared" si="55"/>
        <v>36000</v>
      </c>
    </row>
    <row r="481" spans="1:36" hidden="1" x14ac:dyDescent="0.3">
      <c r="A481" s="126" t="s">
        <v>184</v>
      </c>
      <c r="B481" s="126">
        <v>31</v>
      </c>
      <c r="C481" s="126">
        <v>22</v>
      </c>
      <c r="D481" s="126" t="str">
        <f t="shared" si="61"/>
        <v>3122</v>
      </c>
      <c r="E481" s="101">
        <v>325</v>
      </c>
      <c r="F481" s="101">
        <v>2326</v>
      </c>
      <c r="G481" s="101">
        <v>19918</v>
      </c>
      <c r="H481" s="101">
        <v>101973.81999999999</v>
      </c>
      <c r="I481" s="101">
        <v>71597.668000000005</v>
      </c>
      <c r="J481" s="101">
        <v>421</v>
      </c>
      <c r="K481" s="101">
        <v>3914</v>
      </c>
      <c r="L481" s="101">
        <v>39031</v>
      </c>
      <c r="M481" s="101">
        <v>195901.42</v>
      </c>
      <c r="N481" s="101">
        <v>104009.02099999999</v>
      </c>
      <c r="O481" s="101">
        <v>323</v>
      </c>
      <c r="P481" s="101">
        <v>2627</v>
      </c>
      <c r="Q481" s="101">
        <v>21068</v>
      </c>
      <c r="R481" s="101">
        <v>106926.32</v>
      </c>
      <c r="S481" s="101">
        <v>74036.179999999993</v>
      </c>
      <c r="T481" s="133">
        <v>1.02</v>
      </c>
      <c r="U481" s="101">
        <f t="shared" si="62"/>
        <v>329.46</v>
      </c>
      <c r="V481" s="101">
        <f t="shared" si="63"/>
        <v>2679.54</v>
      </c>
      <c r="W481" s="101">
        <f t="shared" si="64"/>
        <v>21489.360000000001</v>
      </c>
      <c r="X481" s="101">
        <f t="shared" si="65"/>
        <v>109064.84640000001</v>
      </c>
      <c r="Y481" s="101">
        <f t="shared" si="66"/>
        <v>75516.903599999991</v>
      </c>
      <c r="AG481" s="225">
        <f>SUM(V481:V495)</f>
        <v>19282.3</v>
      </c>
      <c r="AH481" s="101">
        <v>30000</v>
      </c>
      <c r="AI481" s="101">
        <f t="shared" ref="AI481:AI539" si="67">(AH481/100)*80</f>
        <v>24000</v>
      </c>
      <c r="AJ481" s="101">
        <f t="shared" ref="AJ481:AJ539" si="68">(AH481/100)*120</f>
        <v>36000</v>
      </c>
    </row>
    <row r="482" spans="1:36" hidden="1" x14ac:dyDescent="0.3">
      <c r="A482" s="126" t="s">
        <v>184</v>
      </c>
      <c r="B482" s="126">
        <v>31</v>
      </c>
      <c r="C482" s="126">
        <v>25</v>
      </c>
      <c r="D482" s="126" t="str">
        <f t="shared" si="61"/>
        <v>3125</v>
      </c>
      <c r="E482" s="101">
        <v>159</v>
      </c>
      <c r="F482" s="101">
        <v>936</v>
      </c>
      <c r="G482" s="101">
        <v>104946</v>
      </c>
      <c r="H482" s="101">
        <v>533681</v>
      </c>
      <c r="I482" s="101">
        <v>271334.50199999998</v>
      </c>
      <c r="J482" s="101">
        <v>99</v>
      </c>
      <c r="K482" s="101">
        <v>1996</v>
      </c>
      <c r="L482" s="101">
        <v>20908</v>
      </c>
      <c r="M482" s="101">
        <v>402089.45999999996</v>
      </c>
      <c r="N482" s="101">
        <v>191344.435</v>
      </c>
      <c r="O482" s="101">
        <v>154</v>
      </c>
      <c r="P482" s="101">
        <v>1759</v>
      </c>
      <c r="Q482" s="101">
        <v>41197</v>
      </c>
      <c r="R482" s="101">
        <v>503063.25</v>
      </c>
      <c r="S482" s="101">
        <v>235195.24799999999</v>
      </c>
      <c r="T482" s="133">
        <v>1.02</v>
      </c>
      <c r="U482" s="101">
        <f t="shared" si="62"/>
        <v>157.08000000000001</v>
      </c>
      <c r="V482" s="101">
        <f t="shared" si="63"/>
        <v>1794.18</v>
      </c>
      <c r="W482" s="101">
        <f t="shared" si="64"/>
        <v>42020.94</v>
      </c>
      <c r="X482" s="101">
        <f t="shared" si="65"/>
        <v>513124.51500000001</v>
      </c>
      <c r="Y482" s="101">
        <f t="shared" si="66"/>
        <v>239899.15296000001</v>
      </c>
      <c r="AG482" s="225"/>
      <c r="AH482" s="101">
        <v>30000</v>
      </c>
      <c r="AI482" s="101">
        <f t="shared" si="67"/>
        <v>24000</v>
      </c>
      <c r="AJ482" s="101">
        <f t="shared" si="68"/>
        <v>36000</v>
      </c>
    </row>
    <row r="483" spans="1:36" hidden="1" x14ac:dyDescent="0.3">
      <c r="A483" s="126" t="s">
        <v>184</v>
      </c>
      <c r="B483" s="126">
        <v>31</v>
      </c>
      <c r="C483" s="126">
        <v>27</v>
      </c>
      <c r="D483" s="126" t="str">
        <f t="shared" si="61"/>
        <v>3127</v>
      </c>
      <c r="E483" s="101">
        <v>12</v>
      </c>
      <c r="F483" s="101">
        <v>297</v>
      </c>
      <c r="G483" s="101">
        <v>2441</v>
      </c>
      <c r="H483" s="101">
        <v>40595.270000000004</v>
      </c>
      <c r="I483" s="101">
        <v>20351.090999999997</v>
      </c>
      <c r="J483" s="101">
        <v>3</v>
      </c>
      <c r="K483" s="101">
        <v>24</v>
      </c>
      <c r="L483" s="101">
        <v>224</v>
      </c>
      <c r="M483" s="101">
        <v>4572.7800000000007</v>
      </c>
      <c r="N483" s="101">
        <v>1439.808</v>
      </c>
      <c r="O483" s="101">
        <v>6</v>
      </c>
      <c r="P483" s="101">
        <v>74</v>
      </c>
      <c r="Q483" s="101">
        <v>693</v>
      </c>
      <c r="R483" s="101">
        <v>3413.24</v>
      </c>
      <c r="S483" s="101">
        <v>1677.0740000000001</v>
      </c>
      <c r="T483" s="133">
        <v>1.02</v>
      </c>
      <c r="U483" s="101">
        <f t="shared" si="62"/>
        <v>6.12</v>
      </c>
      <c r="V483" s="101">
        <f t="shared" si="63"/>
        <v>75.48</v>
      </c>
      <c r="W483" s="101">
        <f t="shared" si="64"/>
        <v>706.86</v>
      </c>
      <c r="X483" s="101">
        <f t="shared" si="65"/>
        <v>3481.5047999999997</v>
      </c>
      <c r="Y483" s="101">
        <f t="shared" si="66"/>
        <v>1710.6154800000002</v>
      </c>
      <c r="AG483" s="225"/>
      <c r="AH483" s="101">
        <v>30000</v>
      </c>
      <c r="AI483" s="101">
        <f t="shared" si="67"/>
        <v>24000</v>
      </c>
      <c r="AJ483" s="101">
        <f t="shared" si="68"/>
        <v>36000</v>
      </c>
    </row>
    <row r="484" spans="1:36" hidden="1" x14ac:dyDescent="0.3">
      <c r="A484" s="126" t="s">
        <v>184</v>
      </c>
      <c r="B484" s="126">
        <v>31</v>
      </c>
      <c r="C484" s="126">
        <v>26</v>
      </c>
      <c r="D484" s="126" t="str">
        <f t="shared" si="61"/>
        <v>3126</v>
      </c>
      <c r="E484" s="101">
        <v>72</v>
      </c>
      <c r="F484" s="101">
        <v>1587</v>
      </c>
      <c r="G484" s="101">
        <v>19954</v>
      </c>
      <c r="H484" s="101">
        <v>221167.91</v>
      </c>
      <c r="I484" s="101">
        <v>96555</v>
      </c>
      <c r="J484" s="101">
        <v>47</v>
      </c>
      <c r="K484" s="101">
        <v>1519</v>
      </c>
      <c r="L484" s="101">
        <v>19419</v>
      </c>
      <c r="M484" s="101">
        <v>274513.41000000003</v>
      </c>
      <c r="N484" s="101">
        <v>113977.887</v>
      </c>
      <c r="O484" s="101">
        <v>19</v>
      </c>
      <c r="P484" s="101">
        <v>406</v>
      </c>
      <c r="Q484" s="101">
        <v>18037</v>
      </c>
      <c r="R484" s="101">
        <v>171629.05</v>
      </c>
      <c r="S484" s="101">
        <v>93945.502999999997</v>
      </c>
      <c r="T484" s="133">
        <v>1.02</v>
      </c>
      <c r="U484" s="101">
        <f t="shared" si="62"/>
        <v>19.38</v>
      </c>
      <c r="V484" s="101">
        <f t="shared" si="63"/>
        <v>414.12</v>
      </c>
      <c r="W484" s="101">
        <f t="shared" si="64"/>
        <v>18397.740000000002</v>
      </c>
      <c r="X484" s="101">
        <f t="shared" si="65"/>
        <v>175061.63099999999</v>
      </c>
      <c r="Y484" s="101">
        <f t="shared" si="66"/>
        <v>95824.413059999992</v>
      </c>
      <c r="AG484" s="225"/>
      <c r="AH484" s="101">
        <v>30000</v>
      </c>
      <c r="AI484" s="101">
        <f t="shared" si="67"/>
        <v>24000</v>
      </c>
      <c r="AJ484" s="101">
        <f t="shared" si="68"/>
        <v>36000</v>
      </c>
    </row>
    <row r="485" spans="1:36" hidden="1" x14ac:dyDescent="0.3">
      <c r="A485" s="126" t="s">
        <v>184</v>
      </c>
      <c r="B485" s="126">
        <v>31</v>
      </c>
      <c r="C485" s="126">
        <v>32</v>
      </c>
      <c r="D485" s="126" t="str">
        <f t="shared" si="61"/>
        <v>3132</v>
      </c>
      <c r="E485" s="101">
        <v>474</v>
      </c>
      <c r="F485" s="101">
        <v>2455</v>
      </c>
      <c r="G485" s="101">
        <v>47408</v>
      </c>
      <c r="H485" s="101">
        <v>576123.61</v>
      </c>
      <c r="I485" s="101">
        <v>234363.99300000002</v>
      </c>
      <c r="J485" s="101">
        <v>185</v>
      </c>
      <c r="K485" s="101">
        <v>641</v>
      </c>
      <c r="L485" s="101">
        <v>19335</v>
      </c>
      <c r="M485" s="101">
        <v>49234.29</v>
      </c>
      <c r="N485" s="101">
        <v>48598.164000000004</v>
      </c>
      <c r="O485" s="101">
        <v>150</v>
      </c>
      <c r="P485" s="101">
        <v>826</v>
      </c>
      <c r="Q485" s="101">
        <v>19996</v>
      </c>
      <c r="R485" s="101">
        <v>119788.54</v>
      </c>
      <c r="S485" s="101">
        <v>48342.252999999997</v>
      </c>
      <c r="T485" s="133">
        <v>1.02</v>
      </c>
      <c r="U485" s="101">
        <f>O485*$T$5+12</f>
        <v>165</v>
      </c>
      <c r="V485" s="101">
        <f>P485*$T$5+29</f>
        <v>871.52</v>
      </c>
      <c r="W485" s="101">
        <f>Q485*$T$5+4017</f>
        <v>24412.920000000002</v>
      </c>
      <c r="X485" s="101">
        <f>R485*$T$5+21492</f>
        <v>143676.31079999998</v>
      </c>
      <c r="Y485" s="101">
        <f>S485*$T$5+25322</f>
        <v>74631.098059999989</v>
      </c>
      <c r="AG485" s="225"/>
      <c r="AH485" s="101">
        <v>30000</v>
      </c>
      <c r="AI485" s="101">
        <f t="shared" si="67"/>
        <v>24000</v>
      </c>
      <c r="AJ485" s="101">
        <f t="shared" si="68"/>
        <v>36000</v>
      </c>
    </row>
    <row r="486" spans="1:36" hidden="1" x14ac:dyDescent="0.3">
      <c r="A486" s="126" t="s">
        <v>184</v>
      </c>
      <c r="B486" s="126">
        <v>31</v>
      </c>
      <c r="C486" s="126">
        <v>21</v>
      </c>
      <c r="D486" s="126" t="str">
        <f t="shared" si="61"/>
        <v>3121</v>
      </c>
      <c r="E486" s="101">
        <v>943</v>
      </c>
      <c r="F486" s="101">
        <v>4856</v>
      </c>
      <c r="G486" s="101">
        <v>18245</v>
      </c>
      <c r="H486" s="101">
        <v>394826.31000000006</v>
      </c>
      <c r="I486" s="101">
        <v>99765.84199999999</v>
      </c>
      <c r="J486" s="101">
        <v>0</v>
      </c>
      <c r="K486" s="101">
        <v>0</v>
      </c>
      <c r="L486" s="101">
        <v>0</v>
      </c>
      <c r="M486" s="101">
        <v>0</v>
      </c>
      <c r="N486" s="101">
        <v>0</v>
      </c>
      <c r="O486" s="101">
        <v>40</v>
      </c>
      <c r="P486" s="101">
        <v>230</v>
      </c>
      <c r="Q486" s="101">
        <v>1519</v>
      </c>
      <c r="R486" s="101">
        <v>25193.67</v>
      </c>
      <c r="S486" s="101">
        <v>11560.624</v>
      </c>
      <c r="T486" s="133">
        <v>1.02</v>
      </c>
      <c r="U486" s="101">
        <f t="shared" si="62"/>
        <v>40.799999999999997</v>
      </c>
      <c r="V486" s="101">
        <f t="shared" si="63"/>
        <v>234.6</v>
      </c>
      <c r="W486" s="101">
        <f t="shared" si="64"/>
        <v>1549.38</v>
      </c>
      <c r="X486" s="101">
        <f t="shared" si="65"/>
        <v>25697.543399999999</v>
      </c>
      <c r="Y486" s="101">
        <f t="shared" si="66"/>
        <v>11791.83648</v>
      </c>
      <c r="AG486" s="225"/>
      <c r="AH486" s="101">
        <v>30000</v>
      </c>
      <c r="AI486" s="101">
        <f t="shared" si="67"/>
        <v>24000</v>
      </c>
      <c r="AJ486" s="101">
        <f t="shared" si="68"/>
        <v>36000</v>
      </c>
    </row>
    <row r="487" spans="1:36" hidden="1" x14ac:dyDescent="0.3">
      <c r="A487" s="126" t="s">
        <v>184</v>
      </c>
      <c r="B487" s="126">
        <v>31</v>
      </c>
      <c r="C487" s="126">
        <v>30</v>
      </c>
      <c r="D487" s="126" t="str">
        <f t="shared" si="61"/>
        <v>3130</v>
      </c>
      <c r="E487" s="101">
        <v>254.5</v>
      </c>
      <c r="F487" s="101">
        <v>2942</v>
      </c>
      <c r="G487" s="101">
        <v>15598</v>
      </c>
      <c r="H487" s="101">
        <v>536444.65500000003</v>
      </c>
      <c r="I487" s="101">
        <v>168159.538</v>
      </c>
      <c r="J487" s="101">
        <v>277</v>
      </c>
      <c r="K487" s="101">
        <v>7378</v>
      </c>
      <c r="L487" s="101">
        <v>26770</v>
      </c>
      <c r="M487" s="101">
        <v>587685.92000000004</v>
      </c>
      <c r="N487" s="101">
        <v>174050.69899999996</v>
      </c>
      <c r="O487" s="101">
        <v>285</v>
      </c>
      <c r="P487" s="101">
        <v>5291</v>
      </c>
      <c r="Q487" s="101">
        <v>17889</v>
      </c>
      <c r="R487" s="101">
        <v>461753.58</v>
      </c>
      <c r="S487" s="101">
        <v>149155.323</v>
      </c>
      <c r="T487" s="133">
        <v>1.02</v>
      </c>
      <c r="U487" s="101">
        <f t="shared" si="62"/>
        <v>290.7</v>
      </c>
      <c r="V487" s="101">
        <f t="shared" si="63"/>
        <v>5396.82</v>
      </c>
      <c r="W487" s="101">
        <f t="shared" si="64"/>
        <v>18246.78</v>
      </c>
      <c r="X487" s="101">
        <f t="shared" si="65"/>
        <v>470988.65160000004</v>
      </c>
      <c r="Y487" s="101">
        <f t="shared" si="66"/>
        <v>152138.42946000001</v>
      </c>
      <c r="AG487" s="225"/>
      <c r="AH487" s="101">
        <v>30000</v>
      </c>
      <c r="AI487" s="101">
        <f t="shared" si="67"/>
        <v>24000</v>
      </c>
      <c r="AJ487" s="101">
        <f t="shared" si="68"/>
        <v>36000</v>
      </c>
    </row>
    <row r="488" spans="1:36" hidden="1" x14ac:dyDescent="0.3">
      <c r="A488" s="126" t="s">
        <v>184</v>
      </c>
      <c r="B488" s="126">
        <v>31</v>
      </c>
      <c r="C488" s="126">
        <v>71</v>
      </c>
      <c r="D488" s="126" t="str">
        <f t="shared" si="61"/>
        <v>3171</v>
      </c>
      <c r="E488" s="101">
        <v>578.5</v>
      </c>
      <c r="F488" s="101">
        <v>5019</v>
      </c>
      <c r="G488" s="101">
        <v>17544</v>
      </c>
      <c r="H488" s="101">
        <v>128970.78499999999</v>
      </c>
      <c r="I488" s="101">
        <v>63794.404000000002</v>
      </c>
      <c r="J488" s="101">
        <v>756</v>
      </c>
      <c r="K488" s="101">
        <v>4225</v>
      </c>
      <c r="L488" s="101">
        <v>29009</v>
      </c>
      <c r="M488" s="101">
        <v>256523.31</v>
      </c>
      <c r="N488" s="101">
        <v>193328.83599999998</v>
      </c>
      <c r="O488" s="101">
        <v>344</v>
      </c>
      <c r="P488" s="101">
        <v>7426</v>
      </c>
      <c r="Q488" s="101">
        <v>42361</v>
      </c>
      <c r="R488" s="101">
        <v>337290.56</v>
      </c>
      <c r="S488" s="101">
        <v>196498.95</v>
      </c>
      <c r="T488" s="133">
        <v>0.98</v>
      </c>
      <c r="U488" s="101">
        <f t="shared" si="62"/>
        <v>337.12</v>
      </c>
      <c r="V488" s="101">
        <f t="shared" si="63"/>
        <v>7277.48</v>
      </c>
      <c r="W488" s="101">
        <f t="shared" si="64"/>
        <v>41513.78</v>
      </c>
      <c r="X488" s="101">
        <f t="shared" si="65"/>
        <v>330544.7488</v>
      </c>
      <c r="Y488" s="101">
        <f t="shared" si="66"/>
        <v>192568.97100000002</v>
      </c>
      <c r="AG488" s="225"/>
      <c r="AH488" s="101">
        <v>30000</v>
      </c>
      <c r="AI488" s="101">
        <f t="shared" si="67"/>
        <v>24000</v>
      </c>
      <c r="AJ488" s="101">
        <f t="shared" si="68"/>
        <v>36000</v>
      </c>
    </row>
    <row r="489" spans="1:36" hidden="1" x14ac:dyDescent="0.3">
      <c r="A489" s="126" t="s">
        <v>184</v>
      </c>
      <c r="B489" s="126">
        <v>31</v>
      </c>
      <c r="C489" s="126">
        <v>28</v>
      </c>
      <c r="D489" s="126" t="str">
        <f t="shared" si="61"/>
        <v>3128</v>
      </c>
      <c r="J489" s="101">
        <v>53</v>
      </c>
      <c r="K489" s="101">
        <v>78</v>
      </c>
      <c r="L489" s="101">
        <v>539</v>
      </c>
      <c r="M489" s="101">
        <v>15945.100000000002</v>
      </c>
      <c r="N489" s="101">
        <v>5308.9539999999997</v>
      </c>
      <c r="O489" s="101">
        <v>76</v>
      </c>
      <c r="P489" s="101">
        <v>314</v>
      </c>
      <c r="Q489" s="101">
        <v>7990</v>
      </c>
      <c r="R489" s="101">
        <v>57413.56</v>
      </c>
      <c r="S489" s="101">
        <v>13166.922</v>
      </c>
      <c r="T489" s="133">
        <v>1.02</v>
      </c>
      <c r="U489" s="101">
        <f t="shared" si="62"/>
        <v>77.52</v>
      </c>
      <c r="V489" s="101">
        <f t="shared" si="63"/>
        <v>320.28000000000003</v>
      </c>
      <c r="W489" s="101">
        <f t="shared" si="64"/>
        <v>8149.8</v>
      </c>
      <c r="X489" s="101">
        <f t="shared" si="65"/>
        <v>58561.831200000001</v>
      </c>
      <c r="Y489" s="101">
        <f t="shared" si="66"/>
        <v>13430.26044</v>
      </c>
      <c r="AG489" s="225"/>
      <c r="AH489" s="101"/>
      <c r="AI489" s="101"/>
      <c r="AJ489" s="101"/>
    </row>
    <row r="490" spans="1:36" hidden="1" x14ac:dyDescent="0.3">
      <c r="A490" s="126" t="s">
        <v>184</v>
      </c>
      <c r="B490" s="126">
        <v>31</v>
      </c>
      <c r="C490" s="126">
        <v>46</v>
      </c>
      <c r="D490" s="126" t="str">
        <f t="shared" si="61"/>
        <v>3146</v>
      </c>
      <c r="J490" s="101">
        <v>4</v>
      </c>
      <c r="K490" s="101">
        <v>7</v>
      </c>
      <c r="L490" s="101">
        <v>707</v>
      </c>
      <c r="M490" s="101">
        <v>7241.38</v>
      </c>
      <c r="N490" s="101">
        <v>252.23700000000002</v>
      </c>
      <c r="O490" s="101">
        <v>14</v>
      </c>
      <c r="P490" s="101">
        <v>18</v>
      </c>
      <c r="Q490" s="101">
        <v>3091</v>
      </c>
      <c r="R490" s="101">
        <v>68903.42</v>
      </c>
      <c r="S490" s="101">
        <v>8705.6849999999995</v>
      </c>
      <c r="T490" s="133">
        <v>1.02</v>
      </c>
      <c r="U490" s="101">
        <f t="shared" si="62"/>
        <v>14.280000000000001</v>
      </c>
      <c r="V490" s="101">
        <f t="shared" si="63"/>
        <v>18.36</v>
      </c>
      <c r="W490" s="101">
        <f t="shared" si="64"/>
        <v>3152.82</v>
      </c>
      <c r="X490" s="101">
        <f t="shared" si="65"/>
        <v>70281.488400000002</v>
      </c>
      <c r="Y490" s="101">
        <f t="shared" si="66"/>
        <v>8879.7986999999994</v>
      </c>
      <c r="AG490" s="225"/>
      <c r="AH490" s="101"/>
      <c r="AI490" s="101"/>
      <c r="AJ490" s="101"/>
    </row>
    <row r="491" spans="1:36" hidden="1" x14ac:dyDescent="0.3">
      <c r="A491" s="126" t="s">
        <v>184</v>
      </c>
      <c r="B491" s="126">
        <v>31</v>
      </c>
      <c r="C491" s="126">
        <v>66</v>
      </c>
      <c r="D491" s="126" t="str">
        <f t="shared" si="61"/>
        <v>3166</v>
      </c>
      <c r="J491" s="101">
        <v>6</v>
      </c>
      <c r="K491" s="101">
        <v>5</v>
      </c>
      <c r="L491" s="101">
        <v>163</v>
      </c>
      <c r="M491" s="101">
        <v>7802.5499999999993</v>
      </c>
      <c r="N491" s="101">
        <v>6931.1100000000006</v>
      </c>
      <c r="O491" s="101">
        <v>15</v>
      </c>
      <c r="P491" s="101">
        <v>17</v>
      </c>
      <c r="Q491" s="101">
        <v>619</v>
      </c>
      <c r="R491" s="101">
        <v>10960.21</v>
      </c>
      <c r="S491" s="101">
        <v>5253.692</v>
      </c>
      <c r="T491" s="133">
        <v>1.02</v>
      </c>
      <c r="U491" s="101">
        <f t="shared" si="62"/>
        <v>15.3</v>
      </c>
      <c r="V491" s="101">
        <f t="shared" si="63"/>
        <v>17.34</v>
      </c>
      <c r="W491" s="101">
        <f t="shared" si="64"/>
        <v>631.38</v>
      </c>
      <c r="X491" s="101">
        <f t="shared" si="65"/>
        <v>11179.414199999999</v>
      </c>
      <c r="Y491" s="101">
        <f t="shared" si="66"/>
        <v>5358.76584</v>
      </c>
      <c r="AG491" s="225"/>
      <c r="AH491" s="101"/>
      <c r="AI491" s="101"/>
      <c r="AJ491" s="101"/>
    </row>
    <row r="492" spans="1:36" x14ac:dyDescent="0.3">
      <c r="A492" s="126" t="s">
        <v>184</v>
      </c>
      <c r="B492" s="126">
        <v>31</v>
      </c>
      <c r="C492" s="126">
        <v>91</v>
      </c>
      <c r="D492" s="126" t="str">
        <f t="shared" si="61"/>
        <v>3191</v>
      </c>
      <c r="J492" s="101">
        <v>3</v>
      </c>
      <c r="K492" s="101">
        <v>4</v>
      </c>
      <c r="L492" s="101">
        <v>10</v>
      </c>
      <c r="M492" s="101">
        <v>184.61999999999998</v>
      </c>
      <c r="N492" s="101">
        <v>92.653999999999996</v>
      </c>
      <c r="O492" s="101">
        <v>18</v>
      </c>
      <c r="P492" s="101">
        <v>45</v>
      </c>
      <c r="Q492" s="101">
        <v>233</v>
      </c>
      <c r="R492" s="101">
        <v>2351.25</v>
      </c>
      <c r="S492" s="101">
        <v>2377.5500000000002</v>
      </c>
      <c r="T492" s="133">
        <v>1.02</v>
      </c>
      <c r="U492" s="101">
        <f t="shared" si="62"/>
        <v>18.36</v>
      </c>
      <c r="V492" s="101">
        <f t="shared" si="63"/>
        <v>45.9</v>
      </c>
      <c r="W492" s="101">
        <f t="shared" si="64"/>
        <v>237.66</v>
      </c>
      <c r="X492" s="101">
        <f t="shared" si="65"/>
        <v>2398.2750000000001</v>
      </c>
      <c r="Y492" s="101">
        <f t="shared" si="66"/>
        <v>2425.1010000000001</v>
      </c>
      <c r="AG492" s="225"/>
      <c r="AH492" s="101"/>
      <c r="AI492" s="101"/>
      <c r="AJ492" s="101"/>
    </row>
    <row r="493" spans="1:36" hidden="1" x14ac:dyDescent="0.3">
      <c r="A493" s="126" t="s">
        <v>184</v>
      </c>
      <c r="B493" s="126">
        <v>31</v>
      </c>
      <c r="C493" s="126">
        <v>41</v>
      </c>
      <c r="D493" s="126" t="str">
        <f t="shared" si="61"/>
        <v>3141</v>
      </c>
      <c r="O493" s="101">
        <v>7</v>
      </c>
      <c r="P493" s="101">
        <v>14</v>
      </c>
      <c r="Q493" s="101">
        <v>111</v>
      </c>
      <c r="R493" s="101">
        <v>1120.48</v>
      </c>
      <c r="S493" s="101">
        <v>318.13400000000001</v>
      </c>
      <c r="T493" s="133">
        <v>1.02</v>
      </c>
      <c r="U493" s="101">
        <f t="shared" si="62"/>
        <v>7.1400000000000006</v>
      </c>
      <c r="V493" s="101">
        <f t="shared" si="63"/>
        <v>14.280000000000001</v>
      </c>
      <c r="W493" s="101">
        <f t="shared" si="64"/>
        <v>113.22</v>
      </c>
      <c r="X493" s="101">
        <f t="shared" si="65"/>
        <v>1142.8896</v>
      </c>
      <c r="Y493" s="101">
        <f t="shared" si="66"/>
        <v>324.49668000000003</v>
      </c>
      <c r="AG493" s="225"/>
      <c r="AH493" s="101"/>
      <c r="AI493" s="101"/>
      <c r="AJ493" s="101"/>
    </row>
    <row r="494" spans="1:36" hidden="1" x14ac:dyDescent="0.3">
      <c r="A494" s="126" t="s">
        <v>184</v>
      </c>
      <c r="B494" s="126">
        <v>31</v>
      </c>
      <c r="C494" s="126">
        <v>1</v>
      </c>
      <c r="D494" s="126" t="str">
        <f t="shared" si="61"/>
        <v>311</v>
      </c>
      <c r="J494" s="101">
        <v>126</v>
      </c>
      <c r="K494" s="101">
        <v>126</v>
      </c>
      <c r="L494" s="101">
        <v>36218</v>
      </c>
      <c r="M494" s="101">
        <v>0</v>
      </c>
      <c r="N494" s="101">
        <v>182544</v>
      </c>
      <c r="O494" s="101">
        <v>102</v>
      </c>
      <c r="P494" s="101">
        <v>102</v>
      </c>
      <c r="Q494" s="101">
        <v>20760</v>
      </c>
      <c r="S494" s="101">
        <v>106007</v>
      </c>
      <c r="T494" s="133">
        <v>1.02</v>
      </c>
      <c r="U494" s="101">
        <f t="shared" si="62"/>
        <v>104.04</v>
      </c>
      <c r="V494" s="101">
        <f t="shared" si="63"/>
        <v>104.04</v>
      </c>
      <c r="W494" s="101">
        <f t="shared" si="64"/>
        <v>21175.200000000001</v>
      </c>
      <c r="X494" s="101">
        <f t="shared" si="65"/>
        <v>0</v>
      </c>
      <c r="Y494" s="101">
        <f t="shared" si="66"/>
        <v>108127.14</v>
      </c>
      <c r="AG494" s="225"/>
      <c r="AH494" s="101"/>
      <c r="AI494" s="101"/>
      <c r="AJ494" s="101"/>
    </row>
    <row r="495" spans="1:36" hidden="1" x14ac:dyDescent="0.3">
      <c r="A495" s="126" t="s">
        <v>184</v>
      </c>
      <c r="B495" s="126">
        <v>31</v>
      </c>
      <c r="C495" s="126">
        <v>37</v>
      </c>
      <c r="D495" s="126" t="str">
        <f t="shared" si="61"/>
        <v>3137</v>
      </c>
      <c r="E495" s="101">
        <v>7</v>
      </c>
      <c r="F495" s="101">
        <v>0</v>
      </c>
      <c r="G495" s="101">
        <v>0</v>
      </c>
      <c r="H495" s="101">
        <v>5718.3424999999997</v>
      </c>
      <c r="I495" s="101">
        <v>3047.1922500000001</v>
      </c>
      <c r="J495" s="101">
        <v>9</v>
      </c>
      <c r="K495" s="101">
        <v>32</v>
      </c>
      <c r="L495" s="101">
        <v>409702</v>
      </c>
      <c r="M495" s="101">
        <v>181448.34</v>
      </c>
      <c r="N495" s="101">
        <v>77968.964000000007</v>
      </c>
      <c r="O495" s="101">
        <v>11</v>
      </c>
      <c r="P495" s="101">
        <v>18</v>
      </c>
      <c r="Q495" s="101">
        <v>26925</v>
      </c>
      <c r="R495" s="101">
        <v>27980.61</v>
      </c>
      <c r="S495" s="101">
        <v>19067.793000000001</v>
      </c>
      <c r="T495" s="133">
        <v>1.02</v>
      </c>
      <c r="U495" s="101">
        <f t="shared" si="62"/>
        <v>11.22</v>
      </c>
      <c r="V495" s="101">
        <f t="shared" si="63"/>
        <v>18.36</v>
      </c>
      <c r="W495" s="101">
        <f t="shared" si="64"/>
        <v>27463.5</v>
      </c>
      <c r="X495" s="101">
        <f t="shared" si="65"/>
        <v>28540.2222</v>
      </c>
      <c r="Y495" s="101">
        <f t="shared" si="66"/>
        <v>19449.148860000001</v>
      </c>
      <c r="AG495" s="225"/>
      <c r="AH495" s="101">
        <v>30000</v>
      </c>
      <c r="AI495" s="101">
        <f t="shared" si="67"/>
        <v>24000</v>
      </c>
      <c r="AJ495" s="101">
        <f t="shared" si="68"/>
        <v>36000</v>
      </c>
    </row>
    <row r="496" spans="1:36" hidden="1" x14ac:dyDescent="0.3">
      <c r="A496" s="126" t="s">
        <v>184</v>
      </c>
      <c r="B496" s="126">
        <v>32</v>
      </c>
      <c r="C496" s="126">
        <v>22</v>
      </c>
      <c r="D496" s="126" t="str">
        <f t="shared" si="61"/>
        <v>3222</v>
      </c>
      <c r="E496" s="101">
        <v>376</v>
      </c>
      <c r="F496" s="101">
        <v>2583</v>
      </c>
      <c r="G496" s="101">
        <v>25793</v>
      </c>
      <c r="H496" s="101">
        <v>127689.48</v>
      </c>
      <c r="I496" s="101">
        <v>96805.038</v>
      </c>
      <c r="J496" s="101">
        <v>362</v>
      </c>
      <c r="K496" s="101">
        <v>3412</v>
      </c>
      <c r="L496" s="101">
        <v>29757</v>
      </c>
      <c r="M496" s="101">
        <v>153176.02000000002</v>
      </c>
      <c r="N496" s="101">
        <v>85523.252000000008</v>
      </c>
      <c r="O496" s="101">
        <v>302</v>
      </c>
      <c r="P496" s="101">
        <v>2439</v>
      </c>
      <c r="Q496" s="101">
        <v>19858</v>
      </c>
      <c r="R496" s="101">
        <v>90922.3</v>
      </c>
      <c r="S496" s="101">
        <v>63412.141000000003</v>
      </c>
      <c r="T496" s="133">
        <v>1.02</v>
      </c>
      <c r="U496" s="101">
        <f t="shared" si="62"/>
        <v>308.04000000000002</v>
      </c>
      <c r="V496" s="101">
        <f t="shared" si="63"/>
        <v>2487.7800000000002</v>
      </c>
      <c r="W496" s="101">
        <f t="shared" si="64"/>
        <v>20255.16</v>
      </c>
      <c r="X496" s="101">
        <f t="shared" si="65"/>
        <v>92740.745999999999</v>
      </c>
      <c r="Y496" s="101">
        <f t="shared" si="66"/>
        <v>64680.383820000003</v>
      </c>
      <c r="AG496" s="225">
        <f>SUM(V496:V510)</f>
        <v>18134.060000000001</v>
      </c>
      <c r="AH496" s="101">
        <v>30000</v>
      </c>
      <c r="AI496" s="101">
        <f t="shared" si="67"/>
        <v>24000</v>
      </c>
      <c r="AJ496" s="101">
        <f t="shared" si="68"/>
        <v>36000</v>
      </c>
    </row>
    <row r="497" spans="1:36" hidden="1" x14ac:dyDescent="0.3">
      <c r="A497" s="126" t="s">
        <v>184</v>
      </c>
      <c r="B497" s="126">
        <v>32</v>
      </c>
      <c r="C497" s="126">
        <v>25</v>
      </c>
      <c r="D497" s="126" t="str">
        <f t="shared" si="61"/>
        <v>3225</v>
      </c>
      <c r="E497" s="101">
        <v>171</v>
      </c>
      <c r="F497" s="101">
        <v>1779</v>
      </c>
      <c r="G497" s="101">
        <v>24128</v>
      </c>
      <c r="H497" s="101">
        <v>366036.35000000003</v>
      </c>
      <c r="I497" s="101">
        <v>136674.739</v>
      </c>
      <c r="J497" s="101">
        <v>96</v>
      </c>
      <c r="K497" s="101">
        <v>1378</v>
      </c>
      <c r="L497" s="101">
        <v>59856</v>
      </c>
      <c r="M497" s="101">
        <v>608147.4</v>
      </c>
      <c r="N497" s="101">
        <v>283038.82799999998</v>
      </c>
      <c r="O497" s="101">
        <v>139</v>
      </c>
      <c r="P497" s="101">
        <v>2562</v>
      </c>
      <c r="Q497" s="101">
        <v>53249</v>
      </c>
      <c r="R497" s="101">
        <v>470540.2</v>
      </c>
      <c r="S497" s="101">
        <v>220850.851</v>
      </c>
      <c r="T497" s="133">
        <v>1.02</v>
      </c>
      <c r="U497" s="101">
        <f t="shared" si="62"/>
        <v>141.78</v>
      </c>
      <c r="V497" s="101">
        <f t="shared" si="63"/>
        <v>2613.2400000000002</v>
      </c>
      <c r="W497" s="101">
        <f t="shared" si="64"/>
        <v>54313.98</v>
      </c>
      <c r="X497" s="101">
        <f t="shared" si="65"/>
        <v>479951.00400000002</v>
      </c>
      <c r="Y497" s="101">
        <f t="shared" si="66"/>
        <v>225267.86801999999</v>
      </c>
      <c r="AG497" s="225"/>
      <c r="AH497" s="101">
        <v>30000</v>
      </c>
      <c r="AI497" s="101">
        <f t="shared" si="67"/>
        <v>24000</v>
      </c>
      <c r="AJ497" s="101">
        <f t="shared" si="68"/>
        <v>36000</v>
      </c>
    </row>
    <row r="498" spans="1:36" hidden="1" x14ac:dyDescent="0.3">
      <c r="A498" s="126" t="s">
        <v>184</v>
      </c>
      <c r="B498" s="126">
        <v>32</v>
      </c>
      <c r="C498" s="126">
        <v>27</v>
      </c>
      <c r="D498" s="126" t="str">
        <f t="shared" si="61"/>
        <v>3227</v>
      </c>
      <c r="E498" s="101">
        <v>9</v>
      </c>
      <c r="F498" s="101">
        <v>410</v>
      </c>
      <c r="G498" s="101">
        <v>2655</v>
      </c>
      <c r="H498" s="101">
        <v>27877.450000000004</v>
      </c>
      <c r="I498" s="101">
        <v>7527.228000000001</v>
      </c>
      <c r="J498" s="101">
        <v>3</v>
      </c>
      <c r="K498" s="101">
        <v>24</v>
      </c>
      <c r="L498" s="101">
        <v>119</v>
      </c>
      <c r="M498" s="101">
        <v>2895.47</v>
      </c>
      <c r="N498" s="101">
        <v>1633.181</v>
      </c>
      <c r="O498" s="101">
        <v>3</v>
      </c>
      <c r="P498" s="101">
        <v>6</v>
      </c>
      <c r="Q498" s="101">
        <v>25</v>
      </c>
      <c r="R498" s="101">
        <v>338.12</v>
      </c>
      <c r="S498" s="101">
        <v>88.161000000000001</v>
      </c>
      <c r="T498" s="133">
        <v>1.02</v>
      </c>
      <c r="U498" s="101">
        <f t="shared" si="62"/>
        <v>3.06</v>
      </c>
      <c r="V498" s="101">
        <f t="shared" si="63"/>
        <v>6.12</v>
      </c>
      <c r="W498" s="101">
        <f t="shared" si="64"/>
        <v>25.5</v>
      </c>
      <c r="X498" s="101">
        <f t="shared" si="65"/>
        <v>344.88240000000002</v>
      </c>
      <c r="Y498" s="101">
        <f t="shared" si="66"/>
        <v>89.924220000000005</v>
      </c>
      <c r="AG498" s="225"/>
      <c r="AH498" s="101">
        <v>30000</v>
      </c>
      <c r="AI498" s="101">
        <f t="shared" si="67"/>
        <v>24000</v>
      </c>
      <c r="AJ498" s="101">
        <f t="shared" si="68"/>
        <v>36000</v>
      </c>
    </row>
    <row r="499" spans="1:36" hidden="1" x14ac:dyDescent="0.3">
      <c r="A499" s="126" t="s">
        <v>184</v>
      </c>
      <c r="B499" s="126">
        <v>32</v>
      </c>
      <c r="C499" s="126">
        <v>26</v>
      </c>
      <c r="D499" s="126" t="str">
        <f t="shared" si="61"/>
        <v>3226</v>
      </c>
      <c r="E499" s="101">
        <v>71</v>
      </c>
      <c r="F499" s="101">
        <v>2496</v>
      </c>
      <c r="G499" s="101">
        <v>18827</v>
      </c>
      <c r="H499" s="101">
        <v>215585.56</v>
      </c>
      <c r="I499" s="101">
        <v>60713.254000000001</v>
      </c>
      <c r="J499" s="101">
        <v>73</v>
      </c>
      <c r="K499" s="101">
        <v>2354</v>
      </c>
      <c r="L499" s="101">
        <v>26232</v>
      </c>
      <c r="M499" s="101">
        <v>354126.58999999997</v>
      </c>
      <c r="N499" s="101">
        <v>130204.266</v>
      </c>
      <c r="O499" s="101">
        <v>22</v>
      </c>
      <c r="P499" s="101">
        <v>662</v>
      </c>
      <c r="Q499" s="101">
        <v>39934</v>
      </c>
      <c r="R499" s="101">
        <v>209519.38</v>
      </c>
      <c r="S499" s="101">
        <v>68430.67</v>
      </c>
      <c r="T499" s="133">
        <v>1.02</v>
      </c>
      <c r="U499" s="101">
        <f t="shared" si="62"/>
        <v>22.44</v>
      </c>
      <c r="V499" s="101">
        <f t="shared" si="63"/>
        <v>675.24</v>
      </c>
      <c r="W499" s="101">
        <f t="shared" si="64"/>
        <v>40732.68</v>
      </c>
      <c r="X499" s="101">
        <f t="shared" si="65"/>
        <v>213709.76760000002</v>
      </c>
      <c r="Y499" s="101">
        <f t="shared" si="66"/>
        <v>69799.2834</v>
      </c>
      <c r="AG499" s="225"/>
      <c r="AH499" s="101">
        <v>30000</v>
      </c>
      <c r="AI499" s="101">
        <f t="shared" si="67"/>
        <v>24000</v>
      </c>
      <c r="AJ499" s="101">
        <f t="shared" si="68"/>
        <v>36000</v>
      </c>
    </row>
    <row r="500" spans="1:36" hidden="1" x14ac:dyDescent="0.3">
      <c r="A500" s="126" t="s">
        <v>184</v>
      </c>
      <c r="B500" s="126">
        <v>32</v>
      </c>
      <c r="C500" s="126">
        <v>32</v>
      </c>
      <c r="D500" s="126" t="str">
        <f t="shared" si="61"/>
        <v>3232</v>
      </c>
      <c r="E500" s="101">
        <v>412</v>
      </c>
      <c r="F500" s="101">
        <v>2403</v>
      </c>
      <c r="G500" s="101">
        <v>57855</v>
      </c>
      <c r="H500" s="101">
        <v>747948.41000000015</v>
      </c>
      <c r="I500" s="101">
        <v>369075.93099999998</v>
      </c>
      <c r="J500" s="101">
        <v>361</v>
      </c>
      <c r="K500" s="101">
        <v>1231</v>
      </c>
      <c r="L500" s="101">
        <v>37845</v>
      </c>
      <c r="M500" s="101">
        <v>95754.559999999998</v>
      </c>
      <c r="N500" s="101">
        <v>222043.85700000002</v>
      </c>
      <c r="O500" s="101">
        <v>117</v>
      </c>
      <c r="P500" s="101">
        <v>927</v>
      </c>
      <c r="Q500" s="101">
        <v>13510</v>
      </c>
      <c r="R500" s="101">
        <v>111822.2</v>
      </c>
      <c r="S500" s="101">
        <v>44077.381999999998</v>
      </c>
      <c r="T500" s="133">
        <v>1.02</v>
      </c>
      <c r="U500" s="101">
        <f>O500*$T$5+14</f>
        <v>133.34</v>
      </c>
      <c r="V500" s="101">
        <f>P500*$T$5+37</f>
        <v>982.54</v>
      </c>
      <c r="W500" s="101">
        <f>Q500*$T$5+4995</f>
        <v>18775.2</v>
      </c>
      <c r="X500" s="101">
        <f>R500*$T$5+26620</f>
        <v>140678.644</v>
      </c>
      <c r="Y500" s="101">
        <f>S500*$T$5+40043</f>
        <v>85001.929640000002</v>
      </c>
      <c r="AG500" s="225"/>
      <c r="AH500" s="101">
        <v>30000</v>
      </c>
      <c r="AI500" s="101">
        <f t="shared" si="67"/>
        <v>24000</v>
      </c>
      <c r="AJ500" s="101">
        <f t="shared" si="68"/>
        <v>36000</v>
      </c>
    </row>
    <row r="501" spans="1:36" hidden="1" x14ac:dyDescent="0.3">
      <c r="A501" s="126" t="s">
        <v>184</v>
      </c>
      <c r="B501" s="126">
        <v>32</v>
      </c>
      <c r="C501" s="126">
        <v>21</v>
      </c>
      <c r="D501" s="126" t="str">
        <f t="shared" si="61"/>
        <v>3221</v>
      </c>
      <c r="E501" s="101">
        <v>1051.5</v>
      </c>
      <c r="F501" s="101">
        <v>5351</v>
      </c>
      <c r="G501" s="101">
        <v>27973.5</v>
      </c>
      <c r="H501" s="101">
        <v>468678.48500000004</v>
      </c>
      <c r="I501" s="101">
        <v>118741.70600000001</v>
      </c>
      <c r="J501" s="101">
        <v>0</v>
      </c>
      <c r="K501" s="101">
        <v>0</v>
      </c>
      <c r="L501" s="101">
        <v>0</v>
      </c>
      <c r="M501" s="101">
        <v>0</v>
      </c>
      <c r="N501" s="101">
        <v>0</v>
      </c>
      <c r="O501" s="101">
        <v>36</v>
      </c>
      <c r="P501" s="101">
        <v>267</v>
      </c>
      <c r="Q501" s="101">
        <v>14299</v>
      </c>
      <c r="R501" s="101">
        <v>80491.89</v>
      </c>
      <c r="S501" s="101">
        <v>46371.158000000003</v>
      </c>
      <c r="T501" s="133">
        <v>1.02</v>
      </c>
      <c r="U501" s="101">
        <f t="shared" si="62"/>
        <v>36.72</v>
      </c>
      <c r="V501" s="101">
        <f t="shared" si="63"/>
        <v>272.34000000000003</v>
      </c>
      <c r="W501" s="101">
        <f t="shared" si="64"/>
        <v>14584.98</v>
      </c>
      <c r="X501" s="101">
        <f t="shared" si="65"/>
        <v>82101.727800000008</v>
      </c>
      <c r="Y501" s="101">
        <f t="shared" si="66"/>
        <v>47298.581160000002</v>
      </c>
      <c r="AG501" s="225"/>
      <c r="AH501" s="101">
        <v>30000</v>
      </c>
      <c r="AI501" s="101">
        <f t="shared" si="67"/>
        <v>24000</v>
      </c>
      <c r="AJ501" s="101">
        <f t="shared" si="68"/>
        <v>36000</v>
      </c>
    </row>
    <row r="502" spans="1:36" hidden="1" x14ac:dyDescent="0.3">
      <c r="A502" s="126" t="s">
        <v>184</v>
      </c>
      <c r="B502" s="126">
        <v>32</v>
      </c>
      <c r="C502" s="126">
        <v>30</v>
      </c>
      <c r="D502" s="126" t="str">
        <f t="shared" si="61"/>
        <v>3230</v>
      </c>
      <c r="E502" s="101">
        <v>277.5</v>
      </c>
      <c r="F502" s="101">
        <v>4333</v>
      </c>
      <c r="G502" s="101">
        <v>15281.5</v>
      </c>
      <c r="H502" s="101">
        <v>324869.41000000003</v>
      </c>
      <c r="I502" s="101">
        <v>86101.292999999991</v>
      </c>
      <c r="J502" s="101">
        <v>842</v>
      </c>
      <c r="K502" s="101">
        <v>9062</v>
      </c>
      <c r="L502" s="101">
        <v>39944</v>
      </c>
      <c r="M502" s="101">
        <v>1068869.75</v>
      </c>
      <c r="N502" s="101">
        <v>286233.82</v>
      </c>
      <c r="O502" s="101">
        <v>251</v>
      </c>
      <c r="P502" s="101">
        <v>5942</v>
      </c>
      <c r="Q502" s="101">
        <v>22777</v>
      </c>
      <c r="R502" s="101">
        <v>526047.5</v>
      </c>
      <c r="S502" s="101">
        <v>157932.217</v>
      </c>
      <c r="T502" s="133">
        <v>1.02</v>
      </c>
      <c r="U502" s="101">
        <f t="shared" si="62"/>
        <v>256.02</v>
      </c>
      <c r="V502" s="101">
        <f t="shared" si="63"/>
        <v>6060.84</v>
      </c>
      <c r="W502" s="101">
        <f t="shared" si="64"/>
        <v>23232.54</v>
      </c>
      <c r="X502" s="101">
        <f t="shared" si="65"/>
        <v>536568.44999999995</v>
      </c>
      <c r="Y502" s="101">
        <f t="shared" si="66"/>
        <v>161090.86134</v>
      </c>
      <c r="AG502" s="225"/>
      <c r="AH502" s="101">
        <v>30000</v>
      </c>
      <c r="AI502" s="101">
        <f t="shared" si="67"/>
        <v>24000</v>
      </c>
      <c r="AJ502" s="101">
        <f t="shared" si="68"/>
        <v>36000</v>
      </c>
    </row>
    <row r="503" spans="1:36" hidden="1" x14ac:dyDescent="0.3">
      <c r="A503" s="126" t="s">
        <v>184</v>
      </c>
      <c r="B503" s="126">
        <v>32</v>
      </c>
      <c r="C503" s="126">
        <v>71</v>
      </c>
      <c r="D503" s="126" t="str">
        <f t="shared" si="61"/>
        <v>3271</v>
      </c>
      <c r="E503" s="101">
        <v>814</v>
      </c>
      <c r="F503" s="101">
        <v>6362.5</v>
      </c>
      <c r="G503" s="101">
        <v>23884.5</v>
      </c>
      <c r="H503" s="101">
        <v>197539.96</v>
      </c>
      <c r="I503" s="101">
        <v>90406.8315</v>
      </c>
      <c r="J503" s="101">
        <v>697</v>
      </c>
      <c r="K503" s="101">
        <v>11636</v>
      </c>
      <c r="L503" s="101">
        <v>31493</v>
      </c>
      <c r="M503" s="101">
        <v>188799.16999999998</v>
      </c>
      <c r="N503" s="101">
        <v>113961.633</v>
      </c>
      <c r="O503" s="101">
        <v>173</v>
      </c>
      <c r="P503" s="101">
        <v>4610</v>
      </c>
      <c r="Q503" s="101">
        <v>19775</v>
      </c>
      <c r="R503" s="101">
        <v>137596.87</v>
      </c>
      <c r="S503" s="101">
        <v>82029.054000000004</v>
      </c>
      <c r="T503" s="133">
        <v>0.98</v>
      </c>
      <c r="U503" s="101">
        <f t="shared" si="62"/>
        <v>169.54</v>
      </c>
      <c r="V503" s="101">
        <f t="shared" si="63"/>
        <v>4517.8</v>
      </c>
      <c r="W503" s="101">
        <f t="shared" si="64"/>
        <v>19379.5</v>
      </c>
      <c r="X503" s="101">
        <f t="shared" si="65"/>
        <v>134844.9326</v>
      </c>
      <c r="Y503" s="101">
        <f t="shared" si="66"/>
        <v>80388.47292</v>
      </c>
      <c r="AG503" s="225"/>
      <c r="AH503" s="101">
        <v>30000</v>
      </c>
      <c r="AI503" s="101">
        <f t="shared" si="67"/>
        <v>24000</v>
      </c>
      <c r="AJ503" s="101">
        <f t="shared" si="68"/>
        <v>36000</v>
      </c>
    </row>
    <row r="504" spans="1:36" hidden="1" x14ac:dyDescent="0.3">
      <c r="A504" s="126" t="s">
        <v>184</v>
      </c>
      <c r="B504" s="126">
        <v>32</v>
      </c>
      <c r="C504" s="126">
        <v>28</v>
      </c>
      <c r="D504" s="126" t="str">
        <f t="shared" si="61"/>
        <v>3228</v>
      </c>
      <c r="J504" s="101">
        <v>56</v>
      </c>
      <c r="K504" s="101">
        <v>82</v>
      </c>
      <c r="L504" s="101">
        <v>966</v>
      </c>
      <c r="M504" s="101">
        <v>16408.48</v>
      </c>
      <c r="N504" s="101">
        <v>5124.0450000000001</v>
      </c>
      <c r="O504" s="101">
        <v>70</v>
      </c>
      <c r="P504" s="101">
        <v>375</v>
      </c>
      <c r="Q504" s="101">
        <v>9184</v>
      </c>
      <c r="R504" s="101">
        <v>67807.97</v>
      </c>
      <c r="S504" s="101">
        <v>26395.511999999999</v>
      </c>
      <c r="T504" s="133">
        <v>1.02</v>
      </c>
      <c r="U504" s="101">
        <f t="shared" si="62"/>
        <v>71.400000000000006</v>
      </c>
      <c r="V504" s="101">
        <f t="shared" si="63"/>
        <v>382.5</v>
      </c>
      <c r="W504" s="101">
        <f t="shared" si="64"/>
        <v>9367.68</v>
      </c>
      <c r="X504" s="101">
        <f t="shared" si="65"/>
        <v>69164.129400000005</v>
      </c>
      <c r="Y504" s="101">
        <f t="shared" si="66"/>
        <v>26923.42224</v>
      </c>
      <c r="AG504" s="225"/>
      <c r="AH504" s="101"/>
      <c r="AI504" s="101"/>
      <c r="AJ504" s="101"/>
    </row>
    <row r="505" spans="1:36" hidden="1" x14ac:dyDescent="0.3">
      <c r="A505" s="126" t="s">
        <v>184</v>
      </c>
      <c r="B505" s="126">
        <v>32</v>
      </c>
      <c r="C505" s="126">
        <v>46</v>
      </c>
      <c r="D505" s="126" t="str">
        <f t="shared" si="61"/>
        <v>3246</v>
      </c>
      <c r="J505" s="101">
        <v>2</v>
      </c>
      <c r="K505" s="101">
        <v>5</v>
      </c>
      <c r="L505" s="101">
        <v>184</v>
      </c>
      <c r="M505" s="101">
        <v>7470</v>
      </c>
      <c r="N505" s="101">
        <v>280.14600000000002</v>
      </c>
      <c r="O505" s="101">
        <v>12</v>
      </c>
      <c r="P505" s="101">
        <v>16</v>
      </c>
      <c r="Q505" s="101">
        <v>2078</v>
      </c>
      <c r="R505" s="101">
        <v>37346.54</v>
      </c>
      <c r="S505" s="101">
        <v>4234.8850000000002</v>
      </c>
      <c r="T505" s="133">
        <v>1.02</v>
      </c>
      <c r="U505" s="101">
        <f t="shared" si="62"/>
        <v>12.24</v>
      </c>
      <c r="V505" s="101">
        <f t="shared" si="63"/>
        <v>16.32</v>
      </c>
      <c r="W505" s="101">
        <f t="shared" si="64"/>
        <v>2119.56</v>
      </c>
      <c r="X505" s="101">
        <f t="shared" si="65"/>
        <v>38093.470800000003</v>
      </c>
      <c r="Y505" s="101">
        <f t="shared" si="66"/>
        <v>4319.5826999999999</v>
      </c>
      <c r="AG505" s="225"/>
      <c r="AH505" s="101"/>
      <c r="AI505" s="101"/>
      <c r="AJ505" s="101"/>
    </row>
    <row r="506" spans="1:36" hidden="1" x14ac:dyDescent="0.3">
      <c r="A506" s="126" t="s">
        <v>184</v>
      </c>
      <c r="B506" s="126">
        <v>32</v>
      </c>
      <c r="C506" s="126">
        <v>66</v>
      </c>
      <c r="D506" s="126" t="str">
        <f t="shared" si="61"/>
        <v>3266</v>
      </c>
      <c r="J506" s="101">
        <v>4</v>
      </c>
      <c r="K506" s="101">
        <v>6</v>
      </c>
      <c r="L506" s="101">
        <v>183</v>
      </c>
      <c r="M506" s="101">
        <v>1475.8</v>
      </c>
      <c r="N506" s="101">
        <v>1803.3330000000001</v>
      </c>
      <c r="O506" s="101">
        <v>2</v>
      </c>
      <c r="P506" s="101">
        <v>2</v>
      </c>
      <c r="Q506" s="101">
        <v>10</v>
      </c>
      <c r="R506" s="101">
        <v>78.84</v>
      </c>
      <c r="S506" s="101">
        <v>69.301000000000002</v>
      </c>
      <c r="T506" s="133">
        <v>1.02</v>
      </c>
      <c r="U506" s="101">
        <f t="shared" si="62"/>
        <v>2.04</v>
      </c>
      <c r="V506" s="101">
        <f t="shared" si="63"/>
        <v>2.04</v>
      </c>
      <c r="W506" s="101">
        <f t="shared" si="64"/>
        <v>10.199999999999999</v>
      </c>
      <c r="X506" s="101">
        <f t="shared" si="65"/>
        <v>80.416800000000009</v>
      </c>
      <c r="Y506" s="101">
        <f t="shared" si="66"/>
        <v>70.687020000000004</v>
      </c>
      <c r="AG506" s="225"/>
      <c r="AH506" s="101"/>
      <c r="AI506" s="101"/>
      <c r="AJ506" s="101"/>
    </row>
    <row r="507" spans="1:36" x14ac:dyDescent="0.3">
      <c r="A507" s="126" t="s">
        <v>184</v>
      </c>
      <c r="B507" s="126">
        <v>32</v>
      </c>
      <c r="C507" s="126">
        <v>91</v>
      </c>
      <c r="D507" s="126" t="str">
        <f t="shared" si="61"/>
        <v>3291</v>
      </c>
      <c r="J507" s="101">
        <v>8</v>
      </c>
      <c r="K507" s="101">
        <v>23</v>
      </c>
      <c r="L507" s="101">
        <v>109</v>
      </c>
      <c r="M507" s="101">
        <v>271.48</v>
      </c>
      <c r="N507" s="101">
        <v>179.755</v>
      </c>
      <c r="O507" s="101">
        <v>4</v>
      </c>
      <c r="P507" s="101">
        <v>4</v>
      </c>
      <c r="Q507" s="101">
        <v>19</v>
      </c>
      <c r="R507" s="101">
        <v>413.73</v>
      </c>
      <c r="S507" s="101">
        <v>132.726</v>
      </c>
      <c r="T507" s="133">
        <v>1.02</v>
      </c>
      <c r="U507" s="101">
        <f t="shared" si="62"/>
        <v>4.08</v>
      </c>
      <c r="V507" s="101">
        <f t="shared" si="63"/>
        <v>4.08</v>
      </c>
      <c r="W507" s="101">
        <f t="shared" si="64"/>
        <v>19.38</v>
      </c>
      <c r="X507" s="101">
        <f t="shared" si="65"/>
        <v>422.00460000000004</v>
      </c>
      <c r="Y507" s="101">
        <f t="shared" si="66"/>
        <v>135.38051999999999</v>
      </c>
      <c r="AG507" s="225"/>
      <c r="AH507" s="101"/>
      <c r="AI507" s="101"/>
      <c r="AJ507" s="101"/>
    </row>
    <row r="508" spans="1:36" hidden="1" x14ac:dyDescent="0.3">
      <c r="A508" s="126" t="s">
        <v>184</v>
      </c>
      <c r="B508" s="126">
        <v>32</v>
      </c>
      <c r="C508" s="126">
        <v>41</v>
      </c>
      <c r="D508" s="126" t="str">
        <f t="shared" si="61"/>
        <v>3241</v>
      </c>
      <c r="O508" s="101">
        <v>5</v>
      </c>
      <c r="P508" s="101">
        <v>6</v>
      </c>
      <c r="Q508" s="101">
        <v>47</v>
      </c>
      <c r="R508" s="101">
        <v>792.84</v>
      </c>
      <c r="S508" s="101">
        <v>90.126000000000005</v>
      </c>
      <c r="T508" s="133">
        <v>1.02</v>
      </c>
      <c r="U508" s="101">
        <f t="shared" si="62"/>
        <v>5.0999999999999996</v>
      </c>
      <c r="V508" s="101">
        <f t="shared" si="63"/>
        <v>6.12</v>
      </c>
      <c r="W508" s="101">
        <f t="shared" si="64"/>
        <v>47.94</v>
      </c>
      <c r="X508" s="101">
        <f t="shared" si="65"/>
        <v>808.69680000000005</v>
      </c>
      <c r="Y508" s="101">
        <f t="shared" si="66"/>
        <v>91.928520000000006</v>
      </c>
      <c r="AG508" s="225"/>
      <c r="AH508" s="101"/>
      <c r="AI508" s="101"/>
      <c r="AJ508" s="101"/>
    </row>
    <row r="509" spans="1:36" hidden="1" x14ac:dyDescent="0.3">
      <c r="A509" s="126" t="s">
        <v>184</v>
      </c>
      <c r="B509" s="126">
        <v>32</v>
      </c>
      <c r="C509" s="126">
        <v>1</v>
      </c>
      <c r="D509" s="126" t="str">
        <f t="shared" si="61"/>
        <v>321</v>
      </c>
      <c r="J509" s="101">
        <v>179</v>
      </c>
      <c r="K509" s="101">
        <v>179</v>
      </c>
      <c r="L509" s="101">
        <v>100478</v>
      </c>
      <c r="M509" s="101">
        <v>0</v>
      </c>
      <c r="N509" s="101">
        <v>244554</v>
      </c>
      <c r="O509" s="101">
        <v>91</v>
      </c>
      <c r="P509" s="101">
        <v>91</v>
      </c>
      <c r="Q509" s="101">
        <v>22953</v>
      </c>
      <c r="S509" s="101">
        <v>127858</v>
      </c>
      <c r="T509" s="133">
        <v>1.02</v>
      </c>
      <c r="U509" s="101">
        <f t="shared" si="62"/>
        <v>92.820000000000007</v>
      </c>
      <c r="V509" s="101">
        <f t="shared" si="63"/>
        <v>92.820000000000007</v>
      </c>
      <c r="W509" s="101">
        <f t="shared" si="64"/>
        <v>23412.06</v>
      </c>
      <c r="X509" s="101">
        <f t="shared" si="65"/>
        <v>0</v>
      </c>
      <c r="Y509" s="101">
        <f t="shared" si="66"/>
        <v>130415.16</v>
      </c>
      <c r="AG509" s="225"/>
      <c r="AH509" s="101"/>
      <c r="AI509" s="101"/>
      <c r="AJ509" s="101"/>
    </row>
    <row r="510" spans="1:36" hidden="1" x14ac:dyDescent="0.3">
      <c r="A510" s="126" t="s">
        <v>184</v>
      </c>
      <c r="B510" s="126">
        <v>32</v>
      </c>
      <c r="C510" s="126">
        <v>37</v>
      </c>
      <c r="D510" s="126" t="str">
        <f t="shared" si="61"/>
        <v>3237</v>
      </c>
      <c r="E510" s="101">
        <v>7.5</v>
      </c>
      <c r="F510" s="101">
        <v>23.25</v>
      </c>
      <c r="G510" s="101">
        <v>842.25</v>
      </c>
      <c r="H510" s="101">
        <v>5314.2574999999997</v>
      </c>
      <c r="I510" s="101">
        <v>2793.3119999999999</v>
      </c>
      <c r="J510" s="101">
        <v>4</v>
      </c>
      <c r="K510" s="101">
        <v>27</v>
      </c>
      <c r="L510" s="101">
        <v>32429</v>
      </c>
      <c r="M510" s="101">
        <v>31732.18</v>
      </c>
      <c r="N510" s="101">
        <v>18661.052</v>
      </c>
      <c r="O510" s="101">
        <v>7</v>
      </c>
      <c r="P510" s="101">
        <v>14</v>
      </c>
      <c r="Q510" s="101">
        <v>42627</v>
      </c>
      <c r="R510" s="101">
        <v>24929.42</v>
      </c>
      <c r="S510" s="101">
        <v>1349.6</v>
      </c>
      <c r="T510" s="133">
        <v>1.02</v>
      </c>
      <c r="U510" s="101">
        <f t="shared" si="62"/>
        <v>7.1400000000000006</v>
      </c>
      <c r="V510" s="101">
        <f t="shared" si="63"/>
        <v>14.280000000000001</v>
      </c>
      <c r="W510" s="101">
        <f t="shared" si="64"/>
        <v>43479.54</v>
      </c>
      <c r="X510" s="101">
        <f t="shared" si="65"/>
        <v>25428.008399999999</v>
      </c>
      <c r="Y510" s="101">
        <f t="shared" si="66"/>
        <v>1376.5919999999999</v>
      </c>
      <c r="AG510" s="225"/>
      <c r="AH510" s="101">
        <v>30000</v>
      </c>
      <c r="AI510" s="101">
        <f t="shared" si="67"/>
        <v>24000</v>
      </c>
      <c r="AJ510" s="101">
        <f t="shared" si="68"/>
        <v>36000</v>
      </c>
    </row>
    <row r="511" spans="1:36" hidden="1" x14ac:dyDescent="0.3">
      <c r="A511" s="126" t="s">
        <v>184</v>
      </c>
      <c r="B511" s="126">
        <v>33</v>
      </c>
      <c r="C511" s="126">
        <v>22</v>
      </c>
      <c r="D511" s="126" t="str">
        <f t="shared" si="61"/>
        <v>3322</v>
      </c>
      <c r="E511" s="101">
        <v>374</v>
      </c>
      <c r="F511" s="101">
        <v>2846</v>
      </c>
      <c r="G511" s="101">
        <v>26375</v>
      </c>
      <c r="H511" s="101">
        <v>221746.14</v>
      </c>
      <c r="I511" s="101">
        <v>254329.64500000002</v>
      </c>
      <c r="J511" s="101">
        <v>384</v>
      </c>
      <c r="K511" s="101">
        <v>3688</v>
      </c>
      <c r="L511" s="101">
        <v>22616</v>
      </c>
      <c r="M511" s="101">
        <v>124678.05</v>
      </c>
      <c r="N511" s="101">
        <v>69323.195999999996</v>
      </c>
      <c r="O511" s="101">
        <v>395</v>
      </c>
      <c r="P511" s="101">
        <v>2898</v>
      </c>
      <c r="Q511" s="101">
        <v>21891</v>
      </c>
      <c r="R511" s="101">
        <v>127626.78</v>
      </c>
      <c r="S511" s="101">
        <v>83094.065000000002</v>
      </c>
      <c r="T511" s="133">
        <v>1.02</v>
      </c>
      <c r="U511" s="101">
        <f t="shared" si="62"/>
        <v>402.90000000000003</v>
      </c>
      <c r="V511" s="101">
        <f t="shared" si="63"/>
        <v>2955.96</v>
      </c>
      <c r="W511" s="101">
        <f t="shared" si="64"/>
        <v>22328.82</v>
      </c>
      <c r="X511" s="101">
        <f t="shared" si="65"/>
        <v>130179.3156</v>
      </c>
      <c r="Y511" s="101">
        <f t="shared" si="66"/>
        <v>84755.946300000011</v>
      </c>
      <c r="AG511" s="225">
        <f>SUM(V511:V525)</f>
        <v>20682</v>
      </c>
      <c r="AH511" s="101">
        <v>30000</v>
      </c>
      <c r="AI511" s="101">
        <f t="shared" si="67"/>
        <v>24000</v>
      </c>
      <c r="AJ511" s="101">
        <f t="shared" si="68"/>
        <v>36000</v>
      </c>
    </row>
    <row r="512" spans="1:36" hidden="1" x14ac:dyDescent="0.3">
      <c r="A512" s="126" t="s">
        <v>184</v>
      </c>
      <c r="B512" s="126">
        <v>33</v>
      </c>
      <c r="C512" s="126">
        <v>25</v>
      </c>
      <c r="D512" s="126" t="str">
        <f t="shared" si="61"/>
        <v>3325</v>
      </c>
      <c r="E512" s="101">
        <v>175</v>
      </c>
      <c r="F512" s="101">
        <v>1610</v>
      </c>
      <c r="G512" s="101">
        <v>56110</v>
      </c>
      <c r="H512" s="101">
        <v>775136.54</v>
      </c>
      <c r="I512" s="101">
        <v>336688.09500000003</v>
      </c>
      <c r="J512" s="101">
        <v>86</v>
      </c>
      <c r="K512" s="101">
        <v>1081</v>
      </c>
      <c r="L512" s="101">
        <v>26591</v>
      </c>
      <c r="M512" s="101">
        <v>284718.51</v>
      </c>
      <c r="N512" s="101">
        <v>151130.26999999999</v>
      </c>
      <c r="O512" s="101">
        <v>114</v>
      </c>
      <c r="P512" s="101">
        <v>1359</v>
      </c>
      <c r="Q512" s="101">
        <v>22464</v>
      </c>
      <c r="R512" s="101">
        <v>379188.53</v>
      </c>
      <c r="S512" s="101">
        <v>206375.16399999999</v>
      </c>
      <c r="T512" s="133">
        <v>1.02</v>
      </c>
      <c r="U512" s="101">
        <f t="shared" si="62"/>
        <v>116.28</v>
      </c>
      <c r="V512" s="101">
        <f t="shared" si="63"/>
        <v>1386.18</v>
      </c>
      <c r="W512" s="101">
        <f t="shared" si="64"/>
        <v>22913.279999999999</v>
      </c>
      <c r="X512" s="101">
        <f t="shared" si="65"/>
        <v>386772.30060000002</v>
      </c>
      <c r="Y512" s="101">
        <f t="shared" si="66"/>
        <v>210502.66727999999</v>
      </c>
      <c r="AG512" s="225"/>
      <c r="AH512" s="101">
        <v>30000</v>
      </c>
      <c r="AI512" s="101">
        <f t="shared" si="67"/>
        <v>24000</v>
      </c>
      <c r="AJ512" s="101">
        <f t="shared" si="68"/>
        <v>36000</v>
      </c>
    </row>
    <row r="513" spans="1:36" hidden="1" x14ac:dyDescent="0.3">
      <c r="A513" s="126" t="s">
        <v>184</v>
      </c>
      <c r="B513" s="126">
        <v>33</v>
      </c>
      <c r="C513" s="126">
        <v>27</v>
      </c>
      <c r="D513" s="126" t="str">
        <f t="shared" si="61"/>
        <v>3327</v>
      </c>
      <c r="E513" s="101">
        <v>11</v>
      </c>
      <c r="F513" s="101">
        <v>315</v>
      </c>
      <c r="G513" s="101">
        <v>2442</v>
      </c>
      <c r="H513" s="101">
        <v>30659.02</v>
      </c>
      <c r="I513" s="101">
        <v>10049.338000000002</v>
      </c>
      <c r="J513" s="101">
        <v>7</v>
      </c>
      <c r="K513" s="101">
        <v>44</v>
      </c>
      <c r="L513" s="101">
        <v>450</v>
      </c>
      <c r="M513" s="101">
        <v>5998.73</v>
      </c>
      <c r="N513" s="101">
        <v>2879.9160000000002</v>
      </c>
      <c r="O513" s="101">
        <v>3</v>
      </c>
      <c r="P513" s="101">
        <v>32</v>
      </c>
      <c r="Q513" s="101">
        <v>211</v>
      </c>
      <c r="R513" s="101">
        <v>2498.4299999999998</v>
      </c>
      <c r="S513" s="101">
        <v>2128.2130000000002</v>
      </c>
      <c r="T513" s="133">
        <v>1.02</v>
      </c>
      <c r="U513" s="101">
        <f t="shared" si="62"/>
        <v>3.06</v>
      </c>
      <c r="V513" s="101">
        <f t="shared" si="63"/>
        <v>32.64</v>
      </c>
      <c r="W513" s="101">
        <f t="shared" si="64"/>
        <v>215.22</v>
      </c>
      <c r="X513" s="101">
        <f t="shared" si="65"/>
        <v>2548.3986</v>
      </c>
      <c r="Y513" s="101">
        <f t="shared" si="66"/>
        <v>2170.7772600000003</v>
      </c>
      <c r="AG513" s="225"/>
      <c r="AH513" s="101">
        <v>30000</v>
      </c>
      <c r="AI513" s="101">
        <f t="shared" si="67"/>
        <v>24000</v>
      </c>
      <c r="AJ513" s="101">
        <f t="shared" si="68"/>
        <v>36000</v>
      </c>
    </row>
    <row r="514" spans="1:36" hidden="1" x14ac:dyDescent="0.3">
      <c r="A514" s="126" t="s">
        <v>184</v>
      </c>
      <c r="B514" s="126">
        <v>33</v>
      </c>
      <c r="C514" s="126">
        <v>26</v>
      </c>
      <c r="D514" s="126" t="str">
        <f t="shared" si="61"/>
        <v>3326</v>
      </c>
      <c r="E514" s="101">
        <v>81</v>
      </c>
      <c r="F514" s="101">
        <v>2718</v>
      </c>
      <c r="G514" s="101">
        <v>67259</v>
      </c>
      <c r="H514" s="101">
        <v>506547.12000000005</v>
      </c>
      <c r="I514" s="101">
        <v>172882.223</v>
      </c>
      <c r="J514" s="101">
        <v>49</v>
      </c>
      <c r="K514" s="101">
        <v>1162</v>
      </c>
      <c r="L514" s="101">
        <v>15574</v>
      </c>
      <c r="M514" s="101">
        <v>215311.71</v>
      </c>
      <c r="N514" s="101">
        <v>92235.218000000008</v>
      </c>
      <c r="O514" s="101">
        <v>17</v>
      </c>
      <c r="P514" s="101">
        <v>529</v>
      </c>
      <c r="Q514" s="101">
        <v>5562</v>
      </c>
      <c r="R514" s="101">
        <v>75915.83</v>
      </c>
      <c r="S514" s="101">
        <v>25243.898000000001</v>
      </c>
      <c r="T514" s="133">
        <v>1.02</v>
      </c>
      <c r="U514" s="101">
        <f t="shared" si="62"/>
        <v>17.34</v>
      </c>
      <c r="V514" s="101">
        <f t="shared" si="63"/>
        <v>539.58000000000004</v>
      </c>
      <c r="W514" s="101">
        <f t="shared" si="64"/>
        <v>5673.24</v>
      </c>
      <c r="X514" s="101">
        <f t="shared" si="65"/>
        <v>77434.146600000007</v>
      </c>
      <c r="Y514" s="101">
        <f t="shared" si="66"/>
        <v>25748.775960000003</v>
      </c>
      <c r="AG514" s="225"/>
      <c r="AH514" s="101">
        <v>30000</v>
      </c>
      <c r="AI514" s="101">
        <f t="shared" si="67"/>
        <v>24000</v>
      </c>
      <c r="AJ514" s="101">
        <f t="shared" si="68"/>
        <v>36000</v>
      </c>
    </row>
    <row r="515" spans="1:36" hidden="1" x14ac:dyDescent="0.3">
      <c r="A515" s="126" t="s">
        <v>184</v>
      </c>
      <c r="B515" s="126">
        <v>33</v>
      </c>
      <c r="C515" s="126">
        <v>32</v>
      </c>
      <c r="D515" s="126" t="str">
        <f t="shared" si="61"/>
        <v>3332</v>
      </c>
      <c r="E515" s="101">
        <v>500</v>
      </c>
      <c r="F515" s="101">
        <v>1726</v>
      </c>
      <c r="G515" s="101">
        <v>50929</v>
      </c>
      <c r="H515" s="101">
        <v>398389.27</v>
      </c>
      <c r="I515" s="101">
        <v>166710.96600000001</v>
      </c>
      <c r="J515" s="101">
        <v>251</v>
      </c>
      <c r="K515" s="101">
        <v>789</v>
      </c>
      <c r="L515" s="101">
        <v>26105</v>
      </c>
      <c r="M515" s="101">
        <v>141003.41</v>
      </c>
      <c r="N515" s="101">
        <v>69198.972999999998</v>
      </c>
      <c r="O515" s="101">
        <v>195</v>
      </c>
      <c r="P515" s="101">
        <v>1270</v>
      </c>
      <c r="Q515" s="101">
        <v>20184</v>
      </c>
      <c r="R515" s="101">
        <v>168823.05</v>
      </c>
      <c r="S515" s="101">
        <v>61986.858999999997</v>
      </c>
      <c r="T515" s="133">
        <v>1.02</v>
      </c>
      <c r="U515" s="101">
        <f>O515*$T$5+8</f>
        <v>206.9</v>
      </c>
      <c r="V515" s="101">
        <f>P515*$T$5+47</f>
        <v>1342.4</v>
      </c>
      <c r="W515" s="101">
        <f>Q515*$T$5+4230</f>
        <v>24817.68</v>
      </c>
      <c r="X515" s="101">
        <f>R515*$T$5+26384</f>
        <v>198583.511</v>
      </c>
      <c r="Y515" s="101">
        <f>S515*$T$5+14719</f>
        <v>77945.596179999993</v>
      </c>
      <c r="AG515" s="225"/>
      <c r="AH515" s="101">
        <v>30000</v>
      </c>
      <c r="AI515" s="101">
        <f t="shared" si="67"/>
        <v>24000</v>
      </c>
      <c r="AJ515" s="101">
        <f t="shared" si="68"/>
        <v>36000</v>
      </c>
    </row>
    <row r="516" spans="1:36" hidden="1" x14ac:dyDescent="0.3">
      <c r="A516" s="126" t="s">
        <v>184</v>
      </c>
      <c r="B516" s="126">
        <v>33</v>
      </c>
      <c r="C516" s="126">
        <v>21</v>
      </c>
      <c r="D516" s="126" t="str">
        <f t="shared" ref="D516:D631" si="69">CONCATENATE(B516,C516)</f>
        <v>3321</v>
      </c>
      <c r="E516" s="101">
        <v>801.5</v>
      </c>
      <c r="F516" s="101">
        <v>5406</v>
      </c>
      <c r="G516" s="101">
        <v>23611.5</v>
      </c>
      <c r="H516" s="101">
        <v>381212.4</v>
      </c>
      <c r="I516" s="101">
        <v>95359.756499999989</v>
      </c>
      <c r="J516" s="101">
        <v>0</v>
      </c>
      <c r="K516" s="101">
        <v>0</v>
      </c>
      <c r="L516" s="101">
        <v>0</v>
      </c>
      <c r="M516" s="101">
        <v>0</v>
      </c>
      <c r="N516" s="101">
        <v>0</v>
      </c>
      <c r="O516" s="101">
        <v>39</v>
      </c>
      <c r="P516" s="101">
        <v>281</v>
      </c>
      <c r="Q516" s="101">
        <v>3235</v>
      </c>
      <c r="R516" s="101">
        <v>36221.919999999998</v>
      </c>
      <c r="S516" s="101">
        <v>15739.396000000001</v>
      </c>
      <c r="T516" s="133">
        <v>1.02</v>
      </c>
      <c r="U516" s="101">
        <f t="shared" si="62"/>
        <v>39.78</v>
      </c>
      <c r="V516" s="101">
        <f t="shared" si="63"/>
        <v>286.62</v>
      </c>
      <c r="W516" s="101">
        <f t="shared" si="64"/>
        <v>3299.7000000000003</v>
      </c>
      <c r="X516" s="101">
        <f t="shared" si="65"/>
        <v>36946.358399999997</v>
      </c>
      <c r="Y516" s="101">
        <f t="shared" si="66"/>
        <v>16054.183920000001</v>
      </c>
      <c r="AG516" s="225"/>
      <c r="AH516" s="101">
        <v>30000</v>
      </c>
      <c r="AI516" s="101">
        <f t="shared" si="67"/>
        <v>24000</v>
      </c>
      <c r="AJ516" s="101">
        <f t="shared" si="68"/>
        <v>36000</v>
      </c>
    </row>
    <row r="517" spans="1:36" hidden="1" x14ac:dyDescent="0.3">
      <c r="A517" s="126" t="s">
        <v>184</v>
      </c>
      <c r="B517" s="126">
        <v>33</v>
      </c>
      <c r="C517" s="126">
        <v>30</v>
      </c>
      <c r="D517" s="126" t="str">
        <f t="shared" si="69"/>
        <v>3330</v>
      </c>
      <c r="E517" s="101">
        <v>287.5</v>
      </c>
      <c r="F517" s="101">
        <v>4942.5</v>
      </c>
      <c r="G517" s="101">
        <v>22157.5</v>
      </c>
      <c r="H517" s="101">
        <v>516751.74500000005</v>
      </c>
      <c r="I517" s="101">
        <v>188375.78099999999</v>
      </c>
      <c r="J517" s="101">
        <v>380</v>
      </c>
      <c r="K517" s="101">
        <v>6720</v>
      </c>
      <c r="L517" s="101">
        <v>30689</v>
      </c>
      <c r="M517" s="101">
        <v>969694.9</v>
      </c>
      <c r="N517" s="101">
        <v>322178.32500000001</v>
      </c>
      <c r="O517" s="101">
        <v>384</v>
      </c>
      <c r="P517" s="101">
        <v>7290</v>
      </c>
      <c r="Q517" s="101">
        <v>28790</v>
      </c>
      <c r="R517" s="101">
        <v>721796.35</v>
      </c>
      <c r="S517" s="101">
        <v>226524.93100000001</v>
      </c>
      <c r="T517" s="133">
        <v>1.02</v>
      </c>
      <c r="U517" s="101">
        <f t="shared" si="62"/>
        <v>391.68</v>
      </c>
      <c r="V517" s="101">
        <f t="shared" si="63"/>
        <v>7435.8</v>
      </c>
      <c r="W517" s="101">
        <f t="shared" si="64"/>
        <v>29365.8</v>
      </c>
      <c r="X517" s="101">
        <f t="shared" si="65"/>
        <v>736232.277</v>
      </c>
      <c r="Y517" s="101">
        <f t="shared" si="66"/>
        <v>231055.42962000001</v>
      </c>
      <c r="AG517" s="225"/>
      <c r="AH517" s="101">
        <v>30000</v>
      </c>
      <c r="AI517" s="101">
        <f t="shared" si="67"/>
        <v>24000</v>
      </c>
      <c r="AJ517" s="101">
        <f t="shared" si="68"/>
        <v>36000</v>
      </c>
    </row>
    <row r="518" spans="1:36" hidden="1" x14ac:dyDescent="0.3">
      <c r="A518" s="126" t="s">
        <v>184</v>
      </c>
      <c r="B518" s="126">
        <v>33</v>
      </c>
      <c r="C518" s="126">
        <v>71</v>
      </c>
      <c r="D518" s="126" t="str">
        <f t="shared" si="69"/>
        <v>3371</v>
      </c>
      <c r="E518" s="101">
        <v>555</v>
      </c>
      <c r="F518" s="101">
        <v>4256</v>
      </c>
      <c r="G518" s="101">
        <v>18664.5</v>
      </c>
      <c r="H518" s="101">
        <v>98747.31</v>
      </c>
      <c r="I518" s="101">
        <v>50816.758000000002</v>
      </c>
      <c r="J518" s="101">
        <v>587</v>
      </c>
      <c r="K518" s="101">
        <v>6360</v>
      </c>
      <c r="L518" s="101">
        <v>16821</v>
      </c>
      <c r="M518" s="101">
        <v>146568.98000000001</v>
      </c>
      <c r="N518" s="101">
        <v>86454.171000000002</v>
      </c>
      <c r="O518" s="101">
        <v>188</v>
      </c>
      <c r="P518" s="101">
        <v>6569</v>
      </c>
      <c r="Q518" s="101">
        <v>27628</v>
      </c>
      <c r="R518" s="101">
        <v>169182.3</v>
      </c>
      <c r="S518" s="101">
        <v>99376.339000000007</v>
      </c>
      <c r="T518" s="133">
        <v>0.98</v>
      </c>
      <c r="U518" s="101">
        <f t="shared" ref="U518:U578" si="70">O518*T518</f>
        <v>184.24</v>
      </c>
      <c r="V518" s="101">
        <f t="shared" ref="V518:V578" si="71">P518*T518</f>
        <v>6437.62</v>
      </c>
      <c r="W518" s="101">
        <f t="shared" ref="W518:W578" si="72">Q518*T518</f>
        <v>27075.439999999999</v>
      </c>
      <c r="X518" s="101">
        <f t="shared" ref="X518:X581" si="73">R518*T518</f>
        <v>165798.65399999998</v>
      </c>
      <c r="Y518" s="101">
        <f t="shared" ref="Y518:Y578" si="74">S518*T518</f>
        <v>97388.812220000007</v>
      </c>
      <c r="AG518" s="225"/>
      <c r="AH518" s="101">
        <v>30000</v>
      </c>
      <c r="AI518" s="101">
        <f t="shared" si="67"/>
        <v>24000</v>
      </c>
      <c r="AJ518" s="101">
        <f t="shared" si="68"/>
        <v>36000</v>
      </c>
    </row>
    <row r="519" spans="1:36" hidden="1" x14ac:dyDescent="0.3">
      <c r="A519" s="126" t="s">
        <v>184</v>
      </c>
      <c r="B519" s="126">
        <v>33</v>
      </c>
      <c r="C519" s="126">
        <v>28</v>
      </c>
      <c r="D519" s="126" t="str">
        <f t="shared" si="69"/>
        <v>3328</v>
      </c>
      <c r="J519" s="101">
        <v>56</v>
      </c>
      <c r="K519" s="101">
        <v>87</v>
      </c>
      <c r="L519" s="101">
        <v>1114</v>
      </c>
      <c r="M519" s="101">
        <v>21844.03</v>
      </c>
      <c r="N519" s="101">
        <v>6647.7989999999991</v>
      </c>
      <c r="O519" s="101">
        <v>31</v>
      </c>
      <c r="P519" s="101">
        <v>100</v>
      </c>
      <c r="Q519" s="101">
        <v>1047</v>
      </c>
      <c r="R519" s="101">
        <v>15734.94</v>
      </c>
      <c r="S519" s="101">
        <v>4116.5280000000002</v>
      </c>
      <c r="T519" s="133">
        <v>1.02</v>
      </c>
      <c r="U519" s="101">
        <f t="shared" si="70"/>
        <v>31.62</v>
      </c>
      <c r="V519" s="101">
        <f t="shared" si="71"/>
        <v>102</v>
      </c>
      <c r="W519" s="101">
        <f t="shared" si="72"/>
        <v>1067.94</v>
      </c>
      <c r="X519" s="101">
        <f t="shared" si="73"/>
        <v>16049.638800000001</v>
      </c>
      <c r="Y519" s="101">
        <f t="shared" si="74"/>
        <v>4198.8585600000006</v>
      </c>
      <c r="AG519" s="225"/>
      <c r="AH519" s="101"/>
      <c r="AI519" s="101"/>
      <c r="AJ519" s="101"/>
    </row>
    <row r="520" spans="1:36" hidden="1" x14ac:dyDescent="0.3">
      <c r="A520" s="126" t="s">
        <v>184</v>
      </c>
      <c r="B520" s="126">
        <v>33</v>
      </c>
      <c r="C520" s="126">
        <v>46</v>
      </c>
      <c r="D520" s="126" t="str">
        <f t="shared" si="69"/>
        <v>3346</v>
      </c>
      <c r="J520" s="101">
        <v>10</v>
      </c>
      <c r="K520" s="101">
        <v>15</v>
      </c>
      <c r="L520" s="101">
        <v>1217</v>
      </c>
      <c r="M520" s="101">
        <v>3455.3199999999997</v>
      </c>
      <c r="N520" s="101">
        <v>234.73599999999999</v>
      </c>
      <c r="O520" s="101">
        <v>7</v>
      </c>
      <c r="P520" s="101">
        <v>10</v>
      </c>
      <c r="Q520" s="101">
        <v>35</v>
      </c>
      <c r="R520" s="101">
        <v>882.81</v>
      </c>
      <c r="S520" s="101">
        <v>93.44</v>
      </c>
      <c r="T520" s="133">
        <v>1.02</v>
      </c>
      <c r="U520" s="101">
        <f t="shared" si="70"/>
        <v>7.1400000000000006</v>
      </c>
      <c r="V520" s="101">
        <f t="shared" si="71"/>
        <v>10.199999999999999</v>
      </c>
      <c r="W520" s="101">
        <f t="shared" si="72"/>
        <v>35.700000000000003</v>
      </c>
      <c r="X520" s="101">
        <f t="shared" si="73"/>
        <v>900.46619999999996</v>
      </c>
      <c r="Y520" s="101">
        <f t="shared" si="74"/>
        <v>95.308800000000005</v>
      </c>
      <c r="AG520" s="225"/>
      <c r="AH520" s="101"/>
      <c r="AI520" s="101"/>
      <c r="AJ520" s="101"/>
    </row>
    <row r="521" spans="1:36" hidden="1" x14ac:dyDescent="0.3">
      <c r="A521" s="126" t="s">
        <v>184</v>
      </c>
      <c r="B521" s="126">
        <v>33</v>
      </c>
      <c r="C521" s="126">
        <v>66</v>
      </c>
      <c r="D521" s="126" t="str">
        <f t="shared" si="69"/>
        <v>3366</v>
      </c>
      <c r="J521" s="101">
        <v>18</v>
      </c>
      <c r="K521" s="101">
        <v>27</v>
      </c>
      <c r="L521" s="101">
        <v>824</v>
      </c>
      <c r="M521" s="101">
        <v>13378.720000000001</v>
      </c>
      <c r="N521" s="101">
        <v>5682.2729999999992</v>
      </c>
      <c r="O521" s="101">
        <v>10</v>
      </c>
      <c r="P521" s="101">
        <v>15</v>
      </c>
      <c r="Q521" s="101">
        <v>475</v>
      </c>
      <c r="R521" s="101">
        <v>4645.93</v>
      </c>
      <c r="S521" s="101">
        <v>5450.7439999999997</v>
      </c>
      <c r="T521" s="133">
        <v>1.02</v>
      </c>
      <c r="U521" s="101">
        <f t="shared" si="70"/>
        <v>10.199999999999999</v>
      </c>
      <c r="V521" s="101">
        <f t="shared" si="71"/>
        <v>15.3</v>
      </c>
      <c r="W521" s="101">
        <f t="shared" si="72"/>
        <v>484.5</v>
      </c>
      <c r="X521" s="101">
        <f t="shared" si="73"/>
        <v>4738.8486000000003</v>
      </c>
      <c r="Y521" s="101">
        <f t="shared" si="74"/>
        <v>5559.7588799999994</v>
      </c>
      <c r="AG521" s="225"/>
      <c r="AH521" s="101"/>
      <c r="AI521" s="101"/>
      <c r="AJ521" s="101"/>
    </row>
    <row r="522" spans="1:36" x14ac:dyDescent="0.3">
      <c r="A522" s="126" t="s">
        <v>184</v>
      </c>
      <c r="B522" s="126">
        <v>33</v>
      </c>
      <c r="C522" s="126">
        <v>91</v>
      </c>
      <c r="D522" s="126" t="str">
        <f t="shared" si="69"/>
        <v>3391</v>
      </c>
      <c r="J522" s="101">
        <v>5</v>
      </c>
      <c r="K522" s="101">
        <v>7</v>
      </c>
      <c r="L522" s="101">
        <v>10</v>
      </c>
      <c r="M522" s="101">
        <v>70.59</v>
      </c>
      <c r="N522" s="101">
        <v>32.684000000000005</v>
      </c>
      <c r="O522" s="101">
        <v>6</v>
      </c>
      <c r="P522" s="101">
        <v>21</v>
      </c>
      <c r="Q522" s="101">
        <v>250</v>
      </c>
      <c r="R522" s="101">
        <v>904.5</v>
      </c>
      <c r="S522" s="101">
        <v>1313.97</v>
      </c>
      <c r="T522" s="133">
        <v>1.02</v>
      </c>
      <c r="U522" s="101">
        <f t="shared" si="70"/>
        <v>6.12</v>
      </c>
      <c r="V522" s="101">
        <f t="shared" si="71"/>
        <v>21.42</v>
      </c>
      <c r="W522" s="101">
        <f t="shared" si="72"/>
        <v>255</v>
      </c>
      <c r="X522" s="101">
        <f t="shared" si="73"/>
        <v>922.59</v>
      </c>
      <c r="Y522" s="101">
        <f t="shared" si="74"/>
        <v>1340.2494000000002</v>
      </c>
      <c r="AG522" s="225"/>
      <c r="AH522" s="101"/>
      <c r="AI522" s="101"/>
      <c r="AJ522" s="101"/>
    </row>
    <row r="523" spans="1:36" hidden="1" x14ac:dyDescent="0.3">
      <c r="A523" s="126" t="s">
        <v>184</v>
      </c>
      <c r="B523" s="126">
        <v>33</v>
      </c>
      <c r="C523" s="126">
        <v>41</v>
      </c>
      <c r="D523" s="126" t="str">
        <f t="shared" si="69"/>
        <v>3341</v>
      </c>
      <c r="O523" s="101">
        <v>9</v>
      </c>
      <c r="P523" s="101">
        <v>25</v>
      </c>
      <c r="Q523" s="101">
        <v>324</v>
      </c>
      <c r="R523" s="101">
        <v>2032.96</v>
      </c>
      <c r="S523" s="101">
        <v>654.40700000000004</v>
      </c>
      <c r="T523" s="133">
        <v>1.02</v>
      </c>
      <c r="U523" s="101">
        <f t="shared" si="70"/>
        <v>9.18</v>
      </c>
      <c r="V523" s="101">
        <f t="shared" si="71"/>
        <v>25.5</v>
      </c>
      <c r="W523" s="101">
        <f t="shared" si="72"/>
        <v>330.48</v>
      </c>
      <c r="X523" s="101">
        <f t="shared" si="73"/>
        <v>2073.6192000000001</v>
      </c>
      <c r="Y523" s="101">
        <f t="shared" si="74"/>
        <v>667.49514000000011</v>
      </c>
      <c r="AG523" s="225"/>
      <c r="AH523" s="101"/>
      <c r="AI523" s="101"/>
      <c r="AJ523" s="101"/>
    </row>
    <row r="524" spans="1:36" hidden="1" x14ac:dyDescent="0.3">
      <c r="A524" s="126" t="s">
        <v>184</v>
      </c>
      <c r="B524" s="126">
        <v>33</v>
      </c>
      <c r="C524" s="126">
        <v>1</v>
      </c>
      <c r="D524" s="126" t="str">
        <f t="shared" si="69"/>
        <v>331</v>
      </c>
      <c r="J524" s="101">
        <v>174</v>
      </c>
      <c r="K524" s="101">
        <v>174</v>
      </c>
      <c r="L524" s="101">
        <v>86681</v>
      </c>
      <c r="M524" s="101">
        <v>0</v>
      </c>
      <c r="N524" s="101">
        <v>258156</v>
      </c>
      <c r="O524" s="101">
        <v>77</v>
      </c>
      <c r="P524" s="101">
        <v>77</v>
      </c>
      <c r="Q524" s="101">
        <v>18231</v>
      </c>
      <c r="S524" s="101">
        <v>83046</v>
      </c>
      <c r="T524" s="133">
        <v>1.02</v>
      </c>
      <c r="U524" s="101">
        <f t="shared" si="70"/>
        <v>78.540000000000006</v>
      </c>
      <c r="V524" s="101">
        <f t="shared" si="71"/>
        <v>78.540000000000006</v>
      </c>
      <c r="W524" s="101">
        <f t="shared" si="72"/>
        <v>18595.62</v>
      </c>
      <c r="X524" s="101">
        <f t="shared" si="73"/>
        <v>0</v>
      </c>
      <c r="Y524" s="101">
        <f t="shared" si="74"/>
        <v>84706.92</v>
      </c>
      <c r="AG524" s="225"/>
      <c r="AH524" s="101"/>
      <c r="AI524" s="101"/>
      <c r="AJ524" s="101"/>
    </row>
    <row r="525" spans="1:36" hidden="1" x14ac:dyDescent="0.3">
      <c r="A525" s="126" t="s">
        <v>184</v>
      </c>
      <c r="B525" s="126">
        <v>33</v>
      </c>
      <c r="C525" s="126">
        <v>37</v>
      </c>
      <c r="D525" s="126" t="str">
        <f t="shared" si="69"/>
        <v>3337</v>
      </c>
      <c r="E525" s="101">
        <v>6.5</v>
      </c>
      <c r="F525" s="101">
        <v>0</v>
      </c>
      <c r="G525" s="101">
        <v>0</v>
      </c>
      <c r="H525" s="101">
        <v>5442.875</v>
      </c>
      <c r="I525" s="101">
        <v>7291.5437499999998</v>
      </c>
      <c r="J525" s="101">
        <v>1</v>
      </c>
      <c r="K525" s="101">
        <v>5</v>
      </c>
      <c r="L525" s="101">
        <v>7935</v>
      </c>
      <c r="M525" s="101">
        <v>3873.55</v>
      </c>
      <c r="N525" s="101">
        <v>192.369</v>
      </c>
      <c r="O525" s="101">
        <v>3</v>
      </c>
      <c r="P525" s="101">
        <v>12</v>
      </c>
      <c r="Q525" s="101">
        <v>100775</v>
      </c>
      <c r="R525" s="101">
        <v>44967.54</v>
      </c>
      <c r="S525" s="101">
        <v>13473.449000000001</v>
      </c>
      <c r="T525" s="133">
        <v>1.02</v>
      </c>
      <c r="U525" s="101">
        <f t="shared" si="70"/>
        <v>3.06</v>
      </c>
      <c r="V525" s="101">
        <f t="shared" si="71"/>
        <v>12.24</v>
      </c>
      <c r="W525" s="101">
        <f t="shared" si="72"/>
        <v>102790.5</v>
      </c>
      <c r="X525" s="101">
        <f t="shared" si="73"/>
        <v>45866.890800000001</v>
      </c>
      <c r="Y525" s="101">
        <f t="shared" si="74"/>
        <v>13742.91798</v>
      </c>
      <c r="AG525" s="225"/>
      <c r="AH525" s="101">
        <v>30000</v>
      </c>
      <c r="AI525" s="101">
        <f t="shared" si="67"/>
        <v>24000</v>
      </c>
      <c r="AJ525" s="101">
        <f t="shared" si="68"/>
        <v>36000</v>
      </c>
    </row>
    <row r="526" spans="1:36" hidden="1" x14ac:dyDescent="0.3">
      <c r="A526" s="126" t="s">
        <v>184</v>
      </c>
      <c r="B526" s="126">
        <v>34</v>
      </c>
      <c r="C526" s="126">
        <v>22</v>
      </c>
      <c r="D526" s="126" t="str">
        <f t="shared" si="69"/>
        <v>3422</v>
      </c>
      <c r="E526" s="101">
        <v>480</v>
      </c>
      <c r="F526" s="101">
        <v>4348</v>
      </c>
      <c r="G526" s="101">
        <v>46628</v>
      </c>
      <c r="H526" s="101">
        <v>158324.88</v>
      </c>
      <c r="I526" s="101">
        <v>134420.39199999999</v>
      </c>
      <c r="J526" s="101">
        <v>514</v>
      </c>
      <c r="K526" s="101">
        <v>4398</v>
      </c>
      <c r="L526" s="101">
        <v>32072</v>
      </c>
      <c r="M526" s="101">
        <v>205763.9</v>
      </c>
      <c r="N526" s="101">
        <v>145856.755</v>
      </c>
      <c r="O526" s="101">
        <v>342</v>
      </c>
      <c r="P526" s="101">
        <v>2391</v>
      </c>
      <c r="Q526" s="101">
        <v>21267</v>
      </c>
      <c r="R526" s="101">
        <v>91639.6</v>
      </c>
      <c r="S526" s="101">
        <v>57202.514999999999</v>
      </c>
      <c r="T526" s="133">
        <v>1.02</v>
      </c>
      <c r="U526" s="101">
        <f t="shared" si="70"/>
        <v>348.84000000000003</v>
      </c>
      <c r="V526" s="101">
        <f t="shared" si="71"/>
        <v>2438.8200000000002</v>
      </c>
      <c r="W526" s="101">
        <f t="shared" si="72"/>
        <v>21692.34</v>
      </c>
      <c r="X526" s="101">
        <f t="shared" si="73"/>
        <v>93472.392000000007</v>
      </c>
      <c r="Y526" s="101">
        <f t="shared" si="74"/>
        <v>58346.565300000002</v>
      </c>
      <c r="AG526" s="225">
        <f>SUM(V526:V541)</f>
        <v>22265.7</v>
      </c>
      <c r="AH526" s="101">
        <v>30000</v>
      </c>
      <c r="AI526" s="101">
        <f t="shared" si="67"/>
        <v>24000</v>
      </c>
      <c r="AJ526" s="101">
        <f t="shared" si="68"/>
        <v>36000</v>
      </c>
    </row>
    <row r="527" spans="1:36" hidden="1" x14ac:dyDescent="0.3">
      <c r="A527" s="126" t="s">
        <v>184</v>
      </c>
      <c r="B527" s="126">
        <v>34</v>
      </c>
      <c r="C527" s="126">
        <v>12</v>
      </c>
      <c r="D527" s="126" t="str">
        <f t="shared" si="69"/>
        <v>3412</v>
      </c>
      <c r="J527" s="101">
        <v>3</v>
      </c>
      <c r="K527" s="101">
        <v>3</v>
      </c>
      <c r="L527" s="101">
        <v>3</v>
      </c>
      <c r="M527" s="101">
        <v>315.68</v>
      </c>
      <c r="N527" s="101">
        <v>59.85</v>
      </c>
      <c r="O527" s="101">
        <v>0</v>
      </c>
      <c r="P527" s="101">
        <v>0</v>
      </c>
      <c r="Q527" s="101">
        <v>0</v>
      </c>
      <c r="R527" s="101">
        <v>0</v>
      </c>
      <c r="S527" s="101">
        <v>0</v>
      </c>
      <c r="T527" s="133">
        <v>1.02</v>
      </c>
      <c r="U527" s="101">
        <f t="shared" si="70"/>
        <v>0</v>
      </c>
      <c r="V527" s="101">
        <f t="shared" si="71"/>
        <v>0</v>
      </c>
      <c r="W527" s="101">
        <f t="shared" si="72"/>
        <v>0</v>
      </c>
      <c r="X527" s="101">
        <f t="shared" si="73"/>
        <v>0</v>
      </c>
      <c r="Y527" s="101">
        <f t="shared" si="74"/>
        <v>0</v>
      </c>
      <c r="AG527" s="225"/>
      <c r="AH527" s="101"/>
      <c r="AI527" s="101"/>
      <c r="AJ527" s="101"/>
    </row>
    <row r="528" spans="1:36" hidden="1" x14ac:dyDescent="0.3">
      <c r="A528" s="126" t="s">
        <v>184</v>
      </c>
      <c r="B528" s="126">
        <v>34</v>
      </c>
      <c r="C528" s="126">
        <v>28</v>
      </c>
      <c r="D528" s="126" t="str">
        <f t="shared" si="69"/>
        <v>3428</v>
      </c>
      <c r="J528" s="101">
        <v>39</v>
      </c>
      <c r="K528" s="101">
        <v>58</v>
      </c>
      <c r="L528" s="101">
        <v>809</v>
      </c>
      <c r="M528" s="101">
        <v>26166.73</v>
      </c>
      <c r="N528" s="101">
        <v>6975.0889999999999</v>
      </c>
      <c r="O528" s="101">
        <v>62</v>
      </c>
      <c r="P528" s="101">
        <v>186</v>
      </c>
      <c r="Q528" s="101">
        <v>3577</v>
      </c>
      <c r="R528" s="101">
        <v>79644.95</v>
      </c>
      <c r="S528" s="101">
        <v>26246.206999999999</v>
      </c>
      <c r="T528" s="133">
        <v>1.02</v>
      </c>
      <c r="U528" s="101">
        <f t="shared" si="70"/>
        <v>63.24</v>
      </c>
      <c r="V528" s="101">
        <f t="shared" si="71"/>
        <v>189.72</v>
      </c>
      <c r="W528" s="101">
        <f t="shared" si="72"/>
        <v>3648.54</v>
      </c>
      <c r="X528" s="101">
        <f t="shared" si="73"/>
        <v>81237.849000000002</v>
      </c>
      <c r="Y528" s="101">
        <f t="shared" si="74"/>
        <v>26771.131139999998</v>
      </c>
      <c r="AG528" s="225"/>
      <c r="AH528" s="101"/>
      <c r="AI528" s="101"/>
      <c r="AJ528" s="101"/>
    </row>
    <row r="529" spans="1:36" hidden="1" x14ac:dyDescent="0.3">
      <c r="A529" s="126" t="s">
        <v>184</v>
      </c>
      <c r="B529" s="126">
        <v>34</v>
      </c>
      <c r="C529" s="126">
        <v>41</v>
      </c>
      <c r="D529" s="126" t="str">
        <f t="shared" si="69"/>
        <v>3441</v>
      </c>
      <c r="J529" s="101">
        <v>8</v>
      </c>
      <c r="K529" s="101">
        <v>24</v>
      </c>
      <c r="L529" s="101">
        <v>355</v>
      </c>
      <c r="M529" s="101">
        <v>1992.4</v>
      </c>
      <c r="N529" s="101">
        <v>641.35</v>
      </c>
      <c r="O529" s="101">
        <v>3</v>
      </c>
      <c r="P529" s="101">
        <v>11</v>
      </c>
      <c r="Q529" s="101">
        <v>147</v>
      </c>
      <c r="R529" s="101">
        <v>920.06</v>
      </c>
      <c r="S529" s="101">
        <v>181.672</v>
      </c>
      <c r="T529" s="133">
        <v>1.02</v>
      </c>
      <c r="U529" s="101">
        <f t="shared" si="70"/>
        <v>3.06</v>
      </c>
      <c r="V529" s="101">
        <f t="shared" si="71"/>
        <v>11.22</v>
      </c>
      <c r="W529" s="101">
        <f t="shared" si="72"/>
        <v>149.94</v>
      </c>
      <c r="X529" s="101">
        <f t="shared" si="73"/>
        <v>938.46119999999996</v>
      </c>
      <c r="Y529" s="101">
        <f t="shared" si="74"/>
        <v>185.30544</v>
      </c>
      <c r="AG529" s="225"/>
      <c r="AH529" s="101"/>
      <c r="AI529" s="101"/>
      <c r="AJ529" s="101"/>
    </row>
    <row r="530" spans="1:36" hidden="1" x14ac:dyDescent="0.3">
      <c r="A530" s="126" t="s">
        <v>184</v>
      </c>
      <c r="B530" s="126">
        <v>34</v>
      </c>
      <c r="C530" s="126">
        <v>46</v>
      </c>
      <c r="D530" s="126" t="str">
        <f t="shared" si="69"/>
        <v>3446</v>
      </c>
      <c r="J530" s="101">
        <v>7</v>
      </c>
      <c r="K530" s="101">
        <v>7</v>
      </c>
      <c r="L530" s="101">
        <v>922</v>
      </c>
      <c r="M530" s="101">
        <v>8275.1</v>
      </c>
      <c r="N530" s="101">
        <v>595.15</v>
      </c>
      <c r="O530" s="101">
        <v>8</v>
      </c>
      <c r="P530" s="101">
        <v>9</v>
      </c>
      <c r="Q530" s="101">
        <v>300</v>
      </c>
      <c r="R530" s="101">
        <v>4328.5600000000004</v>
      </c>
      <c r="S530" s="101">
        <v>499.721</v>
      </c>
      <c r="T530" s="133">
        <v>1.02</v>
      </c>
      <c r="U530" s="101">
        <f t="shared" si="70"/>
        <v>8.16</v>
      </c>
      <c r="V530" s="101">
        <f t="shared" si="71"/>
        <v>9.18</v>
      </c>
      <c r="W530" s="101">
        <f t="shared" si="72"/>
        <v>306</v>
      </c>
      <c r="X530" s="101">
        <f t="shared" si="73"/>
        <v>4415.1312000000007</v>
      </c>
      <c r="Y530" s="101">
        <f t="shared" si="74"/>
        <v>509.71541999999999</v>
      </c>
      <c r="AG530" s="225"/>
      <c r="AH530" s="101"/>
      <c r="AI530" s="101"/>
      <c r="AJ530" s="101"/>
    </row>
    <row r="531" spans="1:36" hidden="1" x14ac:dyDescent="0.3">
      <c r="A531" s="126" t="s">
        <v>184</v>
      </c>
      <c r="B531" s="126">
        <v>34</v>
      </c>
      <c r="C531" s="126">
        <v>66</v>
      </c>
      <c r="D531" s="126" t="str">
        <f t="shared" si="69"/>
        <v>3466</v>
      </c>
      <c r="J531" s="101">
        <v>10</v>
      </c>
      <c r="K531" s="101">
        <v>21</v>
      </c>
      <c r="L531" s="101">
        <v>3389</v>
      </c>
      <c r="M531" s="101">
        <v>17051.919999999998</v>
      </c>
      <c r="N531" s="101">
        <v>11341.155000000001</v>
      </c>
      <c r="O531" s="101">
        <v>26</v>
      </c>
      <c r="P531" s="101">
        <v>40</v>
      </c>
      <c r="Q531" s="101">
        <v>696</v>
      </c>
      <c r="R531" s="101">
        <v>9388.1299999999992</v>
      </c>
      <c r="S531" s="101">
        <v>11076.544</v>
      </c>
      <c r="T531" s="133">
        <v>1.02</v>
      </c>
      <c r="U531" s="101">
        <f t="shared" si="70"/>
        <v>26.52</v>
      </c>
      <c r="V531" s="101">
        <f t="shared" si="71"/>
        <v>40.799999999999997</v>
      </c>
      <c r="W531" s="101">
        <f t="shared" si="72"/>
        <v>709.92</v>
      </c>
      <c r="X531" s="101">
        <f t="shared" si="73"/>
        <v>9575.8925999999992</v>
      </c>
      <c r="Y531" s="101">
        <f t="shared" si="74"/>
        <v>11298.07488</v>
      </c>
      <c r="AG531" s="225"/>
      <c r="AH531" s="101"/>
      <c r="AI531" s="101"/>
      <c r="AJ531" s="101"/>
    </row>
    <row r="532" spans="1:36" x14ac:dyDescent="0.3">
      <c r="A532" s="126" t="s">
        <v>184</v>
      </c>
      <c r="B532" s="126">
        <v>34</v>
      </c>
      <c r="C532" s="126">
        <v>91</v>
      </c>
      <c r="D532" s="126" t="str">
        <f t="shared" si="69"/>
        <v>3491</v>
      </c>
      <c r="J532" s="101">
        <v>5</v>
      </c>
      <c r="K532" s="101">
        <v>10</v>
      </c>
      <c r="L532" s="101">
        <v>37</v>
      </c>
      <c r="M532" s="101">
        <v>331</v>
      </c>
      <c r="N532" s="101">
        <v>498.52</v>
      </c>
      <c r="O532" s="101">
        <v>5</v>
      </c>
      <c r="P532" s="101">
        <v>6</v>
      </c>
      <c r="Q532" s="101">
        <v>11</v>
      </c>
      <c r="R532" s="101">
        <v>70.290000000000006</v>
      </c>
      <c r="S532" s="101">
        <v>54.927</v>
      </c>
      <c r="T532" s="133">
        <v>1.02</v>
      </c>
      <c r="U532" s="101">
        <f t="shared" si="70"/>
        <v>5.0999999999999996</v>
      </c>
      <c r="V532" s="101">
        <f t="shared" si="71"/>
        <v>6.12</v>
      </c>
      <c r="W532" s="101">
        <f t="shared" si="72"/>
        <v>11.22</v>
      </c>
      <c r="X532" s="101">
        <f t="shared" si="73"/>
        <v>71.695800000000006</v>
      </c>
      <c r="Y532" s="101">
        <f t="shared" si="74"/>
        <v>56.025539999999999</v>
      </c>
      <c r="AG532" s="225"/>
      <c r="AH532" s="101"/>
      <c r="AI532" s="101"/>
      <c r="AJ532" s="101"/>
    </row>
    <row r="533" spans="1:36" hidden="1" x14ac:dyDescent="0.3">
      <c r="A533" s="126" t="s">
        <v>184</v>
      </c>
      <c r="B533" s="126">
        <v>34</v>
      </c>
      <c r="C533" s="126">
        <v>25</v>
      </c>
      <c r="D533" s="126" t="str">
        <f t="shared" si="69"/>
        <v>3425</v>
      </c>
      <c r="E533" s="101">
        <v>136</v>
      </c>
      <c r="F533" s="101">
        <v>1132</v>
      </c>
      <c r="G533" s="101">
        <v>27984</v>
      </c>
      <c r="H533" s="101">
        <v>349692.26999999996</v>
      </c>
      <c r="I533" s="101">
        <v>120273.09600000001</v>
      </c>
      <c r="J533" s="101">
        <v>126</v>
      </c>
      <c r="K533" s="101">
        <v>1209</v>
      </c>
      <c r="L533" s="101">
        <v>18544</v>
      </c>
      <c r="M533" s="101">
        <v>228731.42</v>
      </c>
      <c r="N533" s="101">
        <v>136564.46400000001</v>
      </c>
      <c r="O533" s="101">
        <v>140</v>
      </c>
      <c r="P533" s="101">
        <v>1543</v>
      </c>
      <c r="Q533" s="101">
        <v>43522</v>
      </c>
      <c r="R533" s="101">
        <v>505189.23</v>
      </c>
      <c r="S533" s="101">
        <v>274056.63299999997</v>
      </c>
      <c r="T533" s="133">
        <v>1.02</v>
      </c>
      <c r="U533" s="101">
        <f t="shared" si="70"/>
        <v>142.80000000000001</v>
      </c>
      <c r="V533" s="101">
        <f t="shared" si="71"/>
        <v>1573.8600000000001</v>
      </c>
      <c r="W533" s="101">
        <f t="shared" si="72"/>
        <v>44392.44</v>
      </c>
      <c r="X533" s="101">
        <f t="shared" si="73"/>
        <v>515293.01459999999</v>
      </c>
      <c r="Y533" s="101">
        <f t="shared" si="74"/>
        <v>279537.76565999998</v>
      </c>
      <c r="AG533" s="225"/>
      <c r="AH533" s="101">
        <v>30000</v>
      </c>
      <c r="AI533" s="101">
        <f t="shared" si="67"/>
        <v>24000</v>
      </c>
      <c r="AJ533" s="101">
        <f t="shared" si="68"/>
        <v>36000</v>
      </c>
    </row>
    <row r="534" spans="1:36" hidden="1" x14ac:dyDescent="0.3">
      <c r="A534" s="126" t="s">
        <v>184</v>
      </c>
      <c r="B534" s="126">
        <v>34</v>
      </c>
      <c r="C534" s="126">
        <v>27</v>
      </c>
      <c r="D534" s="126" t="str">
        <f t="shared" si="69"/>
        <v>3427</v>
      </c>
      <c r="E534" s="101">
        <v>6</v>
      </c>
      <c r="F534" s="101">
        <v>163</v>
      </c>
      <c r="G534" s="101">
        <v>1119</v>
      </c>
      <c r="H534" s="101">
        <v>12844.71</v>
      </c>
      <c r="I534" s="101">
        <v>4976.9889999999996</v>
      </c>
      <c r="J534" s="101">
        <v>5</v>
      </c>
      <c r="K534" s="101">
        <v>9</v>
      </c>
      <c r="L534" s="101">
        <v>13</v>
      </c>
      <c r="M534" s="101">
        <v>191.99</v>
      </c>
      <c r="N534" s="101">
        <v>103.56</v>
      </c>
      <c r="O534" s="101">
        <v>10</v>
      </c>
      <c r="P534" s="101">
        <v>46</v>
      </c>
      <c r="Q534" s="101">
        <v>392</v>
      </c>
      <c r="R534" s="101">
        <v>3569.1</v>
      </c>
      <c r="S534" s="101">
        <v>2593.8829999999998</v>
      </c>
      <c r="T534" s="133">
        <v>1.02</v>
      </c>
      <c r="U534" s="101">
        <f t="shared" si="70"/>
        <v>10.199999999999999</v>
      </c>
      <c r="V534" s="101">
        <f t="shared" si="71"/>
        <v>46.92</v>
      </c>
      <c r="W534" s="101">
        <f t="shared" si="72"/>
        <v>399.84000000000003</v>
      </c>
      <c r="X534" s="101">
        <f t="shared" si="73"/>
        <v>3640.482</v>
      </c>
      <c r="Y534" s="101">
        <f t="shared" si="74"/>
        <v>2645.7606599999999</v>
      </c>
      <c r="AG534" s="225"/>
      <c r="AH534" s="101">
        <v>30000</v>
      </c>
      <c r="AI534" s="101">
        <f t="shared" si="67"/>
        <v>24000</v>
      </c>
      <c r="AJ534" s="101">
        <f t="shared" si="68"/>
        <v>36000</v>
      </c>
    </row>
    <row r="535" spans="1:36" hidden="1" x14ac:dyDescent="0.3">
      <c r="A535" s="126" t="s">
        <v>184</v>
      </c>
      <c r="B535" s="126">
        <v>34</v>
      </c>
      <c r="C535" s="126">
        <v>26</v>
      </c>
      <c r="D535" s="126" t="str">
        <f t="shared" si="69"/>
        <v>3426</v>
      </c>
      <c r="E535" s="101">
        <v>99</v>
      </c>
      <c r="F535" s="101">
        <v>1959</v>
      </c>
      <c r="G535" s="101">
        <v>24944</v>
      </c>
      <c r="H535" s="101">
        <v>315471.5</v>
      </c>
      <c r="I535" s="101">
        <v>231897.394</v>
      </c>
      <c r="J535" s="101">
        <v>53</v>
      </c>
      <c r="K535" s="101">
        <v>1497</v>
      </c>
      <c r="L535" s="101">
        <v>23356</v>
      </c>
      <c r="M535" s="101">
        <v>303710.14</v>
      </c>
      <c r="N535" s="101">
        <v>108072.22100000001</v>
      </c>
      <c r="O535" s="101">
        <v>12</v>
      </c>
      <c r="P535" s="101">
        <v>630</v>
      </c>
      <c r="Q535" s="101">
        <v>13885</v>
      </c>
      <c r="R535" s="101">
        <v>148151.93</v>
      </c>
      <c r="S535" s="101">
        <v>40124.057999999997</v>
      </c>
      <c r="T535" s="133">
        <v>1.02</v>
      </c>
      <c r="U535" s="101">
        <f t="shared" si="70"/>
        <v>12.24</v>
      </c>
      <c r="V535" s="101">
        <f t="shared" si="71"/>
        <v>642.6</v>
      </c>
      <c r="W535" s="101">
        <f t="shared" si="72"/>
        <v>14162.7</v>
      </c>
      <c r="X535" s="101">
        <f t="shared" si="73"/>
        <v>151114.96859999999</v>
      </c>
      <c r="Y535" s="101">
        <f t="shared" si="74"/>
        <v>40926.53916</v>
      </c>
      <c r="AG535" s="225"/>
      <c r="AH535" s="101">
        <v>30000</v>
      </c>
      <c r="AI535" s="101">
        <f t="shared" si="67"/>
        <v>24000</v>
      </c>
      <c r="AJ535" s="101">
        <f t="shared" si="68"/>
        <v>36000</v>
      </c>
    </row>
    <row r="536" spans="1:36" hidden="1" x14ac:dyDescent="0.3">
      <c r="A536" s="126" t="s">
        <v>184</v>
      </c>
      <c r="B536" s="126">
        <v>34</v>
      </c>
      <c r="C536" s="126">
        <v>32</v>
      </c>
      <c r="D536" s="126" t="str">
        <f t="shared" si="69"/>
        <v>3432</v>
      </c>
      <c r="E536" s="101">
        <v>451</v>
      </c>
      <c r="F536" s="101">
        <v>2102</v>
      </c>
      <c r="G536" s="101">
        <v>41058</v>
      </c>
      <c r="H536" s="101">
        <v>652942.83000000007</v>
      </c>
      <c r="I536" s="101">
        <v>216914.79800000001</v>
      </c>
      <c r="J536" s="101">
        <v>244</v>
      </c>
      <c r="K536" s="101">
        <v>1338</v>
      </c>
      <c r="L536" s="101">
        <v>22352</v>
      </c>
      <c r="M536" s="101">
        <v>332925.65999999997</v>
      </c>
      <c r="N536" s="101">
        <v>114298.3</v>
      </c>
      <c r="O536" s="101">
        <v>290</v>
      </c>
      <c r="P536" s="101">
        <v>1348</v>
      </c>
      <c r="Q536" s="101">
        <v>23099</v>
      </c>
      <c r="R536" s="101">
        <v>375254.4</v>
      </c>
      <c r="S536" s="101">
        <v>163118.51500000001</v>
      </c>
      <c r="T536" s="133">
        <v>1.02</v>
      </c>
      <c r="U536" s="101">
        <f>O536*$T$5+3</f>
        <v>298.8</v>
      </c>
      <c r="V536" s="101">
        <f>P536*$T$5+19</f>
        <v>1393.96</v>
      </c>
      <c r="W536" s="101">
        <f>Q536*$T$5+2586</f>
        <v>26146.98</v>
      </c>
      <c r="X536" s="101">
        <f>R536*$T$5+18859</f>
        <v>401618.48800000001</v>
      </c>
      <c r="Y536" s="101">
        <f>S536*$T$5+9616</f>
        <v>175996.88530000002</v>
      </c>
      <c r="AG536" s="225"/>
      <c r="AH536" s="101">
        <v>30000</v>
      </c>
      <c r="AI536" s="101">
        <f t="shared" si="67"/>
        <v>24000</v>
      </c>
      <c r="AJ536" s="101">
        <f t="shared" si="68"/>
        <v>36000</v>
      </c>
    </row>
    <row r="537" spans="1:36" hidden="1" x14ac:dyDescent="0.3">
      <c r="A537" s="126" t="s">
        <v>184</v>
      </c>
      <c r="B537" s="126">
        <v>34</v>
      </c>
      <c r="C537" s="126">
        <v>21</v>
      </c>
      <c r="D537" s="126" t="str">
        <f t="shared" si="69"/>
        <v>3421</v>
      </c>
      <c r="E537" s="101">
        <v>848.5</v>
      </c>
      <c r="F537" s="101">
        <v>4459.5</v>
      </c>
      <c r="G537" s="101">
        <v>66434.5</v>
      </c>
      <c r="H537" s="101">
        <v>319846.44499999995</v>
      </c>
      <c r="I537" s="101">
        <v>98225.042999999991</v>
      </c>
      <c r="J537" s="101">
        <v>0</v>
      </c>
      <c r="K537" s="101">
        <v>0</v>
      </c>
      <c r="L537" s="101">
        <v>0</v>
      </c>
      <c r="M537" s="101">
        <v>0</v>
      </c>
      <c r="N537" s="101">
        <v>0</v>
      </c>
      <c r="O537" s="101">
        <v>60</v>
      </c>
      <c r="P537" s="101">
        <v>257</v>
      </c>
      <c r="Q537" s="101">
        <v>724</v>
      </c>
      <c r="R537" s="101">
        <v>6544.14</v>
      </c>
      <c r="S537" s="101">
        <v>3410.8960000000002</v>
      </c>
      <c r="T537" s="133">
        <v>1.02</v>
      </c>
      <c r="U537" s="101">
        <f t="shared" si="70"/>
        <v>61.2</v>
      </c>
      <c r="V537" s="101">
        <f t="shared" si="71"/>
        <v>262.14</v>
      </c>
      <c r="W537" s="101">
        <f t="shared" si="72"/>
        <v>738.48</v>
      </c>
      <c r="X537" s="101">
        <f t="shared" si="73"/>
        <v>6675.0228000000006</v>
      </c>
      <c r="Y537" s="101">
        <f t="shared" si="74"/>
        <v>3479.1139200000002</v>
      </c>
      <c r="AG537" s="225"/>
      <c r="AH537" s="101">
        <v>30000</v>
      </c>
      <c r="AI537" s="101">
        <f t="shared" si="67"/>
        <v>24000</v>
      </c>
      <c r="AJ537" s="101">
        <f t="shared" si="68"/>
        <v>36000</v>
      </c>
    </row>
    <row r="538" spans="1:36" hidden="1" x14ac:dyDescent="0.3">
      <c r="A538" s="126" t="s">
        <v>184</v>
      </c>
      <c r="B538" s="126">
        <v>34</v>
      </c>
      <c r="C538" s="126">
        <v>30</v>
      </c>
      <c r="D538" s="126" t="str">
        <f t="shared" si="69"/>
        <v>3430</v>
      </c>
      <c r="E538" s="101">
        <v>250</v>
      </c>
      <c r="F538" s="101">
        <v>3403</v>
      </c>
      <c r="G538" s="101">
        <v>14745</v>
      </c>
      <c r="H538" s="101">
        <v>438222.15500000003</v>
      </c>
      <c r="I538" s="101">
        <v>146297.40950000001</v>
      </c>
      <c r="J538" s="101">
        <v>613</v>
      </c>
      <c r="K538" s="101">
        <v>8957</v>
      </c>
      <c r="L538" s="101">
        <v>37379</v>
      </c>
      <c r="M538" s="101">
        <v>935111.27</v>
      </c>
      <c r="N538" s="101">
        <v>329257.47900000005</v>
      </c>
      <c r="O538" s="101">
        <v>280</v>
      </c>
      <c r="P538" s="101">
        <v>7923</v>
      </c>
      <c r="Q538" s="101">
        <v>25092</v>
      </c>
      <c r="R538" s="101">
        <v>559096.84</v>
      </c>
      <c r="S538" s="101">
        <v>159207.49799999999</v>
      </c>
      <c r="T538" s="133">
        <v>1.02</v>
      </c>
      <c r="U538" s="101">
        <f t="shared" si="70"/>
        <v>285.60000000000002</v>
      </c>
      <c r="V538" s="101">
        <f t="shared" si="71"/>
        <v>8081.46</v>
      </c>
      <c r="W538" s="101">
        <f t="shared" si="72"/>
        <v>25593.84</v>
      </c>
      <c r="X538" s="101">
        <f t="shared" si="73"/>
        <v>570278.77679999999</v>
      </c>
      <c r="Y538" s="101">
        <f t="shared" si="74"/>
        <v>162391.64796</v>
      </c>
      <c r="AG538" s="225"/>
      <c r="AH538" s="101">
        <v>30000</v>
      </c>
      <c r="AI538" s="101">
        <f t="shared" si="67"/>
        <v>24000</v>
      </c>
      <c r="AJ538" s="101">
        <f t="shared" si="68"/>
        <v>36000</v>
      </c>
    </row>
    <row r="539" spans="1:36" hidden="1" x14ac:dyDescent="0.3">
      <c r="A539" s="126" t="s">
        <v>184</v>
      </c>
      <c r="B539" s="126">
        <v>34</v>
      </c>
      <c r="C539" s="126">
        <v>71</v>
      </c>
      <c r="D539" s="126" t="str">
        <f t="shared" si="69"/>
        <v>3471</v>
      </c>
      <c r="E539" s="101">
        <v>569</v>
      </c>
      <c r="F539" s="101">
        <v>4582.5</v>
      </c>
      <c r="G539" s="101">
        <v>16606</v>
      </c>
      <c r="H539" s="101">
        <v>119958.51</v>
      </c>
      <c r="I539" s="101">
        <v>67170.712</v>
      </c>
      <c r="J539" s="101">
        <v>530</v>
      </c>
      <c r="K539" s="101">
        <v>5722</v>
      </c>
      <c r="L539" s="101">
        <v>13551</v>
      </c>
      <c r="M539" s="101">
        <v>98161.43</v>
      </c>
      <c r="N539" s="101">
        <v>60327.692999999999</v>
      </c>
      <c r="O539" s="101">
        <v>253</v>
      </c>
      <c r="P539" s="101">
        <v>7510</v>
      </c>
      <c r="Q539" s="101">
        <v>28734</v>
      </c>
      <c r="R539" s="101">
        <v>188785.27</v>
      </c>
      <c r="S539" s="101">
        <v>107368.69500000001</v>
      </c>
      <c r="T539" s="133">
        <v>0.98</v>
      </c>
      <c r="U539" s="101">
        <f t="shared" si="70"/>
        <v>247.94</v>
      </c>
      <c r="V539" s="101">
        <f t="shared" si="71"/>
        <v>7359.8</v>
      </c>
      <c r="W539" s="101">
        <f t="shared" si="72"/>
        <v>28159.32</v>
      </c>
      <c r="X539" s="101">
        <f t="shared" si="73"/>
        <v>185009.56459999998</v>
      </c>
      <c r="Y539" s="101">
        <f t="shared" si="74"/>
        <v>105221.3211</v>
      </c>
      <c r="AG539" s="225"/>
      <c r="AH539" s="101">
        <v>30000</v>
      </c>
      <c r="AI539" s="101">
        <f t="shared" si="67"/>
        <v>24000</v>
      </c>
      <c r="AJ539" s="101">
        <f t="shared" si="68"/>
        <v>36000</v>
      </c>
    </row>
    <row r="540" spans="1:36" hidden="1" x14ac:dyDescent="0.3">
      <c r="A540" s="126" t="s">
        <v>184</v>
      </c>
      <c r="B540" s="126">
        <v>34</v>
      </c>
      <c r="C540" s="126">
        <v>1</v>
      </c>
      <c r="D540" s="126" t="str">
        <f t="shared" si="69"/>
        <v>341</v>
      </c>
      <c r="J540" s="101">
        <v>89</v>
      </c>
      <c r="K540" s="101">
        <v>89</v>
      </c>
      <c r="L540" s="101">
        <v>62866</v>
      </c>
      <c r="N540" s="101">
        <v>131276</v>
      </c>
      <c r="O540" s="101">
        <v>193</v>
      </c>
      <c r="P540" s="101">
        <v>193</v>
      </c>
      <c r="Q540" s="101">
        <v>67170</v>
      </c>
      <c r="S540" s="101">
        <v>179922</v>
      </c>
      <c r="T540" s="133">
        <v>1.02</v>
      </c>
      <c r="U540" s="101">
        <f t="shared" si="70"/>
        <v>196.86</v>
      </c>
      <c r="V540" s="101">
        <f t="shared" si="71"/>
        <v>196.86</v>
      </c>
      <c r="W540" s="101">
        <f t="shared" si="72"/>
        <v>68513.399999999994</v>
      </c>
      <c r="X540" s="101">
        <f t="shared" si="73"/>
        <v>0</v>
      </c>
      <c r="Y540" s="101">
        <f t="shared" si="74"/>
        <v>183520.44</v>
      </c>
      <c r="AG540" s="225"/>
      <c r="AH540" s="101"/>
      <c r="AI540" s="101"/>
      <c r="AJ540" s="101"/>
    </row>
    <row r="541" spans="1:36" hidden="1" x14ac:dyDescent="0.3">
      <c r="A541" s="126" t="s">
        <v>184</v>
      </c>
      <c r="B541" s="126">
        <v>34</v>
      </c>
      <c r="C541" s="126">
        <v>37</v>
      </c>
      <c r="D541" s="126" t="str">
        <f t="shared" si="69"/>
        <v>3437</v>
      </c>
      <c r="E541" s="101">
        <v>5.25</v>
      </c>
      <c r="F541" s="101">
        <v>12.5</v>
      </c>
      <c r="G541" s="101">
        <v>977.75</v>
      </c>
      <c r="H541" s="101">
        <v>3235.41</v>
      </c>
      <c r="I541" s="101">
        <v>2942.6042499999999</v>
      </c>
      <c r="J541" s="101">
        <v>10</v>
      </c>
      <c r="K541" s="101">
        <v>63</v>
      </c>
      <c r="L541" s="101">
        <v>426801</v>
      </c>
      <c r="M541" s="101">
        <v>248276.36</v>
      </c>
      <c r="N541" s="101">
        <v>74453.736000000004</v>
      </c>
      <c r="O541" s="101">
        <v>9</v>
      </c>
      <c r="P541" s="101">
        <v>12</v>
      </c>
      <c r="Q541" s="101">
        <v>17904</v>
      </c>
      <c r="R541" s="101">
        <v>17219.900000000001</v>
      </c>
      <c r="S541" s="101">
        <v>10131.019</v>
      </c>
      <c r="T541" s="133">
        <v>1.02</v>
      </c>
      <c r="U541" s="101">
        <f t="shared" si="70"/>
        <v>9.18</v>
      </c>
      <c r="V541" s="101">
        <f t="shared" si="71"/>
        <v>12.24</v>
      </c>
      <c r="W541" s="101">
        <f t="shared" si="72"/>
        <v>18262.080000000002</v>
      </c>
      <c r="X541" s="101">
        <f t="shared" si="73"/>
        <v>17564.298000000003</v>
      </c>
      <c r="Y541" s="101">
        <f t="shared" si="74"/>
        <v>10333.639380000001</v>
      </c>
      <c r="AG541" s="225"/>
      <c r="AH541" s="101">
        <v>30000</v>
      </c>
      <c r="AI541" s="101">
        <f t="shared" ref="AI541:AI652" si="75">(AH541/100)*80</f>
        <v>24000</v>
      </c>
      <c r="AJ541" s="101">
        <f t="shared" ref="AJ541:AJ652" si="76">(AH541/100)*120</f>
        <v>36000</v>
      </c>
    </row>
    <row r="542" spans="1:36" hidden="1" x14ac:dyDescent="0.3">
      <c r="A542" s="126" t="s">
        <v>184</v>
      </c>
      <c r="B542" s="126">
        <v>35</v>
      </c>
      <c r="C542" s="126">
        <v>22</v>
      </c>
      <c r="D542" s="126" t="str">
        <f t="shared" si="69"/>
        <v>3522</v>
      </c>
      <c r="E542" s="101">
        <v>379</v>
      </c>
      <c r="F542" s="101">
        <v>2373</v>
      </c>
      <c r="G542" s="101">
        <v>22034</v>
      </c>
      <c r="H542" s="101">
        <v>91625.1</v>
      </c>
      <c r="I542" s="101">
        <v>77646.024999999994</v>
      </c>
      <c r="J542" s="101">
        <v>713</v>
      </c>
      <c r="K542" s="101">
        <v>4046</v>
      </c>
      <c r="L542" s="101">
        <v>31584</v>
      </c>
      <c r="M542" s="101">
        <v>213048.81</v>
      </c>
      <c r="N542" s="101">
        <v>145934.04999999999</v>
      </c>
      <c r="O542" s="101">
        <v>528</v>
      </c>
      <c r="P542" s="101">
        <v>2788</v>
      </c>
      <c r="Q542" s="101">
        <v>19681</v>
      </c>
      <c r="R542" s="101">
        <v>116412.29</v>
      </c>
      <c r="S542" s="101">
        <v>83950.861000000004</v>
      </c>
      <c r="T542" s="133">
        <v>1.02</v>
      </c>
      <c r="U542" s="101">
        <f t="shared" si="70"/>
        <v>538.56000000000006</v>
      </c>
      <c r="V542" s="101">
        <f t="shared" si="71"/>
        <v>2843.76</v>
      </c>
      <c r="W542" s="101">
        <f t="shared" si="72"/>
        <v>20074.62</v>
      </c>
      <c r="X542" s="101">
        <f t="shared" si="73"/>
        <v>118740.5358</v>
      </c>
      <c r="Y542" s="101">
        <f t="shared" si="74"/>
        <v>85629.878220000013</v>
      </c>
      <c r="AG542" s="225">
        <f>SUM(V542:V557)</f>
        <v>24885.360000000004</v>
      </c>
      <c r="AH542" s="101">
        <v>30000</v>
      </c>
      <c r="AI542" s="101">
        <f t="shared" si="75"/>
        <v>24000</v>
      </c>
      <c r="AJ542" s="101">
        <f t="shared" si="76"/>
        <v>36000</v>
      </c>
    </row>
    <row r="543" spans="1:36" hidden="1" x14ac:dyDescent="0.3">
      <c r="A543" s="126" t="s">
        <v>184</v>
      </c>
      <c r="B543" s="126">
        <v>35</v>
      </c>
      <c r="C543" s="126">
        <v>25</v>
      </c>
      <c r="D543" s="126" t="str">
        <f t="shared" si="69"/>
        <v>3525</v>
      </c>
      <c r="E543" s="101">
        <v>149</v>
      </c>
      <c r="F543" s="101">
        <v>1096</v>
      </c>
      <c r="G543" s="101">
        <v>38220</v>
      </c>
      <c r="H543" s="101">
        <v>806105.27</v>
      </c>
      <c r="I543" s="101">
        <v>469780.53300000005</v>
      </c>
      <c r="J543" s="101">
        <v>122</v>
      </c>
      <c r="K543" s="101">
        <v>1643</v>
      </c>
      <c r="L543" s="101">
        <v>35348</v>
      </c>
      <c r="M543" s="101">
        <v>343911.54</v>
      </c>
      <c r="N543" s="101">
        <v>188155.95199999999</v>
      </c>
      <c r="O543" s="101">
        <v>168</v>
      </c>
      <c r="P543" s="101">
        <v>2560</v>
      </c>
      <c r="Q543" s="101">
        <v>53321</v>
      </c>
      <c r="R543" s="101">
        <v>516046.04</v>
      </c>
      <c r="S543" s="101">
        <v>210547.39</v>
      </c>
      <c r="T543" s="133">
        <v>1.02</v>
      </c>
      <c r="U543" s="101">
        <f t="shared" si="70"/>
        <v>171.36</v>
      </c>
      <c r="V543" s="101">
        <f t="shared" si="71"/>
        <v>2611.1999999999998</v>
      </c>
      <c r="W543" s="101">
        <f t="shared" si="72"/>
        <v>54387.42</v>
      </c>
      <c r="X543" s="101">
        <f t="shared" si="73"/>
        <v>526366.9608</v>
      </c>
      <c r="Y543" s="101">
        <f t="shared" si="74"/>
        <v>214758.33780000001</v>
      </c>
      <c r="AG543" s="225"/>
      <c r="AH543" s="101">
        <v>30000</v>
      </c>
      <c r="AI543" s="101">
        <f t="shared" si="75"/>
        <v>24000</v>
      </c>
      <c r="AJ543" s="101">
        <f t="shared" si="76"/>
        <v>36000</v>
      </c>
    </row>
    <row r="544" spans="1:36" hidden="1" x14ac:dyDescent="0.3">
      <c r="A544" s="126" t="s">
        <v>184</v>
      </c>
      <c r="B544" s="126">
        <v>35</v>
      </c>
      <c r="C544" s="126">
        <v>27</v>
      </c>
      <c r="D544" s="126" t="str">
        <f t="shared" si="69"/>
        <v>3527</v>
      </c>
      <c r="E544" s="101">
        <v>10</v>
      </c>
      <c r="F544" s="101">
        <v>681</v>
      </c>
      <c r="G544" s="101">
        <v>6277</v>
      </c>
      <c r="H544" s="101">
        <v>64269.009999999995</v>
      </c>
      <c r="I544" s="101">
        <v>18882.975999999999</v>
      </c>
      <c r="J544" s="101">
        <v>3</v>
      </c>
      <c r="K544" s="101">
        <v>45</v>
      </c>
      <c r="L544" s="101">
        <v>549</v>
      </c>
      <c r="M544" s="101">
        <v>6546.05</v>
      </c>
      <c r="N544" s="101">
        <v>3206.3310000000001</v>
      </c>
      <c r="O544" s="101">
        <v>9</v>
      </c>
      <c r="P544" s="101">
        <v>9</v>
      </c>
      <c r="Q544" s="101">
        <v>86</v>
      </c>
      <c r="R544" s="101">
        <v>1057.71</v>
      </c>
      <c r="S544" s="101">
        <v>184.68</v>
      </c>
      <c r="T544" s="133">
        <v>1.02</v>
      </c>
      <c r="U544" s="101">
        <f t="shared" si="70"/>
        <v>9.18</v>
      </c>
      <c r="V544" s="101">
        <f t="shared" si="71"/>
        <v>9.18</v>
      </c>
      <c r="W544" s="101">
        <f t="shared" si="72"/>
        <v>87.72</v>
      </c>
      <c r="X544" s="101">
        <f t="shared" si="73"/>
        <v>1078.8642</v>
      </c>
      <c r="Y544" s="101">
        <f t="shared" si="74"/>
        <v>188.37360000000001</v>
      </c>
      <c r="AG544" s="225"/>
      <c r="AH544" s="101">
        <v>30000</v>
      </c>
      <c r="AI544" s="101">
        <f t="shared" si="75"/>
        <v>24000</v>
      </c>
      <c r="AJ544" s="101">
        <f t="shared" si="76"/>
        <v>36000</v>
      </c>
    </row>
    <row r="545" spans="1:36" hidden="1" x14ac:dyDescent="0.3">
      <c r="A545" s="126" t="s">
        <v>184</v>
      </c>
      <c r="B545" s="126">
        <v>35</v>
      </c>
      <c r="C545" s="126">
        <v>26</v>
      </c>
      <c r="D545" s="126" t="str">
        <f t="shared" si="69"/>
        <v>3526</v>
      </c>
      <c r="E545" s="101">
        <v>76</v>
      </c>
      <c r="F545" s="101">
        <v>1484</v>
      </c>
      <c r="G545" s="101">
        <v>79901</v>
      </c>
      <c r="H545" s="101">
        <v>1210969.6600000001</v>
      </c>
      <c r="I545" s="101">
        <v>380043.53199999995</v>
      </c>
      <c r="J545" s="101">
        <v>31</v>
      </c>
      <c r="K545" s="101">
        <v>709</v>
      </c>
      <c r="L545" s="101">
        <v>8326</v>
      </c>
      <c r="M545" s="101">
        <v>152122.9</v>
      </c>
      <c r="N545" s="101">
        <v>57763.89</v>
      </c>
      <c r="O545" s="101">
        <v>19</v>
      </c>
      <c r="P545" s="101">
        <v>599</v>
      </c>
      <c r="Q545" s="101">
        <v>28146</v>
      </c>
      <c r="R545" s="101">
        <v>349574.1</v>
      </c>
      <c r="S545" s="101">
        <v>130614.43700000001</v>
      </c>
      <c r="T545" s="133">
        <v>1.02</v>
      </c>
      <c r="U545" s="101">
        <f t="shared" si="70"/>
        <v>19.38</v>
      </c>
      <c r="V545" s="101">
        <f t="shared" si="71"/>
        <v>610.98</v>
      </c>
      <c r="W545" s="101">
        <f t="shared" si="72"/>
        <v>28708.920000000002</v>
      </c>
      <c r="X545" s="101">
        <f t="shared" si="73"/>
        <v>356565.58199999999</v>
      </c>
      <c r="Y545" s="101">
        <f t="shared" si="74"/>
        <v>133226.72573999999</v>
      </c>
      <c r="AG545" s="225"/>
      <c r="AH545" s="101">
        <v>30000</v>
      </c>
      <c r="AI545" s="101">
        <f t="shared" si="75"/>
        <v>24000</v>
      </c>
      <c r="AJ545" s="101">
        <f t="shared" si="76"/>
        <v>36000</v>
      </c>
    </row>
    <row r="546" spans="1:36" hidden="1" x14ac:dyDescent="0.3">
      <c r="A546" s="126" t="s">
        <v>184</v>
      </c>
      <c r="B546" s="126">
        <v>35</v>
      </c>
      <c r="C546" s="126">
        <v>32</v>
      </c>
      <c r="D546" s="126" t="str">
        <f t="shared" si="69"/>
        <v>3532</v>
      </c>
      <c r="E546" s="101">
        <v>446</v>
      </c>
      <c r="F546" s="101">
        <v>1293</v>
      </c>
      <c r="G546" s="101">
        <v>40425</v>
      </c>
      <c r="H546" s="101">
        <v>356583.61000000004</v>
      </c>
      <c r="I546" s="101">
        <v>244914.77</v>
      </c>
      <c r="J546" s="101">
        <v>117</v>
      </c>
      <c r="K546" s="101">
        <v>873</v>
      </c>
      <c r="L546" s="101">
        <v>23204</v>
      </c>
      <c r="M546" s="101">
        <v>74474.010000000024</v>
      </c>
      <c r="N546" s="101">
        <v>55165.063999999998</v>
      </c>
      <c r="O546" s="101">
        <v>173</v>
      </c>
      <c r="P546" s="101">
        <v>1047</v>
      </c>
      <c r="Q546" s="101">
        <v>22515</v>
      </c>
      <c r="R546" s="101">
        <v>114117.56</v>
      </c>
      <c r="S546" s="101">
        <v>78873.322</v>
      </c>
      <c r="T546" s="133">
        <v>1.02</v>
      </c>
      <c r="U546" s="101">
        <f>O546*$T$5+5</f>
        <v>181.46</v>
      </c>
      <c r="V546" s="101">
        <f>P546*$T$5+7</f>
        <v>1074.94</v>
      </c>
      <c r="W546" s="101">
        <f>Q546*$T$5+682</f>
        <v>23647.3</v>
      </c>
      <c r="X546" s="101">
        <f>R546*$T$5+6124</f>
        <v>122523.9112</v>
      </c>
      <c r="Y546" s="101">
        <f>S546*$T$5+1832</f>
        <v>82282.788440000004</v>
      </c>
      <c r="AG546" s="225"/>
      <c r="AH546" s="101">
        <v>30000</v>
      </c>
      <c r="AI546" s="101">
        <f t="shared" si="75"/>
        <v>24000</v>
      </c>
      <c r="AJ546" s="101">
        <f t="shared" si="76"/>
        <v>36000</v>
      </c>
    </row>
    <row r="547" spans="1:36" hidden="1" x14ac:dyDescent="0.3">
      <c r="A547" s="126" t="s">
        <v>184</v>
      </c>
      <c r="B547" s="126">
        <v>35</v>
      </c>
      <c r="C547" s="126">
        <v>21</v>
      </c>
      <c r="D547" s="126" t="str">
        <f t="shared" si="69"/>
        <v>3521</v>
      </c>
      <c r="E547" s="101">
        <v>1165.5</v>
      </c>
      <c r="F547" s="101">
        <v>5180</v>
      </c>
      <c r="G547" s="101">
        <v>28875.5</v>
      </c>
      <c r="H547" s="101">
        <v>451433.69999999995</v>
      </c>
      <c r="I547" s="101">
        <v>153058.83249999999</v>
      </c>
      <c r="J547" s="101">
        <v>0</v>
      </c>
      <c r="K547" s="101">
        <v>0</v>
      </c>
      <c r="L547" s="101">
        <v>0</v>
      </c>
      <c r="M547" s="101">
        <v>0</v>
      </c>
      <c r="N547" s="101">
        <v>0</v>
      </c>
      <c r="O547" s="101">
        <v>42</v>
      </c>
      <c r="P547" s="101">
        <v>220</v>
      </c>
      <c r="Q547" s="101">
        <v>665</v>
      </c>
      <c r="R547" s="101">
        <v>11057.01</v>
      </c>
      <c r="S547" s="101">
        <v>2549.2049999999999</v>
      </c>
      <c r="T547" s="133">
        <v>1.02</v>
      </c>
      <c r="U547" s="101">
        <f t="shared" si="70"/>
        <v>42.84</v>
      </c>
      <c r="V547" s="101">
        <f t="shared" si="71"/>
        <v>224.4</v>
      </c>
      <c r="W547" s="101">
        <f t="shared" si="72"/>
        <v>678.30000000000007</v>
      </c>
      <c r="X547" s="101">
        <f t="shared" si="73"/>
        <v>11278.1502</v>
      </c>
      <c r="Y547" s="101">
        <f t="shared" si="74"/>
        <v>2600.1891000000001</v>
      </c>
      <c r="AG547" s="225"/>
      <c r="AH547" s="101">
        <v>30000</v>
      </c>
      <c r="AI547" s="101">
        <f t="shared" si="75"/>
        <v>24000</v>
      </c>
      <c r="AJ547" s="101">
        <f t="shared" si="76"/>
        <v>36000</v>
      </c>
    </row>
    <row r="548" spans="1:36" hidden="1" x14ac:dyDescent="0.3">
      <c r="A548" s="126" t="s">
        <v>184</v>
      </c>
      <c r="B548" s="126">
        <v>35</v>
      </c>
      <c r="C548" s="126">
        <v>30</v>
      </c>
      <c r="D548" s="126" t="str">
        <f t="shared" si="69"/>
        <v>3530</v>
      </c>
      <c r="E548" s="101">
        <v>368</v>
      </c>
      <c r="F548" s="101">
        <v>3964.5</v>
      </c>
      <c r="G548" s="101">
        <v>17282.5</v>
      </c>
      <c r="H548" s="101">
        <v>362335.47</v>
      </c>
      <c r="I548" s="101">
        <v>112854.23849999999</v>
      </c>
      <c r="J548" s="101">
        <v>374</v>
      </c>
      <c r="K548" s="101">
        <v>10894</v>
      </c>
      <c r="L548" s="101">
        <v>35372</v>
      </c>
      <c r="M548" s="101">
        <v>752682.47</v>
      </c>
      <c r="N548" s="101">
        <v>220704.47100000002</v>
      </c>
      <c r="O548" s="101">
        <v>348</v>
      </c>
      <c r="P548" s="101">
        <v>8515</v>
      </c>
      <c r="Q548" s="101">
        <v>29558</v>
      </c>
      <c r="R548" s="101">
        <v>623897.06999999995</v>
      </c>
      <c r="S548" s="101">
        <v>195742.61300000001</v>
      </c>
      <c r="T548" s="133">
        <v>1.02</v>
      </c>
      <c r="U548" s="101">
        <f t="shared" si="70"/>
        <v>354.96</v>
      </c>
      <c r="V548" s="101">
        <f t="shared" si="71"/>
        <v>8685.2999999999993</v>
      </c>
      <c r="W548" s="101">
        <f t="shared" si="72"/>
        <v>30149.16</v>
      </c>
      <c r="X548" s="101">
        <f t="shared" si="73"/>
        <v>636375.01139999996</v>
      </c>
      <c r="Y548" s="101">
        <f t="shared" si="74"/>
        <v>199657.46526000003</v>
      </c>
      <c r="AG548" s="225"/>
      <c r="AH548" s="101">
        <v>30000</v>
      </c>
      <c r="AI548" s="101">
        <f t="shared" si="75"/>
        <v>24000</v>
      </c>
      <c r="AJ548" s="101">
        <f t="shared" si="76"/>
        <v>36000</v>
      </c>
    </row>
    <row r="549" spans="1:36" hidden="1" x14ac:dyDescent="0.3">
      <c r="A549" s="126" t="s">
        <v>184</v>
      </c>
      <c r="B549" s="126">
        <v>35</v>
      </c>
      <c r="C549" s="126">
        <v>66</v>
      </c>
      <c r="D549" s="126" t="str">
        <f t="shared" si="69"/>
        <v>3566</v>
      </c>
      <c r="J549" s="101">
        <v>15</v>
      </c>
      <c r="K549" s="101">
        <v>15</v>
      </c>
      <c r="L549" s="101">
        <v>90</v>
      </c>
      <c r="M549" s="101">
        <v>322.83999999999997</v>
      </c>
      <c r="N549" s="101">
        <v>100.358</v>
      </c>
      <c r="O549" s="101">
        <v>41</v>
      </c>
      <c r="P549" s="101">
        <v>81</v>
      </c>
      <c r="Q549" s="101">
        <v>3090</v>
      </c>
      <c r="R549" s="101">
        <v>46632.25</v>
      </c>
      <c r="S549" s="101">
        <v>16666.706999999999</v>
      </c>
      <c r="T549" s="133">
        <v>1.02</v>
      </c>
      <c r="U549" s="101">
        <f t="shared" si="70"/>
        <v>41.82</v>
      </c>
      <c r="V549" s="101">
        <f t="shared" si="71"/>
        <v>82.62</v>
      </c>
      <c r="W549" s="101">
        <f t="shared" si="72"/>
        <v>3151.8</v>
      </c>
      <c r="X549" s="101">
        <f t="shared" si="73"/>
        <v>47564.895000000004</v>
      </c>
      <c r="Y549" s="101">
        <f t="shared" si="74"/>
        <v>17000.041139999998</v>
      </c>
      <c r="AG549" s="225"/>
      <c r="AH549" s="101"/>
      <c r="AI549" s="101"/>
      <c r="AJ549" s="101"/>
    </row>
    <row r="550" spans="1:36" x14ac:dyDescent="0.3">
      <c r="A550" s="126" t="s">
        <v>184</v>
      </c>
      <c r="B550" s="126">
        <v>35</v>
      </c>
      <c r="C550" s="126">
        <v>91</v>
      </c>
      <c r="D550" s="126" t="str">
        <f t="shared" si="69"/>
        <v>3591</v>
      </c>
      <c r="J550" s="101">
        <v>8</v>
      </c>
      <c r="K550" s="101">
        <v>18</v>
      </c>
      <c r="L550" s="101">
        <v>43</v>
      </c>
      <c r="M550" s="101">
        <v>185.33999999999997</v>
      </c>
      <c r="N550" s="101">
        <v>198.34800000000001</v>
      </c>
      <c r="O550" s="101">
        <v>6</v>
      </c>
      <c r="P550" s="101">
        <v>13</v>
      </c>
      <c r="Q550" s="101">
        <v>13</v>
      </c>
      <c r="R550" s="101">
        <v>215.35</v>
      </c>
      <c r="S550" s="101">
        <v>119.056</v>
      </c>
      <c r="T550" s="133">
        <v>1.02</v>
      </c>
      <c r="U550" s="101">
        <f t="shared" si="70"/>
        <v>6.12</v>
      </c>
      <c r="V550" s="101">
        <f t="shared" si="71"/>
        <v>13.26</v>
      </c>
      <c r="W550" s="101">
        <f t="shared" si="72"/>
        <v>13.26</v>
      </c>
      <c r="X550" s="101">
        <f t="shared" si="73"/>
        <v>219.65700000000001</v>
      </c>
      <c r="Y550" s="101">
        <f t="shared" si="74"/>
        <v>121.43711999999999</v>
      </c>
      <c r="AG550" s="225"/>
      <c r="AH550" s="101"/>
      <c r="AI550" s="101"/>
      <c r="AJ550" s="101"/>
    </row>
    <row r="551" spans="1:36" hidden="1" x14ac:dyDescent="0.3">
      <c r="A551" s="126" t="s">
        <v>184</v>
      </c>
      <c r="B551" s="126">
        <v>35</v>
      </c>
      <c r="C551" s="126">
        <v>12</v>
      </c>
      <c r="D551" s="126" t="str">
        <f t="shared" si="69"/>
        <v>3512</v>
      </c>
      <c r="J551" s="101">
        <v>1</v>
      </c>
      <c r="K551" s="101">
        <v>1</v>
      </c>
      <c r="L551" s="101">
        <v>1</v>
      </c>
      <c r="M551" s="101">
        <v>0</v>
      </c>
      <c r="N551" s="101">
        <v>4.59</v>
      </c>
      <c r="O551" s="101">
        <v>0</v>
      </c>
      <c r="P551" s="101">
        <v>0</v>
      </c>
      <c r="Q551" s="101">
        <v>0</v>
      </c>
      <c r="R551" s="101">
        <v>0</v>
      </c>
      <c r="S551" s="101">
        <v>0</v>
      </c>
      <c r="T551" s="133">
        <v>1.02</v>
      </c>
      <c r="U551" s="101">
        <f t="shared" si="70"/>
        <v>0</v>
      </c>
      <c r="V551" s="101">
        <f t="shared" si="71"/>
        <v>0</v>
      </c>
      <c r="W551" s="101">
        <f t="shared" si="72"/>
        <v>0</v>
      </c>
      <c r="X551" s="101">
        <f t="shared" si="73"/>
        <v>0</v>
      </c>
      <c r="Y551" s="101">
        <f t="shared" si="74"/>
        <v>0</v>
      </c>
      <c r="AG551" s="225"/>
      <c r="AH551" s="101"/>
      <c r="AI551" s="101"/>
      <c r="AJ551" s="101"/>
    </row>
    <row r="552" spans="1:36" hidden="1" x14ac:dyDescent="0.3">
      <c r="A552" s="126" t="s">
        <v>184</v>
      </c>
      <c r="B552" s="126">
        <v>35</v>
      </c>
      <c r="C552" s="126">
        <v>28</v>
      </c>
      <c r="D552" s="126" t="str">
        <f t="shared" si="69"/>
        <v>3528</v>
      </c>
      <c r="J552" s="101">
        <v>27</v>
      </c>
      <c r="K552" s="101">
        <v>42</v>
      </c>
      <c r="L552" s="101">
        <v>955</v>
      </c>
      <c r="M552" s="101">
        <v>40039.619999999995</v>
      </c>
      <c r="N552" s="101">
        <v>6313.9040000000005</v>
      </c>
      <c r="O552" s="101">
        <v>99</v>
      </c>
      <c r="P552" s="101">
        <v>340</v>
      </c>
      <c r="Q552" s="101">
        <v>6237</v>
      </c>
      <c r="R552" s="101">
        <v>79550.12</v>
      </c>
      <c r="S552" s="101">
        <v>16334.191000000001</v>
      </c>
      <c r="T552" s="133">
        <v>1.02</v>
      </c>
      <c r="U552" s="101">
        <f t="shared" si="70"/>
        <v>100.98</v>
      </c>
      <c r="V552" s="101">
        <f t="shared" si="71"/>
        <v>346.8</v>
      </c>
      <c r="W552" s="101">
        <f t="shared" si="72"/>
        <v>6361.74</v>
      </c>
      <c r="X552" s="101">
        <f t="shared" si="73"/>
        <v>81141.122399999993</v>
      </c>
      <c r="Y552" s="101">
        <f t="shared" si="74"/>
        <v>16660.874820000001</v>
      </c>
      <c r="AG552" s="225"/>
      <c r="AH552" s="101"/>
      <c r="AI552" s="101"/>
      <c r="AJ552" s="101"/>
    </row>
    <row r="553" spans="1:36" hidden="1" x14ac:dyDescent="0.3">
      <c r="A553" s="126" t="s">
        <v>184</v>
      </c>
      <c r="B553" s="126">
        <v>35</v>
      </c>
      <c r="C553" s="126">
        <v>41</v>
      </c>
      <c r="D553" s="126" t="str">
        <f t="shared" si="69"/>
        <v>3541</v>
      </c>
      <c r="J553" s="101">
        <v>5</v>
      </c>
      <c r="K553" s="101">
        <v>31</v>
      </c>
      <c r="L553" s="101">
        <v>119</v>
      </c>
      <c r="M553" s="101">
        <v>1147.98</v>
      </c>
      <c r="N553" s="101">
        <v>340.637</v>
      </c>
      <c r="O553" s="101">
        <v>1</v>
      </c>
      <c r="P553" s="101">
        <v>39</v>
      </c>
      <c r="Q553" s="101">
        <v>96</v>
      </c>
      <c r="R553" s="101">
        <v>1640.32</v>
      </c>
      <c r="S553" s="101">
        <v>349.13600000000002</v>
      </c>
      <c r="T553" s="133">
        <v>1.02</v>
      </c>
      <c r="U553" s="101">
        <f t="shared" si="70"/>
        <v>1.02</v>
      </c>
      <c r="V553" s="101">
        <f t="shared" si="71"/>
        <v>39.78</v>
      </c>
      <c r="W553" s="101">
        <f t="shared" si="72"/>
        <v>97.92</v>
      </c>
      <c r="X553" s="101">
        <f t="shared" si="73"/>
        <v>1673.1263999999999</v>
      </c>
      <c r="Y553" s="101">
        <f t="shared" si="74"/>
        <v>356.11872000000005</v>
      </c>
      <c r="AG553" s="225"/>
      <c r="AH553" s="101"/>
      <c r="AI553" s="101"/>
      <c r="AJ553" s="101"/>
    </row>
    <row r="554" spans="1:36" hidden="1" x14ac:dyDescent="0.3">
      <c r="A554" s="126" t="s">
        <v>184</v>
      </c>
      <c r="B554" s="126">
        <v>35</v>
      </c>
      <c r="C554" s="126">
        <v>46</v>
      </c>
      <c r="D554" s="126" t="str">
        <f t="shared" si="69"/>
        <v>3546</v>
      </c>
      <c r="J554" s="101">
        <v>8</v>
      </c>
      <c r="K554" s="101">
        <v>11</v>
      </c>
      <c r="L554" s="101">
        <v>1467</v>
      </c>
      <c r="M554" s="101">
        <v>11454.2</v>
      </c>
      <c r="N554" s="101">
        <v>4242.7220000000007</v>
      </c>
      <c r="O554" s="101">
        <v>28</v>
      </c>
      <c r="P554" s="101">
        <v>29</v>
      </c>
      <c r="Q554" s="101">
        <v>2070</v>
      </c>
      <c r="R554" s="101">
        <v>46747.99</v>
      </c>
      <c r="S554" s="101">
        <v>5756.6549999999997</v>
      </c>
      <c r="T554" s="133">
        <v>1.02</v>
      </c>
      <c r="U554" s="101">
        <f t="shared" si="70"/>
        <v>28.560000000000002</v>
      </c>
      <c r="V554" s="101">
        <f t="shared" si="71"/>
        <v>29.580000000000002</v>
      </c>
      <c r="W554" s="101">
        <f t="shared" si="72"/>
        <v>2111.4</v>
      </c>
      <c r="X554" s="101">
        <f t="shared" si="73"/>
        <v>47682.949800000002</v>
      </c>
      <c r="Y554" s="101">
        <f t="shared" si="74"/>
        <v>5871.7880999999998</v>
      </c>
      <c r="AG554" s="225"/>
      <c r="AH554" s="101"/>
      <c r="AI554" s="101"/>
      <c r="AJ554" s="101"/>
    </row>
    <row r="555" spans="1:36" hidden="1" x14ac:dyDescent="0.3">
      <c r="A555" s="126" t="s">
        <v>184</v>
      </c>
      <c r="B555" s="126">
        <v>35</v>
      </c>
      <c r="C555" s="126">
        <v>71</v>
      </c>
      <c r="D555" s="126" t="str">
        <f t="shared" si="69"/>
        <v>3571</v>
      </c>
      <c r="E555" s="101">
        <v>764</v>
      </c>
      <c r="F555" s="101">
        <v>6388.5</v>
      </c>
      <c r="G555" s="101">
        <v>28000</v>
      </c>
      <c r="H555" s="101">
        <v>228512.72</v>
      </c>
      <c r="I555" s="101">
        <v>153583.8615</v>
      </c>
      <c r="J555" s="101">
        <v>703</v>
      </c>
      <c r="K555" s="101">
        <v>8196</v>
      </c>
      <c r="L555" s="101">
        <v>32624</v>
      </c>
      <c r="M555" s="101">
        <v>283677.06</v>
      </c>
      <c r="N555" s="101">
        <v>170124.83700000003</v>
      </c>
      <c r="O555" s="101">
        <v>291</v>
      </c>
      <c r="P555" s="101">
        <v>8350</v>
      </c>
      <c r="Q555" s="101">
        <v>35807</v>
      </c>
      <c r="R555" s="101">
        <v>361355.01</v>
      </c>
      <c r="S555" s="101">
        <v>204139.20699999999</v>
      </c>
      <c r="T555" s="133">
        <v>0.98</v>
      </c>
      <c r="U555" s="101">
        <f t="shared" si="70"/>
        <v>285.18</v>
      </c>
      <c r="V555" s="101">
        <f t="shared" si="71"/>
        <v>8183</v>
      </c>
      <c r="W555" s="101">
        <f t="shared" si="72"/>
        <v>35090.86</v>
      </c>
      <c r="X555" s="101">
        <f t="shared" si="73"/>
        <v>354127.90980000002</v>
      </c>
      <c r="Y555" s="101">
        <f t="shared" si="74"/>
        <v>200056.42285999999</v>
      </c>
      <c r="AG555" s="225"/>
      <c r="AH555" s="101">
        <v>30000</v>
      </c>
      <c r="AI555" s="101">
        <f t="shared" si="75"/>
        <v>24000</v>
      </c>
      <c r="AJ555" s="101">
        <f t="shared" si="76"/>
        <v>36000</v>
      </c>
    </row>
    <row r="556" spans="1:36" hidden="1" x14ac:dyDescent="0.3">
      <c r="A556" s="126" t="s">
        <v>184</v>
      </c>
      <c r="B556" s="126">
        <v>35</v>
      </c>
      <c r="C556" s="126">
        <v>1</v>
      </c>
      <c r="D556" s="126" t="str">
        <f t="shared" si="69"/>
        <v>351</v>
      </c>
      <c r="J556" s="101">
        <v>49</v>
      </c>
      <c r="K556" s="101">
        <v>49</v>
      </c>
      <c r="L556" s="101">
        <v>25689</v>
      </c>
      <c r="M556" s="101">
        <v>0</v>
      </c>
      <c r="N556" s="101">
        <v>72965</v>
      </c>
      <c r="O556" s="101">
        <v>128</v>
      </c>
      <c r="P556" s="101">
        <v>128</v>
      </c>
      <c r="Q556" s="101">
        <v>23258</v>
      </c>
      <c r="S556" s="101">
        <v>89032</v>
      </c>
      <c r="T556" s="133">
        <v>1.02</v>
      </c>
      <c r="U556" s="101">
        <f t="shared" si="70"/>
        <v>130.56</v>
      </c>
      <c r="V556" s="101">
        <f t="shared" si="71"/>
        <v>130.56</v>
      </c>
      <c r="W556" s="101">
        <f t="shared" si="72"/>
        <v>23723.16</v>
      </c>
      <c r="X556" s="101">
        <f t="shared" si="73"/>
        <v>0</v>
      </c>
      <c r="Y556" s="101">
        <f t="shared" si="74"/>
        <v>90812.64</v>
      </c>
      <c r="AG556" s="225"/>
      <c r="AH556" s="101"/>
      <c r="AI556" s="101"/>
      <c r="AJ556" s="101"/>
    </row>
    <row r="557" spans="1:36" hidden="1" x14ac:dyDescent="0.3">
      <c r="A557" s="126" t="s">
        <v>184</v>
      </c>
      <c r="B557" s="126">
        <v>35</v>
      </c>
      <c r="C557" s="126">
        <v>37</v>
      </c>
      <c r="D557" s="126" t="str">
        <f t="shared" si="69"/>
        <v>3537</v>
      </c>
      <c r="E557" s="101">
        <v>8.5</v>
      </c>
      <c r="F557" s="101">
        <v>35</v>
      </c>
      <c r="G557" s="101">
        <v>22204.5</v>
      </c>
      <c r="H557" s="101">
        <v>33207.4375</v>
      </c>
      <c r="I557" s="101">
        <v>11181.072750000001</v>
      </c>
      <c r="J557" s="101">
        <v>4</v>
      </c>
      <c r="K557" s="101">
        <v>7</v>
      </c>
      <c r="L557" s="101">
        <v>14855</v>
      </c>
      <c r="M557" s="101">
        <v>27499.600000000002</v>
      </c>
      <c r="N557" s="101">
        <v>15821.677</v>
      </c>
      <c r="O557" s="101">
        <v>0</v>
      </c>
      <c r="P557" s="101">
        <v>0</v>
      </c>
      <c r="Q557" s="101">
        <v>0</v>
      </c>
      <c r="R557" s="101">
        <v>0</v>
      </c>
      <c r="S557" s="101">
        <v>0</v>
      </c>
      <c r="T557" s="133">
        <v>1.02</v>
      </c>
      <c r="U557" s="101">
        <f t="shared" si="70"/>
        <v>0</v>
      </c>
      <c r="V557" s="101">
        <f t="shared" si="71"/>
        <v>0</v>
      </c>
      <c r="W557" s="101">
        <f t="shared" si="72"/>
        <v>0</v>
      </c>
      <c r="X557" s="101">
        <f t="shared" si="73"/>
        <v>0</v>
      </c>
      <c r="Y557" s="101">
        <f t="shared" si="74"/>
        <v>0</v>
      </c>
      <c r="AG557" s="225"/>
      <c r="AH557" s="101">
        <v>30000</v>
      </c>
      <c r="AI557" s="101">
        <f t="shared" si="75"/>
        <v>24000</v>
      </c>
      <c r="AJ557" s="101">
        <f t="shared" si="76"/>
        <v>36000</v>
      </c>
    </row>
    <row r="558" spans="1:36" hidden="1" x14ac:dyDescent="0.3">
      <c r="A558" s="126" t="s">
        <v>185</v>
      </c>
      <c r="B558" s="126">
        <v>36</v>
      </c>
      <c r="C558" s="126">
        <v>22</v>
      </c>
      <c r="D558" s="126" t="str">
        <f t="shared" si="69"/>
        <v>3622</v>
      </c>
      <c r="E558" s="101">
        <v>423</v>
      </c>
      <c r="F558" s="101">
        <v>2550</v>
      </c>
      <c r="G558" s="101">
        <v>41323</v>
      </c>
      <c r="H558" s="101">
        <v>212892.01</v>
      </c>
      <c r="I558" s="101">
        <v>197900.26199999999</v>
      </c>
      <c r="J558" s="101">
        <v>536</v>
      </c>
      <c r="K558" s="101">
        <v>3820</v>
      </c>
      <c r="L558" s="101">
        <v>32844</v>
      </c>
      <c r="M558" s="101">
        <v>297271</v>
      </c>
      <c r="N558" s="101">
        <v>231219</v>
      </c>
      <c r="O558" s="101">
        <v>540</v>
      </c>
      <c r="P558" s="101">
        <v>3016</v>
      </c>
      <c r="Q558" s="101">
        <v>26013</v>
      </c>
      <c r="R558" s="101">
        <v>177871.73999999996</v>
      </c>
      <c r="S558" s="101">
        <v>139387.03200000001</v>
      </c>
      <c r="T558" s="133">
        <v>1.02</v>
      </c>
      <c r="U558" s="101">
        <f t="shared" si="70"/>
        <v>550.79999999999995</v>
      </c>
      <c r="V558" s="101">
        <f t="shared" si="71"/>
        <v>3076.32</v>
      </c>
      <c r="W558" s="101">
        <f t="shared" si="72"/>
        <v>26533.260000000002</v>
      </c>
      <c r="X558" s="101">
        <f t="shared" si="73"/>
        <v>181429.17479999995</v>
      </c>
      <c r="Y558" s="101">
        <f t="shared" si="74"/>
        <v>142174.77264000001</v>
      </c>
      <c r="AG558" s="225">
        <f>SUM(V558:V574)</f>
        <v>27407.019999999997</v>
      </c>
      <c r="AH558" s="101">
        <v>30000</v>
      </c>
      <c r="AI558" s="101">
        <f t="shared" si="75"/>
        <v>24000</v>
      </c>
      <c r="AJ558" s="101">
        <f t="shared" si="76"/>
        <v>36000</v>
      </c>
    </row>
    <row r="559" spans="1:36" hidden="1" x14ac:dyDescent="0.3">
      <c r="A559" s="126" t="s">
        <v>185</v>
      </c>
      <c r="B559" s="126">
        <v>36</v>
      </c>
      <c r="C559" s="126">
        <v>25</v>
      </c>
      <c r="D559" s="126" t="str">
        <f t="shared" si="69"/>
        <v>3625</v>
      </c>
      <c r="E559" s="101">
        <v>182</v>
      </c>
      <c r="F559" s="101">
        <v>1869</v>
      </c>
      <c r="G559" s="101">
        <v>66908</v>
      </c>
      <c r="H559" s="101">
        <v>895940.53999999992</v>
      </c>
      <c r="I559" s="101">
        <v>228544.01099999997</v>
      </c>
      <c r="J559" s="101">
        <v>114</v>
      </c>
      <c r="K559" s="101">
        <v>1506</v>
      </c>
      <c r="L559" s="101">
        <v>33792</v>
      </c>
      <c r="M559" s="101">
        <v>317694</v>
      </c>
      <c r="N559" s="101">
        <v>154646</v>
      </c>
      <c r="O559" s="101">
        <v>198</v>
      </c>
      <c r="P559" s="101">
        <v>2267</v>
      </c>
      <c r="Q559" s="101">
        <v>80652</v>
      </c>
      <c r="R559" s="101">
        <v>1321067.3400000001</v>
      </c>
      <c r="S559" s="101">
        <v>495375.66399999993</v>
      </c>
      <c r="T559" s="133">
        <v>1.02</v>
      </c>
      <c r="U559" s="101">
        <f t="shared" si="70"/>
        <v>201.96</v>
      </c>
      <c r="V559" s="101">
        <f t="shared" si="71"/>
        <v>2312.34</v>
      </c>
      <c r="W559" s="101">
        <f t="shared" si="72"/>
        <v>82265.040000000008</v>
      </c>
      <c r="X559" s="101">
        <f t="shared" si="73"/>
        <v>1347488.6868</v>
      </c>
      <c r="Y559" s="101">
        <f t="shared" si="74"/>
        <v>505283.17727999995</v>
      </c>
      <c r="AG559" s="225"/>
      <c r="AH559" s="101">
        <v>30000</v>
      </c>
      <c r="AI559" s="101">
        <f t="shared" si="75"/>
        <v>24000</v>
      </c>
      <c r="AJ559" s="101">
        <f t="shared" si="76"/>
        <v>36000</v>
      </c>
    </row>
    <row r="560" spans="1:36" hidden="1" x14ac:dyDescent="0.3">
      <c r="A560" s="126" t="s">
        <v>185</v>
      </c>
      <c r="B560" s="126">
        <v>36</v>
      </c>
      <c r="C560" s="126">
        <v>27</v>
      </c>
      <c r="D560" s="126" t="str">
        <f t="shared" si="69"/>
        <v>3627</v>
      </c>
      <c r="E560" s="101">
        <v>18</v>
      </c>
      <c r="F560" s="101">
        <v>404</v>
      </c>
      <c r="G560" s="101">
        <v>2940</v>
      </c>
      <c r="H560" s="101">
        <v>54004.38</v>
      </c>
      <c r="I560" s="101">
        <v>19932.684000000001</v>
      </c>
      <c r="J560" s="101">
        <v>41</v>
      </c>
      <c r="K560" s="101">
        <v>42</v>
      </c>
      <c r="L560" s="101">
        <v>246</v>
      </c>
      <c r="M560" s="101">
        <v>5479</v>
      </c>
      <c r="N560" s="101">
        <v>888</v>
      </c>
      <c r="O560" s="101">
        <v>10</v>
      </c>
      <c r="P560" s="101">
        <v>35</v>
      </c>
      <c r="Q560" s="101">
        <v>215</v>
      </c>
      <c r="R560" s="101">
        <v>3511.9399999999996</v>
      </c>
      <c r="S560" s="101">
        <v>1768.4190000000001</v>
      </c>
      <c r="T560" s="133">
        <v>1.02</v>
      </c>
      <c r="U560" s="101">
        <f t="shared" si="70"/>
        <v>10.199999999999999</v>
      </c>
      <c r="V560" s="101">
        <f t="shared" si="71"/>
        <v>35.700000000000003</v>
      </c>
      <c r="W560" s="101">
        <f t="shared" si="72"/>
        <v>219.3</v>
      </c>
      <c r="X560" s="101">
        <f t="shared" si="73"/>
        <v>3582.1787999999997</v>
      </c>
      <c r="Y560" s="101">
        <f t="shared" si="74"/>
        <v>1803.7873800000002</v>
      </c>
      <c r="AG560" s="225"/>
      <c r="AH560" s="101">
        <v>30000</v>
      </c>
      <c r="AI560" s="101">
        <f t="shared" si="75"/>
        <v>24000</v>
      </c>
      <c r="AJ560" s="101">
        <f t="shared" si="76"/>
        <v>36000</v>
      </c>
    </row>
    <row r="561" spans="1:36" hidden="1" x14ac:dyDescent="0.3">
      <c r="A561" s="126" t="s">
        <v>185</v>
      </c>
      <c r="B561" s="126">
        <v>36</v>
      </c>
      <c r="C561" s="126">
        <v>26</v>
      </c>
      <c r="D561" s="126" t="str">
        <f t="shared" si="69"/>
        <v>3626</v>
      </c>
      <c r="E561" s="101">
        <v>114</v>
      </c>
      <c r="F561" s="101">
        <v>2665</v>
      </c>
      <c r="G561" s="101">
        <v>32003</v>
      </c>
      <c r="H561" s="101">
        <v>363076.43000000005</v>
      </c>
      <c r="I561" s="101">
        <v>214444</v>
      </c>
      <c r="J561" s="101">
        <v>86</v>
      </c>
      <c r="K561" s="101">
        <v>3598</v>
      </c>
      <c r="L561" s="101">
        <v>25877</v>
      </c>
      <c r="M561" s="101">
        <v>343906</v>
      </c>
      <c r="N561" s="101">
        <v>106772</v>
      </c>
      <c r="O561" s="101">
        <v>16</v>
      </c>
      <c r="P561" s="101">
        <v>797</v>
      </c>
      <c r="Q561" s="101">
        <v>9975</v>
      </c>
      <c r="R561" s="101">
        <v>171783.56</v>
      </c>
      <c r="S561" s="101">
        <v>49514.249000000003</v>
      </c>
      <c r="T561" s="133">
        <v>1.02</v>
      </c>
      <c r="U561" s="101">
        <f t="shared" si="70"/>
        <v>16.32</v>
      </c>
      <c r="V561" s="101">
        <f t="shared" si="71"/>
        <v>812.94</v>
      </c>
      <c r="W561" s="101">
        <f t="shared" si="72"/>
        <v>10174.5</v>
      </c>
      <c r="X561" s="101">
        <f t="shared" si="73"/>
        <v>175219.23120000001</v>
      </c>
      <c r="Y561" s="101">
        <f t="shared" si="74"/>
        <v>50504.533980000007</v>
      </c>
      <c r="AG561" s="225"/>
      <c r="AH561" s="101">
        <v>30000</v>
      </c>
      <c r="AI561" s="101">
        <f t="shared" si="75"/>
        <v>24000</v>
      </c>
      <c r="AJ561" s="101">
        <f t="shared" si="76"/>
        <v>36000</v>
      </c>
    </row>
    <row r="562" spans="1:36" hidden="1" x14ac:dyDescent="0.3">
      <c r="A562" s="126" t="s">
        <v>185</v>
      </c>
      <c r="B562" s="126">
        <v>36</v>
      </c>
      <c r="C562" s="126">
        <v>32</v>
      </c>
      <c r="D562" s="126" t="str">
        <f t="shared" si="69"/>
        <v>3632</v>
      </c>
      <c r="E562" s="101">
        <v>625</v>
      </c>
      <c r="F562" s="101">
        <v>2389</v>
      </c>
      <c r="G562" s="101">
        <v>68610</v>
      </c>
      <c r="H562" s="101">
        <v>1130319.9000000001</v>
      </c>
      <c r="I562" s="101">
        <v>453871.89199999999</v>
      </c>
      <c r="J562" s="101">
        <v>291</v>
      </c>
      <c r="K562" s="101">
        <v>1017</v>
      </c>
      <c r="L562" s="101">
        <v>15063</v>
      </c>
      <c r="M562" s="101">
        <v>237402</v>
      </c>
      <c r="N562" s="101">
        <v>65299</v>
      </c>
      <c r="O562" s="101">
        <v>214</v>
      </c>
      <c r="P562" s="101">
        <v>915</v>
      </c>
      <c r="Q562" s="101">
        <v>14264</v>
      </c>
      <c r="R562" s="101">
        <v>380896.74</v>
      </c>
      <c r="S562" s="101">
        <v>109554.76800000001</v>
      </c>
      <c r="T562" s="133">
        <v>1.02</v>
      </c>
      <c r="U562" s="101">
        <f>O562*$T$5+5</f>
        <v>223.28</v>
      </c>
      <c r="V562" s="101">
        <f>P562*$T$5+41</f>
        <v>974.30000000000007</v>
      </c>
      <c r="W562" s="101">
        <f>Q562*$T$5+3956</f>
        <v>18505.28</v>
      </c>
      <c r="X562" s="101">
        <f>R562*$T$5+12815</f>
        <v>401329.67479999998</v>
      </c>
      <c r="Y562" s="101">
        <f>S562*$T$5+5607</f>
        <v>117352.86336000002</v>
      </c>
      <c r="AG562" s="225"/>
      <c r="AH562" s="101">
        <v>30000</v>
      </c>
      <c r="AI562" s="101">
        <f t="shared" si="75"/>
        <v>24000</v>
      </c>
      <c r="AJ562" s="101">
        <f t="shared" si="76"/>
        <v>36000</v>
      </c>
    </row>
    <row r="563" spans="1:36" hidden="1" x14ac:dyDescent="0.3">
      <c r="A563" s="126" t="s">
        <v>185</v>
      </c>
      <c r="B563" s="126">
        <v>36</v>
      </c>
      <c r="C563" s="126">
        <v>21</v>
      </c>
      <c r="D563" s="126" t="str">
        <f t="shared" si="69"/>
        <v>3621</v>
      </c>
      <c r="E563" s="101">
        <v>1037</v>
      </c>
      <c r="F563" s="101">
        <v>4814</v>
      </c>
      <c r="G563" s="101">
        <v>50524.5</v>
      </c>
      <c r="H563" s="101">
        <v>484984.19</v>
      </c>
      <c r="I563" s="101">
        <v>140642.476</v>
      </c>
      <c r="J563" s="101">
        <v>0</v>
      </c>
      <c r="K563" s="101">
        <v>0</v>
      </c>
      <c r="L563" s="101">
        <v>0</v>
      </c>
      <c r="M563" s="101">
        <v>0</v>
      </c>
      <c r="N563" s="101">
        <v>0</v>
      </c>
      <c r="O563" s="101">
        <v>58</v>
      </c>
      <c r="P563" s="101">
        <v>229</v>
      </c>
      <c r="Q563" s="101">
        <v>4190</v>
      </c>
      <c r="R563" s="101">
        <v>56618.979999999996</v>
      </c>
      <c r="S563" s="101">
        <v>20362.699999999997</v>
      </c>
      <c r="T563" s="133">
        <v>1.02</v>
      </c>
      <c r="U563" s="101">
        <v>872</v>
      </c>
      <c r="V563" s="101">
        <v>6988</v>
      </c>
      <c r="W563" s="101">
        <v>46510</v>
      </c>
      <c r="X563" s="101">
        <v>660847</v>
      </c>
      <c r="Y563" s="101">
        <v>179975</v>
      </c>
      <c r="AG563" s="225"/>
      <c r="AH563" s="101">
        <v>30000</v>
      </c>
      <c r="AI563" s="101">
        <f t="shared" si="75"/>
        <v>24000</v>
      </c>
      <c r="AJ563" s="101">
        <f t="shared" si="76"/>
        <v>36000</v>
      </c>
    </row>
    <row r="564" spans="1:36" hidden="1" x14ac:dyDescent="0.3">
      <c r="A564" s="126" t="s">
        <v>185</v>
      </c>
      <c r="B564" s="126">
        <v>36</v>
      </c>
      <c r="C564" s="126">
        <v>30</v>
      </c>
      <c r="D564" s="126" t="str">
        <f t="shared" si="69"/>
        <v>3630</v>
      </c>
      <c r="E564" s="101">
        <v>264</v>
      </c>
      <c r="F564" s="101">
        <v>3776.5</v>
      </c>
      <c r="G564" s="101">
        <v>15760.5</v>
      </c>
      <c r="H564" s="101">
        <v>399227.03500000003</v>
      </c>
      <c r="I564" s="101">
        <v>134854.06449999998</v>
      </c>
      <c r="J564" s="101">
        <v>524</v>
      </c>
      <c r="K564" s="101">
        <v>9053</v>
      </c>
      <c r="L564" s="101">
        <v>48039</v>
      </c>
      <c r="M564" s="101">
        <v>1197720</v>
      </c>
      <c r="N564" s="101">
        <v>382040</v>
      </c>
      <c r="O564" s="101">
        <v>393</v>
      </c>
      <c r="P564" s="101">
        <v>7671</v>
      </c>
      <c r="Q564" s="101">
        <v>30478</v>
      </c>
      <c r="R564" s="101">
        <v>757088.68</v>
      </c>
      <c r="S564" s="101">
        <v>284722.95</v>
      </c>
      <c r="T564" s="133">
        <v>1.02</v>
      </c>
      <c r="U564" s="101">
        <f t="shared" si="70"/>
        <v>400.86</v>
      </c>
      <c r="V564" s="101">
        <f t="shared" si="71"/>
        <v>7824.42</v>
      </c>
      <c r="W564" s="101">
        <f t="shared" si="72"/>
        <v>31087.56</v>
      </c>
      <c r="X564" s="101">
        <f t="shared" si="73"/>
        <v>772230.45360000001</v>
      </c>
      <c r="Y564" s="101">
        <f t="shared" si="74"/>
        <v>290417.40900000004</v>
      </c>
      <c r="AG564" s="225"/>
      <c r="AH564" s="101">
        <v>30000</v>
      </c>
      <c r="AI564" s="101">
        <f t="shared" si="75"/>
        <v>24000</v>
      </c>
      <c r="AJ564" s="101">
        <f t="shared" si="76"/>
        <v>36000</v>
      </c>
    </row>
    <row r="565" spans="1:36" hidden="1" x14ac:dyDescent="0.3">
      <c r="A565" s="126" t="s">
        <v>185</v>
      </c>
      <c r="B565" s="126">
        <v>36</v>
      </c>
      <c r="C565" s="126">
        <v>28</v>
      </c>
      <c r="D565" s="126" t="str">
        <f t="shared" si="69"/>
        <v>3628</v>
      </c>
      <c r="J565" s="101">
        <v>37</v>
      </c>
      <c r="K565" s="101">
        <v>52</v>
      </c>
      <c r="L565" s="101">
        <v>824</v>
      </c>
      <c r="M565" s="101">
        <v>31163</v>
      </c>
      <c r="N565" s="101">
        <v>9024</v>
      </c>
      <c r="O565" s="101">
        <v>70</v>
      </c>
      <c r="P565" s="101">
        <v>411</v>
      </c>
      <c r="Q565" s="101">
        <v>7218</v>
      </c>
      <c r="R565" s="101">
        <v>68144.02</v>
      </c>
      <c r="S565" s="101">
        <v>25241.655999999999</v>
      </c>
      <c r="T565" s="133">
        <v>1.02</v>
      </c>
      <c r="U565" s="101">
        <v>251</v>
      </c>
      <c r="V565" s="101">
        <v>5230</v>
      </c>
      <c r="W565" s="101">
        <v>45445</v>
      </c>
      <c r="X565" s="144">
        <f t="shared" si="73"/>
        <v>69506.900399999999</v>
      </c>
      <c r="Y565" s="101">
        <v>144275</v>
      </c>
      <c r="AG565" s="225"/>
      <c r="AH565" s="101"/>
      <c r="AI565" s="101"/>
      <c r="AJ565" s="101"/>
    </row>
    <row r="566" spans="1:36" x14ac:dyDescent="0.3">
      <c r="A566" s="126" t="s">
        <v>185</v>
      </c>
      <c r="B566" s="126">
        <v>36</v>
      </c>
      <c r="C566" s="126">
        <v>91</v>
      </c>
      <c r="D566" s="126" t="str">
        <f t="shared" si="69"/>
        <v>3691</v>
      </c>
      <c r="J566" s="101">
        <v>4</v>
      </c>
      <c r="K566" s="101">
        <v>19</v>
      </c>
      <c r="L566" s="101">
        <v>39</v>
      </c>
      <c r="M566" s="101">
        <v>160</v>
      </c>
      <c r="N566" s="101">
        <v>104</v>
      </c>
      <c r="O566" s="101">
        <v>5</v>
      </c>
      <c r="P566" s="101">
        <v>6</v>
      </c>
      <c r="Q566" s="101">
        <v>8</v>
      </c>
      <c r="R566" s="101">
        <v>75.430000000000007</v>
      </c>
      <c r="S566" s="101">
        <v>49.228999999999999</v>
      </c>
      <c r="T566" s="133">
        <v>1.02</v>
      </c>
      <c r="U566" s="101">
        <f t="shared" si="70"/>
        <v>5.0999999999999996</v>
      </c>
      <c r="V566" s="101">
        <f t="shared" si="71"/>
        <v>6.12</v>
      </c>
      <c r="W566" s="101">
        <f t="shared" si="72"/>
        <v>8.16</v>
      </c>
      <c r="X566" s="101">
        <f t="shared" si="73"/>
        <v>76.938600000000008</v>
      </c>
      <c r="Y566" s="101">
        <f t="shared" si="74"/>
        <v>50.21358</v>
      </c>
      <c r="AG566" s="225"/>
      <c r="AH566" s="101"/>
      <c r="AI566" s="101"/>
      <c r="AJ566" s="101"/>
    </row>
    <row r="567" spans="1:36" hidden="1" x14ac:dyDescent="0.3">
      <c r="A567" s="126" t="s">
        <v>185</v>
      </c>
      <c r="B567" s="126">
        <v>36</v>
      </c>
      <c r="C567" s="126">
        <v>34</v>
      </c>
      <c r="D567" s="126" t="str">
        <f t="shared" si="69"/>
        <v>3634</v>
      </c>
      <c r="J567" s="101">
        <v>1</v>
      </c>
      <c r="K567" s="101">
        <v>4</v>
      </c>
      <c r="L567" s="101">
        <v>4</v>
      </c>
      <c r="M567" s="101">
        <v>0</v>
      </c>
      <c r="N567" s="101">
        <v>16</v>
      </c>
      <c r="O567" s="101">
        <v>0</v>
      </c>
      <c r="P567" s="101">
        <v>0</v>
      </c>
      <c r="Q567" s="101">
        <v>0</v>
      </c>
      <c r="R567" s="101">
        <v>0</v>
      </c>
      <c r="S567" s="101">
        <v>0</v>
      </c>
      <c r="T567" s="133">
        <v>1.02</v>
      </c>
      <c r="U567" s="101">
        <f t="shared" si="70"/>
        <v>0</v>
      </c>
      <c r="V567" s="101">
        <f t="shared" si="71"/>
        <v>0</v>
      </c>
      <c r="W567" s="101">
        <f t="shared" si="72"/>
        <v>0</v>
      </c>
      <c r="X567" s="101">
        <f t="shared" si="73"/>
        <v>0</v>
      </c>
      <c r="Y567" s="101">
        <f t="shared" si="74"/>
        <v>0</v>
      </c>
      <c r="AG567" s="225"/>
      <c r="AH567" s="101"/>
      <c r="AI567" s="101"/>
      <c r="AJ567" s="101"/>
    </row>
    <row r="568" spans="1:36" hidden="1" x14ac:dyDescent="0.3">
      <c r="A568" s="126" t="s">
        <v>185</v>
      </c>
      <c r="B568" s="126">
        <v>36</v>
      </c>
      <c r="C568" s="126">
        <v>41</v>
      </c>
      <c r="D568" s="126" t="str">
        <f t="shared" si="69"/>
        <v>3641</v>
      </c>
      <c r="J568" s="101">
        <v>8</v>
      </c>
      <c r="K568" s="101">
        <v>17</v>
      </c>
      <c r="L568" s="101">
        <v>253</v>
      </c>
      <c r="M568" s="101">
        <v>1639</v>
      </c>
      <c r="N568" s="101">
        <v>751</v>
      </c>
      <c r="O568" s="101">
        <v>7</v>
      </c>
      <c r="P568" s="101">
        <v>29</v>
      </c>
      <c r="Q568" s="101">
        <v>268</v>
      </c>
      <c r="R568" s="101">
        <v>2244.9899999999998</v>
      </c>
      <c r="S568" s="101">
        <v>660.25400000000002</v>
      </c>
      <c r="T568" s="133">
        <v>1.02</v>
      </c>
      <c r="U568" s="101">
        <f t="shared" si="70"/>
        <v>7.1400000000000006</v>
      </c>
      <c r="V568" s="101">
        <f t="shared" si="71"/>
        <v>29.580000000000002</v>
      </c>
      <c r="W568" s="101">
        <f t="shared" si="72"/>
        <v>273.36</v>
      </c>
      <c r="X568" s="101">
        <f t="shared" si="73"/>
        <v>2289.8897999999999</v>
      </c>
      <c r="Y568" s="101">
        <f t="shared" si="74"/>
        <v>673.45908000000009</v>
      </c>
      <c r="AG568" s="225"/>
      <c r="AH568" s="101"/>
      <c r="AI568" s="101"/>
      <c r="AJ568" s="101"/>
    </row>
    <row r="569" spans="1:36" hidden="1" x14ac:dyDescent="0.3">
      <c r="A569" s="126" t="s">
        <v>185</v>
      </c>
      <c r="B569" s="126">
        <v>36</v>
      </c>
      <c r="C569" s="126">
        <v>46</v>
      </c>
      <c r="D569" s="126" t="str">
        <f t="shared" si="69"/>
        <v>3646</v>
      </c>
      <c r="J569" s="101">
        <v>4</v>
      </c>
      <c r="K569" s="101">
        <v>5</v>
      </c>
      <c r="L569" s="101">
        <v>8</v>
      </c>
      <c r="M569" s="101">
        <v>262</v>
      </c>
      <c r="N569" s="101">
        <v>88</v>
      </c>
      <c r="O569" s="101">
        <v>4</v>
      </c>
      <c r="P569" s="101">
        <v>6</v>
      </c>
      <c r="Q569" s="101">
        <v>457</v>
      </c>
      <c r="R569" s="101">
        <v>32948.949999999997</v>
      </c>
      <c r="S569" s="101">
        <v>23153.635999999999</v>
      </c>
      <c r="T569" s="133">
        <v>1.02</v>
      </c>
      <c r="U569" s="101">
        <f t="shared" si="70"/>
        <v>4.08</v>
      </c>
      <c r="V569" s="101">
        <f t="shared" si="71"/>
        <v>6.12</v>
      </c>
      <c r="W569" s="101">
        <f t="shared" si="72"/>
        <v>466.14</v>
      </c>
      <c r="X569" s="101">
        <f t="shared" si="73"/>
        <v>33607.928999999996</v>
      </c>
      <c r="Y569" s="101">
        <f t="shared" si="74"/>
        <v>23616.708719999999</v>
      </c>
      <c r="AG569" s="225"/>
      <c r="AH569" s="101"/>
      <c r="AI569" s="101"/>
      <c r="AJ569" s="101"/>
    </row>
    <row r="570" spans="1:36" hidden="1" x14ac:dyDescent="0.3">
      <c r="A570" s="126" t="s">
        <v>185</v>
      </c>
      <c r="B570" s="126">
        <v>36</v>
      </c>
      <c r="C570" s="126">
        <v>66</v>
      </c>
      <c r="D570" s="126" t="str">
        <f t="shared" si="69"/>
        <v>3666</v>
      </c>
      <c r="J570" s="101">
        <v>40</v>
      </c>
      <c r="K570" s="101">
        <v>41</v>
      </c>
      <c r="L570" s="101">
        <v>847</v>
      </c>
      <c r="M570" s="101">
        <v>13132</v>
      </c>
      <c r="N570" s="101">
        <v>7073</v>
      </c>
      <c r="O570" s="101">
        <v>24</v>
      </c>
      <c r="P570" s="101">
        <v>31</v>
      </c>
      <c r="Q570" s="101">
        <v>884</v>
      </c>
      <c r="R570" s="101">
        <v>13111.61</v>
      </c>
      <c r="S570" s="101">
        <v>14166.952000000001</v>
      </c>
      <c r="T570" s="133">
        <v>1.02</v>
      </c>
      <c r="U570" s="101">
        <f t="shared" si="70"/>
        <v>24.48</v>
      </c>
      <c r="V570" s="101">
        <f t="shared" si="71"/>
        <v>31.62</v>
      </c>
      <c r="W570" s="101">
        <f t="shared" si="72"/>
        <v>901.68000000000006</v>
      </c>
      <c r="X570" s="101">
        <f t="shared" si="73"/>
        <v>13373.842200000001</v>
      </c>
      <c r="Y570" s="101">
        <f t="shared" si="74"/>
        <v>14450.291040000002</v>
      </c>
      <c r="AG570" s="225"/>
      <c r="AH570" s="101"/>
      <c r="AI570" s="101"/>
      <c r="AJ570" s="101"/>
    </row>
    <row r="571" spans="1:36" hidden="1" x14ac:dyDescent="0.3">
      <c r="A571" s="126" t="s">
        <v>185</v>
      </c>
      <c r="B571" s="126">
        <v>36</v>
      </c>
      <c r="C571" s="126">
        <v>71</v>
      </c>
      <c r="D571" s="126" t="str">
        <f t="shared" si="69"/>
        <v>3671</v>
      </c>
      <c r="E571" s="101">
        <v>613.5</v>
      </c>
      <c r="F571" s="101">
        <v>7136</v>
      </c>
      <c r="G571" s="101">
        <v>24601.5</v>
      </c>
      <c r="H571" s="101">
        <v>195040.74000000005</v>
      </c>
      <c r="I571" s="101">
        <v>97210.214500000002</v>
      </c>
      <c r="J571" s="101">
        <v>692</v>
      </c>
      <c r="K571" s="101">
        <v>8319</v>
      </c>
      <c r="L571" s="101">
        <v>25111</v>
      </c>
      <c r="M571" s="101">
        <v>183230</v>
      </c>
      <c r="N571" s="101">
        <v>113367</v>
      </c>
      <c r="O571" s="101">
        <v>214</v>
      </c>
      <c r="P571" s="101">
        <v>9382</v>
      </c>
      <c r="Q571" s="101">
        <v>32522</v>
      </c>
      <c r="R571" s="101">
        <v>241649.12</v>
      </c>
      <c r="S571" s="101">
        <v>110268.00599999999</v>
      </c>
      <c r="T571" s="133">
        <v>0.98</v>
      </c>
      <c r="AG571" s="225"/>
      <c r="AH571" s="101">
        <v>30000</v>
      </c>
      <c r="AI571" s="101">
        <f t="shared" si="75"/>
        <v>24000</v>
      </c>
      <c r="AJ571" s="101">
        <f t="shared" si="76"/>
        <v>36000</v>
      </c>
    </row>
    <row r="572" spans="1:36" hidden="1" x14ac:dyDescent="0.3">
      <c r="A572" s="126" t="s">
        <v>185</v>
      </c>
      <c r="B572" s="126">
        <v>36</v>
      </c>
      <c r="C572" s="126">
        <v>12</v>
      </c>
      <c r="D572" s="126" t="str">
        <f t="shared" si="69"/>
        <v>3612</v>
      </c>
      <c r="O572" s="101">
        <v>1</v>
      </c>
      <c r="P572" s="101">
        <v>1</v>
      </c>
      <c r="Q572" s="101">
        <v>1</v>
      </c>
      <c r="R572" s="101">
        <v>0</v>
      </c>
      <c r="S572" s="101">
        <v>3.1539999999999999</v>
      </c>
      <c r="T572" s="133">
        <v>1.02</v>
      </c>
      <c r="U572" s="101">
        <f t="shared" si="70"/>
        <v>1.02</v>
      </c>
      <c r="V572" s="101">
        <f t="shared" si="71"/>
        <v>1.02</v>
      </c>
      <c r="W572" s="101">
        <f t="shared" si="72"/>
        <v>1.02</v>
      </c>
      <c r="X572" s="101">
        <f t="shared" si="73"/>
        <v>0</v>
      </c>
      <c r="Y572" s="101">
        <f t="shared" si="74"/>
        <v>3.2170800000000002</v>
      </c>
      <c r="AG572" s="225"/>
      <c r="AH572" s="101"/>
      <c r="AI572" s="101"/>
      <c r="AJ572" s="101"/>
    </row>
    <row r="573" spans="1:36" hidden="1" x14ac:dyDescent="0.3">
      <c r="A573" s="126" t="s">
        <v>185</v>
      </c>
      <c r="B573" s="126">
        <v>36</v>
      </c>
      <c r="C573" s="126">
        <v>1</v>
      </c>
      <c r="D573" s="126" t="str">
        <f t="shared" si="69"/>
        <v>361</v>
      </c>
      <c r="J573" s="101">
        <v>68</v>
      </c>
      <c r="K573" s="101">
        <v>68</v>
      </c>
      <c r="L573" s="101">
        <v>45662</v>
      </c>
      <c r="N573" s="101">
        <v>251401</v>
      </c>
      <c r="O573" s="101">
        <v>74</v>
      </c>
      <c r="P573" s="101">
        <v>76</v>
      </c>
      <c r="Q573" s="101">
        <v>28828</v>
      </c>
      <c r="S573" s="101">
        <v>208152</v>
      </c>
      <c r="T573" s="133">
        <v>1.02</v>
      </c>
      <c r="U573" s="101">
        <f t="shared" si="70"/>
        <v>75.48</v>
      </c>
      <c r="V573" s="101">
        <f t="shared" si="71"/>
        <v>77.52</v>
      </c>
      <c r="W573" s="101">
        <f t="shared" si="72"/>
        <v>29404.560000000001</v>
      </c>
      <c r="X573" s="101">
        <f t="shared" si="73"/>
        <v>0</v>
      </c>
      <c r="Y573" s="101">
        <f t="shared" si="74"/>
        <v>212315.04</v>
      </c>
      <c r="AG573" s="225"/>
      <c r="AH573" s="101"/>
      <c r="AI573" s="101"/>
      <c r="AJ573" s="101"/>
    </row>
    <row r="574" spans="1:36" hidden="1" x14ac:dyDescent="0.3">
      <c r="A574" s="126" t="s">
        <v>185</v>
      </c>
      <c r="B574" s="126">
        <v>36</v>
      </c>
      <c r="C574" s="126">
        <v>37</v>
      </c>
      <c r="D574" s="126" t="str">
        <f t="shared" si="69"/>
        <v>3637</v>
      </c>
      <c r="E574" s="101">
        <v>7.75</v>
      </c>
      <c r="F574" s="101">
        <v>18.5</v>
      </c>
      <c r="G574" s="101">
        <v>2559</v>
      </c>
      <c r="H574" s="101">
        <v>5220.9375</v>
      </c>
      <c r="I574" s="101">
        <v>3502.7527499999997</v>
      </c>
      <c r="J574" s="101">
        <v>4</v>
      </c>
      <c r="K574" s="101">
        <v>6</v>
      </c>
      <c r="L574" s="101">
        <v>42084</v>
      </c>
      <c r="M574" s="101">
        <v>43464</v>
      </c>
      <c r="N574" s="101">
        <v>28868</v>
      </c>
      <c r="O574" s="101">
        <v>1</v>
      </c>
      <c r="P574" s="101">
        <v>1</v>
      </c>
      <c r="Q574" s="101">
        <v>4000</v>
      </c>
      <c r="R574" s="101">
        <v>11280</v>
      </c>
      <c r="S574" s="101">
        <v>1980</v>
      </c>
      <c r="T574" s="133">
        <v>1.02</v>
      </c>
      <c r="U574" s="101">
        <f t="shared" si="70"/>
        <v>1.02</v>
      </c>
      <c r="V574" s="101">
        <f t="shared" si="71"/>
        <v>1.02</v>
      </c>
      <c r="W574" s="101">
        <f t="shared" si="72"/>
        <v>4080</v>
      </c>
      <c r="X574" s="101">
        <f t="shared" si="73"/>
        <v>11505.6</v>
      </c>
      <c r="Y574" s="101">
        <f t="shared" si="74"/>
        <v>2019.6000000000001</v>
      </c>
      <c r="AG574" s="225"/>
      <c r="AH574" s="101">
        <v>30000</v>
      </c>
      <c r="AI574" s="101">
        <f t="shared" si="75"/>
        <v>24000</v>
      </c>
      <c r="AJ574" s="101">
        <f t="shared" si="76"/>
        <v>36000</v>
      </c>
    </row>
    <row r="575" spans="1:36" hidden="1" x14ac:dyDescent="0.3">
      <c r="A575" s="126" t="s">
        <v>185</v>
      </c>
      <c r="B575" s="126">
        <v>37</v>
      </c>
      <c r="C575" s="126">
        <v>22</v>
      </c>
      <c r="D575" s="126" t="str">
        <f t="shared" si="69"/>
        <v>3722</v>
      </c>
      <c r="E575" s="101">
        <v>472</v>
      </c>
      <c r="F575" s="101">
        <v>2689</v>
      </c>
      <c r="G575" s="101">
        <v>32126</v>
      </c>
      <c r="H575" s="101">
        <v>146042.43</v>
      </c>
      <c r="I575" s="101">
        <v>149908.64199999999</v>
      </c>
      <c r="J575" s="101">
        <v>425</v>
      </c>
      <c r="K575" s="101">
        <v>2871</v>
      </c>
      <c r="L575" s="101">
        <v>32819</v>
      </c>
      <c r="M575" s="101">
        <v>178668.09</v>
      </c>
      <c r="N575" s="101">
        <v>137794.45699999999</v>
      </c>
      <c r="O575" s="101">
        <v>553</v>
      </c>
      <c r="P575" s="101">
        <v>3094</v>
      </c>
      <c r="Q575" s="101">
        <v>30427</v>
      </c>
      <c r="R575" s="101">
        <v>193511.22</v>
      </c>
      <c r="S575" s="101">
        <v>94004.248000000007</v>
      </c>
      <c r="T575" s="133">
        <v>1.02</v>
      </c>
      <c r="U575" s="101">
        <f t="shared" si="70"/>
        <v>564.06000000000006</v>
      </c>
      <c r="V575" s="101">
        <f t="shared" si="71"/>
        <v>3155.88</v>
      </c>
      <c r="W575" s="101">
        <f t="shared" si="72"/>
        <v>31035.54</v>
      </c>
      <c r="X575" s="101">
        <f t="shared" si="73"/>
        <v>197381.44440000001</v>
      </c>
      <c r="Y575" s="101">
        <f t="shared" si="74"/>
        <v>95884.332960000014</v>
      </c>
      <c r="AG575" s="225">
        <f>SUM(V575:V589)</f>
        <v>34559.30000000001</v>
      </c>
      <c r="AH575" s="101">
        <v>30000</v>
      </c>
      <c r="AI575" s="101">
        <f t="shared" si="75"/>
        <v>24000</v>
      </c>
      <c r="AJ575" s="101">
        <f t="shared" si="76"/>
        <v>36000</v>
      </c>
    </row>
    <row r="576" spans="1:36" hidden="1" x14ac:dyDescent="0.3">
      <c r="A576" s="126" t="s">
        <v>185</v>
      </c>
      <c r="B576" s="126">
        <v>37</v>
      </c>
      <c r="C576" s="126">
        <v>25</v>
      </c>
      <c r="D576" s="126" t="str">
        <f t="shared" si="69"/>
        <v>3725</v>
      </c>
      <c r="E576" s="101">
        <v>215</v>
      </c>
      <c r="F576" s="101">
        <v>1508</v>
      </c>
      <c r="G576" s="101">
        <v>50487</v>
      </c>
      <c r="H576" s="101">
        <v>428503.10999999993</v>
      </c>
      <c r="I576" s="101">
        <v>266031.91500000004</v>
      </c>
      <c r="J576" s="101">
        <v>130</v>
      </c>
      <c r="K576" s="101">
        <v>1356</v>
      </c>
      <c r="L576" s="101">
        <v>27162</v>
      </c>
      <c r="M576" s="101">
        <v>522777.14</v>
      </c>
      <c r="N576" s="101">
        <v>234158.89499999999</v>
      </c>
      <c r="O576" s="101">
        <v>245</v>
      </c>
      <c r="P576" s="101">
        <v>2357</v>
      </c>
      <c r="Q576" s="101">
        <v>43663</v>
      </c>
      <c r="R576" s="101">
        <v>494047.57</v>
      </c>
      <c r="S576" s="101">
        <v>247173.12400000001</v>
      </c>
      <c r="T576" s="133">
        <v>1.02</v>
      </c>
      <c r="U576" s="101">
        <f t="shared" si="70"/>
        <v>249.9</v>
      </c>
      <c r="V576" s="101">
        <f t="shared" si="71"/>
        <v>2404.14</v>
      </c>
      <c r="W576" s="101">
        <f t="shared" si="72"/>
        <v>44536.26</v>
      </c>
      <c r="X576" s="101">
        <f t="shared" si="73"/>
        <v>503928.52140000003</v>
      </c>
      <c r="Y576" s="101">
        <f t="shared" si="74"/>
        <v>252116.58648000003</v>
      </c>
      <c r="AG576" s="225"/>
      <c r="AH576" s="101">
        <v>30000</v>
      </c>
      <c r="AI576" s="101">
        <f t="shared" si="75"/>
        <v>24000</v>
      </c>
      <c r="AJ576" s="101">
        <f t="shared" si="76"/>
        <v>36000</v>
      </c>
    </row>
    <row r="577" spans="1:36" hidden="1" x14ac:dyDescent="0.3">
      <c r="A577" s="126" t="s">
        <v>185</v>
      </c>
      <c r="B577" s="126">
        <v>37</v>
      </c>
      <c r="C577" s="126">
        <v>27</v>
      </c>
      <c r="D577" s="126" t="str">
        <f t="shared" si="69"/>
        <v>3727</v>
      </c>
      <c r="E577" s="101">
        <v>12</v>
      </c>
      <c r="F577" s="101">
        <v>432</v>
      </c>
      <c r="G577" s="101">
        <v>4267</v>
      </c>
      <c r="H577" s="101">
        <v>39102.910000000003</v>
      </c>
      <c r="I577" s="101">
        <v>10101.617000000002</v>
      </c>
      <c r="J577" s="101">
        <v>38</v>
      </c>
      <c r="K577" s="101">
        <v>97</v>
      </c>
      <c r="L577" s="101">
        <v>1123</v>
      </c>
      <c r="M577" s="101">
        <v>34130.239999999998</v>
      </c>
      <c r="N577" s="101">
        <v>15737.873</v>
      </c>
      <c r="O577" s="101">
        <v>4</v>
      </c>
      <c r="P577" s="101">
        <v>12</v>
      </c>
      <c r="Q577" s="101">
        <v>955</v>
      </c>
      <c r="R577" s="101">
        <v>1888.54</v>
      </c>
      <c r="S577" s="101">
        <v>193.142</v>
      </c>
      <c r="T577" s="133">
        <v>1.02</v>
      </c>
      <c r="U577" s="101">
        <f t="shared" si="70"/>
        <v>4.08</v>
      </c>
      <c r="V577" s="101">
        <f t="shared" si="71"/>
        <v>12.24</v>
      </c>
      <c r="W577" s="101">
        <f t="shared" si="72"/>
        <v>974.1</v>
      </c>
      <c r="X577" s="101">
        <f t="shared" si="73"/>
        <v>1926.3108</v>
      </c>
      <c r="Y577" s="101">
        <f t="shared" si="74"/>
        <v>197.00484</v>
      </c>
      <c r="AG577" s="225"/>
      <c r="AH577" s="101">
        <v>30000</v>
      </c>
      <c r="AI577" s="101">
        <f t="shared" si="75"/>
        <v>24000</v>
      </c>
      <c r="AJ577" s="101">
        <f t="shared" si="76"/>
        <v>36000</v>
      </c>
    </row>
    <row r="578" spans="1:36" hidden="1" x14ac:dyDescent="0.3">
      <c r="A578" s="126" t="s">
        <v>185</v>
      </c>
      <c r="B578" s="126">
        <v>37</v>
      </c>
      <c r="C578" s="126">
        <v>26</v>
      </c>
      <c r="D578" s="126" t="str">
        <f t="shared" si="69"/>
        <v>3726</v>
      </c>
      <c r="E578" s="101">
        <v>103</v>
      </c>
      <c r="F578" s="101">
        <v>3194</v>
      </c>
      <c r="G578" s="101">
        <v>60576</v>
      </c>
      <c r="H578" s="101">
        <v>467431.73000000004</v>
      </c>
      <c r="I578" s="101">
        <v>138423.554</v>
      </c>
      <c r="J578" s="101">
        <v>77</v>
      </c>
      <c r="K578" s="101">
        <v>2039</v>
      </c>
      <c r="L578" s="101">
        <v>33280</v>
      </c>
      <c r="M578" s="101">
        <v>440424.18</v>
      </c>
      <c r="N578" s="101">
        <v>159135.71900000001</v>
      </c>
      <c r="O578" s="101">
        <v>18</v>
      </c>
      <c r="P578" s="101">
        <v>795</v>
      </c>
      <c r="Q578" s="101">
        <v>4529</v>
      </c>
      <c r="R578" s="101">
        <v>75070.289999999994</v>
      </c>
      <c r="S578" s="101">
        <v>22058.669000000002</v>
      </c>
      <c r="T578" s="133">
        <v>1.02</v>
      </c>
      <c r="U578" s="101">
        <f t="shared" si="70"/>
        <v>18.36</v>
      </c>
      <c r="V578" s="101">
        <f t="shared" si="71"/>
        <v>810.9</v>
      </c>
      <c r="W578" s="101">
        <f t="shared" si="72"/>
        <v>4619.58</v>
      </c>
      <c r="X578" s="101">
        <f t="shared" si="73"/>
        <v>76571.695800000001</v>
      </c>
      <c r="Y578" s="101">
        <f t="shared" si="74"/>
        <v>22499.842380000002</v>
      </c>
      <c r="AG578" s="225"/>
      <c r="AH578" s="101">
        <v>30000</v>
      </c>
      <c r="AI578" s="101">
        <f t="shared" si="75"/>
        <v>24000</v>
      </c>
      <c r="AJ578" s="101">
        <f t="shared" si="76"/>
        <v>36000</v>
      </c>
    </row>
    <row r="579" spans="1:36" hidden="1" x14ac:dyDescent="0.3">
      <c r="A579" s="126" t="s">
        <v>185</v>
      </c>
      <c r="B579" s="126">
        <v>37</v>
      </c>
      <c r="C579" s="126">
        <v>32</v>
      </c>
      <c r="D579" s="126" t="str">
        <f t="shared" si="69"/>
        <v>3732</v>
      </c>
      <c r="E579" s="101">
        <v>456</v>
      </c>
      <c r="F579" s="101">
        <v>2043</v>
      </c>
      <c r="G579" s="101">
        <v>37987</v>
      </c>
      <c r="H579" s="101">
        <v>680554.86</v>
      </c>
      <c r="I579" s="101">
        <v>145533.56099999999</v>
      </c>
      <c r="J579" s="101">
        <v>221</v>
      </c>
      <c r="K579" s="101">
        <v>1067</v>
      </c>
      <c r="L579" s="101">
        <v>33432</v>
      </c>
      <c r="M579" s="101">
        <v>335883.73</v>
      </c>
      <c r="N579" s="101">
        <v>141450.511</v>
      </c>
      <c r="O579" s="101">
        <v>211</v>
      </c>
      <c r="P579" s="101">
        <v>1403</v>
      </c>
      <c r="Q579" s="101">
        <v>31711</v>
      </c>
      <c r="R579" s="101">
        <v>160789.03</v>
      </c>
      <c r="S579" s="101">
        <v>101243.376</v>
      </c>
      <c r="T579" s="133">
        <v>1.02</v>
      </c>
      <c r="U579" s="101">
        <f>O579*$T$5+12</f>
        <v>227.22</v>
      </c>
      <c r="V579" s="101">
        <f>P579*$T$5+55</f>
        <v>1486.06</v>
      </c>
      <c r="W579" s="101">
        <f>Q579*$T$5+7434</f>
        <v>39779.22</v>
      </c>
      <c r="X579" s="101">
        <f>R579*$T$5+62639</f>
        <v>226643.8106</v>
      </c>
      <c r="Y579" s="101">
        <f>S579*$T$5+54471</f>
        <v>157739.24352000002</v>
      </c>
      <c r="AG579" s="225"/>
      <c r="AH579" s="101">
        <v>30000</v>
      </c>
      <c r="AI579" s="101">
        <f t="shared" si="75"/>
        <v>24000</v>
      </c>
      <c r="AJ579" s="101">
        <f t="shared" si="76"/>
        <v>36000</v>
      </c>
    </row>
    <row r="580" spans="1:36" hidden="1" x14ac:dyDescent="0.3">
      <c r="A580" s="126" t="s">
        <v>185</v>
      </c>
      <c r="B580" s="126">
        <v>37</v>
      </c>
      <c r="C580" s="126">
        <v>21</v>
      </c>
      <c r="D580" s="126" t="str">
        <f t="shared" si="69"/>
        <v>3721</v>
      </c>
      <c r="E580" s="101">
        <v>1094.5</v>
      </c>
      <c r="F580" s="101">
        <v>7509.5</v>
      </c>
      <c r="G580" s="101">
        <v>34902</v>
      </c>
      <c r="H580" s="101">
        <v>628726.64500000002</v>
      </c>
      <c r="I580" s="101">
        <v>181836.351</v>
      </c>
      <c r="J580" s="101">
        <v>0</v>
      </c>
      <c r="K580" s="101">
        <v>0</v>
      </c>
      <c r="L580" s="101">
        <v>0</v>
      </c>
      <c r="M580" s="101">
        <v>0</v>
      </c>
      <c r="N580" s="101">
        <v>0</v>
      </c>
      <c r="O580" s="101">
        <v>41</v>
      </c>
      <c r="P580" s="101">
        <v>259</v>
      </c>
      <c r="Q580" s="101">
        <v>2166</v>
      </c>
      <c r="R580" s="101">
        <v>22525.71</v>
      </c>
      <c r="S580" s="101">
        <v>8369.9580000000005</v>
      </c>
      <c r="T580" s="133">
        <v>1.02</v>
      </c>
      <c r="U580" s="101">
        <v>872</v>
      </c>
      <c r="V580" s="101">
        <v>10282</v>
      </c>
      <c r="W580" s="101">
        <v>62146</v>
      </c>
      <c r="X580" s="101">
        <v>848644</v>
      </c>
      <c r="Y580" s="101">
        <v>256834</v>
      </c>
      <c r="AG580" s="225"/>
      <c r="AH580" s="101">
        <v>30000</v>
      </c>
      <c r="AI580" s="101">
        <f t="shared" si="75"/>
        <v>24000</v>
      </c>
      <c r="AJ580" s="101">
        <f t="shared" si="76"/>
        <v>36000</v>
      </c>
    </row>
    <row r="581" spans="1:36" hidden="1" x14ac:dyDescent="0.3">
      <c r="A581" s="126" t="s">
        <v>185</v>
      </c>
      <c r="B581" s="126">
        <v>37</v>
      </c>
      <c r="C581" s="126">
        <v>28</v>
      </c>
      <c r="D581" s="126" t="str">
        <f t="shared" si="69"/>
        <v>3728</v>
      </c>
      <c r="J581" s="101">
        <v>39</v>
      </c>
      <c r="K581" s="101">
        <v>53</v>
      </c>
      <c r="L581" s="101">
        <v>1021</v>
      </c>
      <c r="M581" s="101">
        <v>14588.73</v>
      </c>
      <c r="N581" s="101">
        <v>4824.9409999999998</v>
      </c>
      <c r="O581" s="101">
        <v>68</v>
      </c>
      <c r="P581" s="101">
        <v>441</v>
      </c>
      <c r="Q581" s="101">
        <v>3416</v>
      </c>
      <c r="R581" s="101">
        <v>85676.87</v>
      </c>
      <c r="S581" s="101">
        <v>22731.077000000001</v>
      </c>
      <c r="T581" s="133">
        <v>1.02</v>
      </c>
      <c r="U581" s="101">
        <v>241</v>
      </c>
      <c r="V581" s="101">
        <v>6918</v>
      </c>
      <c r="W581" s="101">
        <v>37603</v>
      </c>
      <c r="X581" s="144">
        <f t="shared" si="73"/>
        <v>87390.407399999996</v>
      </c>
      <c r="Y581" s="101">
        <v>183560</v>
      </c>
      <c r="AG581" s="225"/>
      <c r="AH581" s="101"/>
      <c r="AI581" s="101"/>
      <c r="AJ581" s="101"/>
    </row>
    <row r="582" spans="1:36" hidden="1" x14ac:dyDescent="0.3">
      <c r="A582" s="126" t="s">
        <v>185</v>
      </c>
      <c r="B582" s="126">
        <v>37</v>
      </c>
      <c r="C582" s="126">
        <v>41</v>
      </c>
      <c r="D582" s="126" t="str">
        <f t="shared" si="69"/>
        <v>3741</v>
      </c>
      <c r="J582" s="101">
        <v>1</v>
      </c>
      <c r="K582" s="101">
        <v>1</v>
      </c>
      <c r="L582" s="101">
        <v>12</v>
      </c>
      <c r="M582" s="101">
        <v>242.16</v>
      </c>
      <c r="N582" s="101">
        <v>89.376000000000005</v>
      </c>
      <c r="O582" s="101">
        <v>7</v>
      </c>
      <c r="P582" s="101">
        <v>18</v>
      </c>
      <c r="Q582" s="101">
        <v>166</v>
      </c>
      <c r="R582" s="101">
        <v>976.44</v>
      </c>
      <c r="S582" s="101">
        <v>315.173</v>
      </c>
      <c r="T582" s="133">
        <v>1.02</v>
      </c>
      <c r="U582" s="101">
        <f t="shared" ref="U582:U645" si="77">O582*T582</f>
        <v>7.1400000000000006</v>
      </c>
      <c r="V582" s="101">
        <f t="shared" ref="V582:V645" si="78">P582*T582</f>
        <v>18.36</v>
      </c>
      <c r="W582" s="101">
        <f t="shared" ref="W582:W645" si="79">Q582*T582</f>
        <v>169.32</v>
      </c>
      <c r="X582" s="101">
        <f t="shared" ref="X582:X645" si="80">R582*T582</f>
        <v>995.9688000000001</v>
      </c>
      <c r="Y582" s="101">
        <f t="shared" ref="Y582:Y645" si="81">S582*T582</f>
        <v>321.47646000000003</v>
      </c>
      <c r="AG582" s="225"/>
      <c r="AH582" s="101"/>
      <c r="AI582" s="101"/>
      <c r="AJ582" s="101"/>
    </row>
    <row r="583" spans="1:36" hidden="1" x14ac:dyDescent="0.3">
      <c r="A583" s="126" t="s">
        <v>185</v>
      </c>
      <c r="B583" s="126">
        <v>37</v>
      </c>
      <c r="C583" s="126">
        <v>46</v>
      </c>
      <c r="D583" s="126" t="str">
        <f t="shared" si="69"/>
        <v>3746</v>
      </c>
      <c r="J583" s="101">
        <v>10</v>
      </c>
      <c r="K583" s="101">
        <v>10</v>
      </c>
      <c r="L583" s="101">
        <v>266</v>
      </c>
      <c r="M583" s="101">
        <v>40730.93</v>
      </c>
      <c r="N583" s="101">
        <v>17429.555</v>
      </c>
      <c r="O583" s="101">
        <v>2</v>
      </c>
      <c r="P583" s="101">
        <v>2</v>
      </c>
      <c r="Q583" s="101">
        <v>6</v>
      </c>
      <c r="R583" s="101">
        <v>520.20000000000005</v>
      </c>
      <c r="S583" s="101">
        <v>42.719000000000001</v>
      </c>
      <c r="T583" s="133">
        <v>1.02</v>
      </c>
      <c r="U583" s="101">
        <f t="shared" si="77"/>
        <v>2.04</v>
      </c>
      <c r="V583" s="101">
        <f t="shared" si="78"/>
        <v>2.04</v>
      </c>
      <c r="W583" s="101">
        <f t="shared" si="79"/>
        <v>6.12</v>
      </c>
      <c r="X583" s="101">
        <f t="shared" si="80"/>
        <v>530.60400000000004</v>
      </c>
      <c r="Y583" s="101">
        <f t="shared" si="81"/>
        <v>43.57338</v>
      </c>
      <c r="AG583" s="225"/>
      <c r="AH583" s="101"/>
      <c r="AI583" s="101"/>
      <c r="AJ583" s="101"/>
    </row>
    <row r="584" spans="1:36" hidden="1" x14ac:dyDescent="0.3">
      <c r="A584" s="126" t="s">
        <v>185</v>
      </c>
      <c r="B584" s="126">
        <v>37</v>
      </c>
      <c r="C584" s="126">
        <v>66</v>
      </c>
      <c r="D584" s="126" t="str">
        <f t="shared" si="69"/>
        <v>3766</v>
      </c>
      <c r="J584" s="101">
        <v>31</v>
      </c>
      <c r="K584" s="101">
        <v>57</v>
      </c>
      <c r="L584" s="101">
        <v>2957</v>
      </c>
      <c r="M584" s="101">
        <v>32187.02</v>
      </c>
      <c r="N584" s="101">
        <v>14220.353999999999</v>
      </c>
      <c r="O584" s="101">
        <v>31</v>
      </c>
      <c r="P584" s="101">
        <v>59</v>
      </c>
      <c r="Q584" s="101">
        <v>2518</v>
      </c>
      <c r="R584" s="101">
        <v>27626.43</v>
      </c>
      <c r="S584" s="101">
        <v>12735.678</v>
      </c>
      <c r="T584" s="133">
        <v>1.02</v>
      </c>
      <c r="U584" s="101">
        <f t="shared" si="77"/>
        <v>31.62</v>
      </c>
      <c r="V584" s="101">
        <f t="shared" si="78"/>
        <v>60.18</v>
      </c>
      <c r="W584" s="101">
        <f t="shared" si="79"/>
        <v>2568.36</v>
      </c>
      <c r="X584" s="101">
        <f t="shared" si="80"/>
        <v>28178.958600000002</v>
      </c>
      <c r="Y584" s="101">
        <f t="shared" si="81"/>
        <v>12990.39156</v>
      </c>
      <c r="AG584" s="225"/>
      <c r="AH584" s="101"/>
      <c r="AI584" s="101"/>
      <c r="AJ584" s="101"/>
    </row>
    <row r="585" spans="1:36" x14ac:dyDescent="0.3">
      <c r="A585" s="126" t="s">
        <v>185</v>
      </c>
      <c r="B585" s="126">
        <v>37</v>
      </c>
      <c r="C585" s="126">
        <v>91</v>
      </c>
      <c r="D585" s="126" t="str">
        <f t="shared" si="69"/>
        <v>3791</v>
      </c>
      <c r="J585" s="101">
        <v>5</v>
      </c>
      <c r="K585" s="101">
        <v>10</v>
      </c>
      <c r="L585" s="101">
        <v>31</v>
      </c>
      <c r="M585" s="101">
        <v>180.19</v>
      </c>
      <c r="N585" s="101">
        <v>55.752000000000002</v>
      </c>
      <c r="O585" s="101">
        <v>4</v>
      </c>
      <c r="P585" s="101">
        <v>8</v>
      </c>
      <c r="Q585" s="101">
        <v>11</v>
      </c>
      <c r="R585" s="101">
        <v>107.69</v>
      </c>
      <c r="S585" s="101">
        <v>54.926000000000002</v>
      </c>
      <c r="T585" s="133">
        <v>1.02</v>
      </c>
      <c r="U585" s="101">
        <f t="shared" si="77"/>
        <v>4.08</v>
      </c>
      <c r="V585" s="101">
        <f t="shared" si="78"/>
        <v>8.16</v>
      </c>
      <c r="W585" s="101">
        <f t="shared" si="79"/>
        <v>11.22</v>
      </c>
      <c r="X585" s="101">
        <f t="shared" si="80"/>
        <v>109.8438</v>
      </c>
      <c r="Y585" s="101">
        <f t="shared" si="81"/>
        <v>56.024520000000003</v>
      </c>
      <c r="AG585" s="225"/>
      <c r="AH585" s="101"/>
      <c r="AI585" s="101"/>
      <c r="AJ585" s="101"/>
    </row>
    <row r="586" spans="1:36" hidden="1" x14ac:dyDescent="0.3">
      <c r="A586" s="126" t="s">
        <v>185</v>
      </c>
      <c r="B586" s="126">
        <v>37</v>
      </c>
      <c r="C586" s="126">
        <v>30</v>
      </c>
      <c r="D586" s="126" t="str">
        <f t="shared" si="69"/>
        <v>3730</v>
      </c>
      <c r="E586" s="101">
        <v>539</v>
      </c>
      <c r="F586" s="101">
        <v>7530</v>
      </c>
      <c r="G586" s="101">
        <v>27870</v>
      </c>
      <c r="H586" s="101">
        <v>625727.77999999991</v>
      </c>
      <c r="I586" s="101">
        <v>215077.174</v>
      </c>
      <c r="J586" s="101">
        <v>367</v>
      </c>
      <c r="K586" s="101">
        <v>9231</v>
      </c>
      <c r="L586" s="101">
        <v>37586</v>
      </c>
      <c r="M586" s="101">
        <v>935704.74</v>
      </c>
      <c r="N586" s="101">
        <v>350742.72</v>
      </c>
      <c r="O586" s="101">
        <v>352</v>
      </c>
      <c r="P586" s="101">
        <v>9119</v>
      </c>
      <c r="Q586" s="101">
        <v>39066</v>
      </c>
      <c r="R586" s="101">
        <v>775623.19</v>
      </c>
      <c r="S586" s="101">
        <v>218506.99799999999</v>
      </c>
      <c r="T586" s="133">
        <v>1.02</v>
      </c>
      <c r="U586" s="101">
        <f t="shared" si="77"/>
        <v>359.04</v>
      </c>
      <c r="V586" s="101">
        <f t="shared" si="78"/>
        <v>9301.380000000001</v>
      </c>
      <c r="W586" s="101">
        <f t="shared" si="79"/>
        <v>39847.32</v>
      </c>
      <c r="X586" s="101">
        <f t="shared" si="80"/>
        <v>791135.65379999997</v>
      </c>
      <c r="Y586" s="101">
        <f t="shared" si="81"/>
        <v>222877.13795999999</v>
      </c>
      <c r="AG586" s="225"/>
      <c r="AH586" s="101">
        <v>30000</v>
      </c>
      <c r="AI586" s="101">
        <f t="shared" si="75"/>
        <v>24000</v>
      </c>
      <c r="AJ586" s="101">
        <f t="shared" si="76"/>
        <v>36000</v>
      </c>
    </row>
    <row r="587" spans="1:36" hidden="1" x14ac:dyDescent="0.3">
      <c r="A587" s="126" t="s">
        <v>185</v>
      </c>
      <c r="B587" s="126">
        <v>37</v>
      </c>
      <c r="C587" s="126">
        <v>71</v>
      </c>
      <c r="D587" s="126" t="str">
        <f t="shared" si="69"/>
        <v>3771</v>
      </c>
      <c r="E587" s="101">
        <v>582</v>
      </c>
      <c r="F587" s="101">
        <v>5192.5</v>
      </c>
      <c r="G587" s="101">
        <v>16266</v>
      </c>
      <c r="H587" s="101">
        <v>128177.075</v>
      </c>
      <c r="I587" s="101">
        <v>66850.972000000009</v>
      </c>
      <c r="J587" s="101">
        <v>823</v>
      </c>
      <c r="K587" s="101">
        <v>9983</v>
      </c>
      <c r="L587" s="101">
        <v>24168</v>
      </c>
      <c r="M587" s="101">
        <v>242693.56</v>
      </c>
      <c r="N587" s="101">
        <v>107564.12699999999</v>
      </c>
      <c r="O587" s="101">
        <v>167</v>
      </c>
      <c r="P587" s="101">
        <v>6494</v>
      </c>
      <c r="Q587" s="101">
        <v>25306</v>
      </c>
      <c r="R587" s="101">
        <v>234083.73</v>
      </c>
      <c r="S587" s="101">
        <v>98274.043000000005</v>
      </c>
      <c r="T587" s="133">
        <v>0.98</v>
      </c>
      <c r="AG587" s="225"/>
      <c r="AH587" s="101">
        <v>30000</v>
      </c>
      <c r="AI587" s="101">
        <f t="shared" si="75"/>
        <v>24000</v>
      </c>
      <c r="AJ587" s="101">
        <f t="shared" si="76"/>
        <v>36000</v>
      </c>
    </row>
    <row r="588" spans="1:36" hidden="1" x14ac:dyDescent="0.3">
      <c r="A588" s="126" t="s">
        <v>185</v>
      </c>
      <c r="B588" s="126">
        <v>37</v>
      </c>
      <c r="C588" s="126">
        <v>1</v>
      </c>
      <c r="D588" s="126" t="str">
        <f t="shared" si="69"/>
        <v>371</v>
      </c>
      <c r="J588" s="101">
        <v>189</v>
      </c>
      <c r="K588" s="101">
        <v>189</v>
      </c>
      <c r="L588" s="101">
        <v>57242</v>
      </c>
      <c r="N588" s="101">
        <v>300355</v>
      </c>
      <c r="O588" s="101">
        <v>90</v>
      </c>
      <c r="P588" s="101">
        <v>90</v>
      </c>
      <c r="Q588" s="101">
        <v>29314</v>
      </c>
      <c r="S588" s="101">
        <v>163367</v>
      </c>
      <c r="T588" s="133">
        <v>1.02</v>
      </c>
      <c r="U588" s="101">
        <f t="shared" si="77"/>
        <v>91.8</v>
      </c>
      <c r="V588" s="101">
        <f t="shared" si="78"/>
        <v>91.8</v>
      </c>
      <c r="W588" s="101">
        <f t="shared" si="79"/>
        <v>29900.28</v>
      </c>
      <c r="X588" s="101">
        <f t="shared" si="80"/>
        <v>0</v>
      </c>
      <c r="Y588" s="101">
        <f t="shared" si="81"/>
        <v>166634.34</v>
      </c>
      <c r="AG588" s="225"/>
      <c r="AH588" s="101"/>
      <c r="AI588" s="101"/>
      <c r="AJ588" s="101"/>
    </row>
    <row r="589" spans="1:36" hidden="1" x14ac:dyDescent="0.3">
      <c r="A589" s="126" t="s">
        <v>185</v>
      </c>
      <c r="B589" s="126">
        <v>37</v>
      </c>
      <c r="C589" s="126">
        <v>37</v>
      </c>
      <c r="D589" s="126" t="str">
        <f t="shared" si="69"/>
        <v>3737</v>
      </c>
      <c r="E589" s="101">
        <v>8.25</v>
      </c>
      <c r="F589" s="101">
        <v>20.5</v>
      </c>
      <c r="G589" s="101">
        <v>13819</v>
      </c>
      <c r="H589" s="101">
        <v>12812.862499999999</v>
      </c>
      <c r="I589" s="101">
        <v>6312.7595000000001</v>
      </c>
      <c r="J589" s="101">
        <v>5</v>
      </c>
      <c r="K589" s="101">
        <v>6</v>
      </c>
      <c r="L589" s="101">
        <v>30435</v>
      </c>
      <c r="M589" s="101">
        <v>13998.5</v>
      </c>
      <c r="N589" s="101">
        <v>4226.9790000000003</v>
      </c>
      <c r="O589" s="101">
        <v>5</v>
      </c>
      <c r="P589" s="101">
        <v>8</v>
      </c>
      <c r="Q589" s="101">
        <v>12467</v>
      </c>
      <c r="R589" s="101">
        <v>18720.080000000002</v>
      </c>
      <c r="S589" s="101">
        <v>6009.85</v>
      </c>
      <c r="T589" s="133">
        <v>1.02</v>
      </c>
      <c r="U589" s="101">
        <f t="shared" si="77"/>
        <v>5.0999999999999996</v>
      </c>
      <c r="V589" s="101">
        <f t="shared" si="78"/>
        <v>8.16</v>
      </c>
      <c r="W589" s="101">
        <f t="shared" si="79"/>
        <v>12716.34</v>
      </c>
      <c r="X589" s="101">
        <f t="shared" si="80"/>
        <v>19094.481600000003</v>
      </c>
      <c r="Y589" s="101">
        <f t="shared" si="81"/>
        <v>6130.0470000000005</v>
      </c>
      <c r="AG589" s="225"/>
      <c r="AH589" s="101">
        <v>30000</v>
      </c>
      <c r="AI589" s="101">
        <f t="shared" si="75"/>
        <v>24000</v>
      </c>
      <c r="AJ589" s="101">
        <f t="shared" si="76"/>
        <v>36000</v>
      </c>
    </row>
    <row r="590" spans="1:36" hidden="1" x14ac:dyDescent="0.3">
      <c r="A590" s="126" t="s">
        <v>185</v>
      </c>
      <c r="B590" s="126">
        <v>38</v>
      </c>
      <c r="C590" s="126">
        <v>22</v>
      </c>
      <c r="D590" s="126" t="str">
        <f t="shared" si="69"/>
        <v>3822</v>
      </c>
      <c r="E590" s="101">
        <v>767</v>
      </c>
      <c r="F590" s="101">
        <v>5056</v>
      </c>
      <c r="G590" s="101">
        <v>31951</v>
      </c>
      <c r="H590" s="101">
        <v>1044219.7000000001</v>
      </c>
      <c r="I590" s="101">
        <v>150143.16899999999</v>
      </c>
      <c r="J590" s="101">
        <v>632</v>
      </c>
      <c r="K590" s="101">
        <v>4621</v>
      </c>
      <c r="L590" s="101">
        <v>45721</v>
      </c>
      <c r="M590" s="101">
        <v>245647.16</v>
      </c>
      <c r="N590" s="101">
        <v>157009.05499999999</v>
      </c>
      <c r="O590" s="101">
        <v>414</v>
      </c>
      <c r="P590" s="101">
        <v>3324</v>
      </c>
      <c r="Q590" s="101">
        <v>49140</v>
      </c>
      <c r="R590" s="101">
        <v>308407.63</v>
      </c>
      <c r="S590" s="101">
        <v>208822.81299999999</v>
      </c>
      <c r="T590" s="133">
        <v>1.02</v>
      </c>
      <c r="U590" s="101">
        <f t="shared" si="77"/>
        <v>422.28000000000003</v>
      </c>
      <c r="V590" s="101">
        <f t="shared" si="78"/>
        <v>3390.48</v>
      </c>
      <c r="W590" s="101">
        <f t="shared" si="79"/>
        <v>50122.8</v>
      </c>
      <c r="X590" s="101">
        <f t="shared" si="80"/>
        <v>314575.78260000004</v>
      </c>
      <c r="Y590" s="101">
        <f t="shared" si="81"/>
        <v>212999.26926</v>
      </c>
      <c r="AG590" s="225">
        <f>SUM(V590:V604)</f>
        <v>31433.16</v>
      </c>
      <c r="AH590" s="101">
        <v>30000</v>
      </c>
      <c r="AI590" s="101">
        <f t="shared" si="75"/>
        <v>24000</v>
      </c>
      <c r="AJ590" s="101">
        <f t="shared" si="76"/>
        <v>36000</v>
      </c>
    </row>
    <row r="591" spans="1:36" hidden="1" x14ac:dyDescent="0.3">
      <c r="A591" s="126" t="s">
        <v>185</v>
      </c>
      <c r="B591" s="126">
        <v>38</v>
      </c>
      <c r="C591" s="126">
        <v>25</v>
      </c>
      <c r="D591" s="126" t="str">
        <f t="shared" si="69"/>
        <v>3825</v>
      </c>
      <c r="E591" s="101">
        <v>168</v>
      </c>
      <c r="F591" s="101">
        <v>1224</v>
      </c>
      <c r="G591" s="101">
        <v>73166</v>
      </c>
      <c r="H591" s="101">
        <v>730116.87999999977</v>
      </c>
      <c r="I591" s="101">
        <v>339720.61300000019</v>
      </c>
      <c r="J591" s="101">
        <v>150</v>
      </c>
      <c r="K591" s="101">
        <v>1687</v>
      </c>
      <c r="L591" s="101">
        <v>23675</v>
      </c>
      <c r="M591" s="101">
        <v>205258.87</v>
      </c>
      <c r="N591" s="101">
        <v>106245.13400000001</v>
      </c>
      <c r="O591" s="101">
        <v>228</v>
      </c>
      <c r="P591" s="101">
        <v>2271</v>
      </c>
      <c r="Q591" s="101">
        <v>39030</v>
      </c>
      <c r="R591" s="101">
        <v>748263.04</v>
      </c>
      <c r="S591" s="101">
        <v>380812.19799999997</v>
      </c>
      <c r="T591" s="133">
        <v>1.02</v>
      </c>
      <c r="U591" s="101">
        <f t="shared" si="77"/>
        <v>232.56</v>
      </c>
      <c r="V591" s="101">
        <f t="shared" si="78"/>
        <v>2316.42</v>
      </c>
      <c r="W591" s="101">
        <f t="shared" si="79"/>
        <v>39810.6</v>
      </c>
      <c r="X591" s="101">
        <f t="shared" si="80"/>
        <v>763228.30080000008</v>
      </c>
      <c r="Y591" s="101">
        <f t="shared" si="81"/>
        <v>388428.44195999997</v>
      </c>
      <c r="AG591" s="225"/>
      <c r="AH591" s="101">
        <v>30000</v>
      </c>
      <c r="AI591" s="101">
        <f t="shared" si="75"/>
        <v>24000</v>
      </c>
      <c r="AJ591" s="101">
        <f t="shared" si="76"/>
        <v>36000</v>
      </c>
    </row>
    <row r="592" spans="1:36" hidden="1" x14ac:dyDescent="0.3">
      <c r="A592" s="126" t="s">
        <v>185</v>
      </c>
      <c r="B592" s="126">
        <v>38</v>
      </c>
      <c r="C592" s="126">
        <v>27</v>
      </c>
      <c r="D592" s="126" t="str">
        <f t="shared" si="69"/>
        <v>3827</v>
      </c>
      <c r="E592" s="101">
        <v>12</v>
      </c>
      <c r="F592" s="101">
        <v>341</v>
      </c>
      <c r="G592" s="101">
        <v>3092</v>
      </c>
      <c r="H592" s="101">
        <v>41477.019999999997</v>
      </c>
      <c r="I592" s="101">
        <v>13129.308999999999</v>
      </c>
      <c r="J592" s="101">
        <v>4</v>
      </c>
      <c r="K592" s="101">
        <v>4</v>
      </c>
      <c r="L592" s="101">
        <v>130</v>
      </c>
      <c r="M592" s="101">
        <v>2000.7</v>
      </c>
      <c r="N592" s="101">
        <v>280.60000000000002</v>
      </c>
      <c r="O592" s="101">
        <v>20</v>
      </c>
      <c r="P592" s="101">
        <v>71</v>
      </c>
      <c r="Q592" s="101">
        <v>4742</v>
      </c>
      <c r="R592" s="101">
        <v>19491.599999999999</v>
      </c>
      <c r="S592" s="101">
        <v>13836.134</v>
      </c>
      <c r="T592" s="133">
        <v>1.02</v>
      </c>
      <c r="U592" s="101">
        <f t="shared" si="77"/>
        <v>20.399999999999999</v>
      </c>
      <c r="V592" s="101">
        <f t="shared" si="78"/>
        <v>72.42</v>
      </c>
      <c r="W592" s="101">
        <f t="shared" si="79"/>
        <v>4836.84</v>
      </c>
      <c r="X592" s="101">
        <f t="shared" si="80"/>
        <v>19881.431999999997</v>
      </c>
      <c r="Y592" s="101">
        <f t="shared" si="81"/>
        <v>14112.856680000001</v>
      </c>
      <c r="AG592" s="225"/>
      <c r="AH592" s="101">
        <v>30000</v>
      </c>
      <c r="AI592" s="101">
        <f t="shared" si="75"/>
        <v>24000</v>
      </c>
      <c r="AJ592" s="101">
        <f t="shared" si="76"/>
        <v>36000</v>
      </c>
    </row>
    <row r="593" spans="1:36" hidden="1" x14ac:dyDescent="0.3">
      <c r="A593" s="126" t="s">
        <v>185</v>
      </c>
      <c r="B593" s="126">
        <v>38</v>
      </c>
      <c r="C593" s="126">
        <v>26</v>
      </c>
      <c r="D593" s="126" t="str">
        <f t="shared" si="69"/>
        <v>3826</v>
      </c>
      <c r="E593" s="101">
        <v>103</v>
      </c>
      <c r="F593" s="101">
        <v>3362</v>
      </c>
      <c r="G593" s="101">
        <v>95438</v>
      </c>
      <c r="H593" s="101">
        <v>1022846.6599999999</v>
      </c>
      <c r="I593" s="101">
        <v>448682.14099999995</v>
      </c>
      <c r="J593" s="101">
        <v>96</v>
      </c>
      <c r="K593" s="101">
        <v>2613</v>
      </c>
      <c r="L593" s="101">
        <v>24447</v>
      </c>
      <c r="M593" s="101">
        <v>417901.98</v>
      </c>
      <c r="N593" s="101">
        <v>155323.4</v>
      </c>
      <c r="O593" s="101">
        <v>22</v>
      </c>
      <c r="P593" s="101">
        <v>550</v>
      </c>
      <c r="Q593" s="101">
        <v>13324</v>
      </c>
      <c r="R593" s="101">
        <v>141615.29</v>
      </c>
      <c r="S593" s="101">
        <v>61129.586000000003</v>
      </c>
      <c r="T593" s="133">
        <v>1.02</v>
      </c>
      <c r="U593" s="101">
        <f t="shared" si="77"/>
        <v>22.44</v>
      </c>
      <c r="V593" s="101">
        <f t="shared" si="78"/>
        <v>561</v>
      </c>
      <c r="W593" s="101">
        <f t="shared" si="79"/>
        <v>13590.48</v>
      </c>
      <c r="X593" s="101">
        <f t="shared" si="80"/>
        <v>144447.59580000001</v>
      </c>
      <c r="Y593" s="101">
        <f t="shared" si="81"/>
        <v>62352.177720000007</v>
      </c>
      <c r="AG593" s="225"/>
      <c r="AH593" s="101">
        <v>30000</v>
      </c>
      <c r="AI593" s="101">
        <f t="shared" si="75"/>
        <v>24000</v>
      </c>
      <c r="AJ593" s="101">
        <f t="shared" si="76"/>
        <v>36000</v>
      </c>
    </row>
    <row r="594" spans="1:36" hidden="1" x14ac:dyDescent="0.3">
      <c r="A594" s="126" t="s">
        <v>185</v>
      </c>
      <c r="B594" s="126">
        <v>38</v>
      </c>
      <c r="C594" s="126">
        <v>32</v>
      </c>
      <c r="D594" s="126" t="str">
        <f t="shared" si="69"/>
        <v>3832</v>
      </c>
      <c r="E594" s="101">
        <v>385</v>
      </c>
      <c r="F594" s="101">
        <v>2019</v>
      </c>
      <c r="G594" s="101">
        <v>84220</v>
      </c>
      <c r="H594" s="101">
        <v>1509494.44</v>
      </c>
      <c r="I594" s="101">
        <v>429449.984</v>
      </c>
      <c r="J594" s="101">
        <v>187</v>
      </c>
      <c r="K594" s="101">
        <v>594</v>
      </c>
      <c r="L594" s="101">
        <v>7715</v>
      </c>
      <c r="M594" s="101">
        <v>160734.47</v>
      </c>
      <c r="N594" s="101">
        <v>59290.141000000003</v>
      </c>
      <c r="O594" s="101">
        <v>207</v>
      </c>
      <c r="P594" s="101">
        <v>1104</v>
      </c>
      <c r="Q594" s="101">
        <v>13671</v>
      </c>
      <c r="R594" s="101">
        <v>177290.84</v>
      </c>
      <c r="S594" s="101">
        <v>71147.659</v>
      </c>
      <c r="T594" s="133">
        <v>1.02</v>
      </c>
      <c r="U594" s="101">
        <f>O594*$T$5+8</f>
        <v>219.14000000000001</v>
      </c>
      <c r="V594" s="101">
        <f>P594*$T$5+21</f>
        <v>1147.08</v>
      </c>
      <c r="W594" s="101">
        <f>Q594*$T$5+1717</f>
        <v>15661.42</v>
      </c>
      <c r="X594" s="101">
        <f>R594*$T$5+13340</f>
        <v>194176.6568</v>
      </c>
      <c r="Y594" s="101">
        <f>S594*$T$5+5284</f>
        <v>77854.612179999996</v>
      </c>
      <c r="AG594" s="225"/>
      <c r="AH594" s="101">
        <v>30000</v>
      </c>
      <c r="AI594" s="101">
        <f t="shared" si="75"/>
        <v>24000</v>
      </c>
      <c r="AJ594" s="101">
        <f t="shared" si="76"/>
        <v>36000</v>
      </c>
    </row>
    <row r="595" spans="1:36" hidden="1" x14ac:dyDescent="0.3">
      <c r="A595" s="126" t="s">
        <v>185</v>
      </c>
      <c r="B595" s="126">
        <v>38</v>
      </c>
      <c r="C595" s="126">
        <v>21</v>
      </c>
      <c r="D595" s="126" t="str">
        <f t="shared" si="69"/>
        <v>3821</v>
      </c>
      <c r="E595" s="101">
        <v>751.5</v>
      </c>
      <c r="F595" s="101">
        <v>4245</v>
      </c>
      <c r="G595" s="101">
        <v>22351.5</v>
      </c>
      <c r="H595" s="101">
        <v>300046.71500000003</v>
      </c>
      <c r="I595" s="101">
        <v>90537.284500000009</v>
      </c>
      <c r="J595" s="101">
        <v>0</v>
      </c>
      <c r="K595" s="101">
        <v>0</v>
      </c>
      <c r="L595" s="101">
        <v>0</v>
      </c>
      <c r="M595" s="101">
        <v>0</v>
      </c>
      <c r="N595" s="101">
        <v>0</v>
      </c>
      <c r="O595" s="101">
        <v>120</v>
      </c>
      <c r="P595" s="101">
        <v>407</v>
      </c>
      <c r="Q595" s="101">
        <v>9972</v>
      </c>
      <c r="R595" s="101">
        <v>44425.88</v>
      </c>
      <c r="S595" s="101">
        <v>14908.800999999999</v>
      </c>
      <c r="T595" s="133">
        <v>1.02</v>
      </c>
      <c r="U595" s="101">
        <v>1158</v>
      </c>
      <c r="V595" s="101">
        <v>11904</v>
      </c>
      <c r="W595" s="101">
        <v>77314</v>
      </c>
      <c r="X595" s="101">
        <v>958531</v>
      </c>
      <c r="Y595" s="101">
        <v>292630</v>
      </c>
      <c r="AG595" s="225"/>
      <c r="AH595" s="101">
        <v>30000</v>
      </c>
      <c r="AI595" s="101">
        <f t="shared" si="75"/>
        <v>24000</v>
      </c>
      <c r="AJ595" s="101">
        <f t="shared" si="76"/>
        <v>36000</v>
      </c>
    </row>
    <row r="596" spans="1:36" hidden="1" x14ac:dyDescent="0.3">
      <c r="A596" s="126" t="s">
        <v>185</v>
      </c>
      <c r="B596" s="126">
        <v>38</v>
      </c>
      <c r="C596" s="126">
        <v>30</v>
      </c>
      <c r="D596" s="126" t="str">
        <f t="shared" si="69"/>
        <v>3830</v>
      </c>
      <c r="E596" s="101">
        <v>372.5</v>
      </c>
      <c r="F596" s="101">
        <v>3267.5</v>
      </c>
      <c r="G596" s="101">
        <v>15169.5</v>
      </c>
      <c r="H596" s="101">
        <v>399575.21500000003</v>
      </c>
      <c r="I596" s="101">
        <v>127454.13799999999</v>
      </c>
      <c r="J596" s="101">
        <v>573</v>
      </c>
      <c r="K596" s="101">
        <v>10349</v>
      </c>
      <c r="L596" s="101">
        <v>59143</v>
      </c>
      <c r="M596" s="101">
        <v>1188034.08</v>
      </c>
      <c r="N596" s="101">
        <v>436399.16899999999</v>
      </c>
      <c r="O596" s="101">
        <v>382</v>
      </c>
      <c r="P596" s="101">
        <v>6363</v>
      </c>
      <c r="Q596" s="101">
        <v>28721</v>
      </c>
      <c r="R596" s="101">
        <v>601027.16</v>
      </c>
      <c r="S596" s="101">
        <v>195606.424</v>
      </c>
      <c r="T596" s="133">
        <v>1.02</v>
      </c>
      <c r="U596" s="101">
        <f t="shared" si="77"/>
        <v>389.64</v>
      </c>
      <c r="V596" s="101">
        <f t="shared" si="78"/>
        <v>6490.26</v>
      </c>
      <c r="W596" s="101">
        <f t="shared" si="79"/>
        <v>29295.420000000002</v>
      </c>
      <c r="X596" s="101">
        <f t="shared" si="80"/>
        <v>613047.70319999999</v>
      </c>
      <c r="Y596" s="101">
        <f t="shared" si="81"/>
        <v>199518.55248000001</v>
      </c>
      <c r="AG596" s="225"/>
      <c r="AH596" s="101">
        <v>30000</v>
      </c>
      <c r="AI596" s="101">
        <f t="shared" si="75"/>
        <v>24000</v>
      </c>
      <c r="AJ596" s="101">
        <f t="shared" si="76"/>
        <v>36000</v>
      </c>
    </row>
    <row r="597" spans="1:36" hidden="1" x14ac:dyDescent="0.3">
      <c r="A597" s="126" t="s">
        <v>185</v>
      </c>
      <c r="B597" s="126">
        <v>38</v>
      </c>
      <c r="C597" s="126">
        <v>28</v>
      </c>
      <c r="D597" s="126" t="str">
        <f t="shared" si="69"/>
        <v>3828</v>
      </c>
      <c r="J597" s="101">
        <v>53</v>
      </c>
      <c r="K597" s="101">
        <v>98</v>
      </c>
      <c r="L597" s="101">
        <v>1003</v>
      </c>
      <c r="M597" s="101">
        <v>20708.580000000002</v>
      </c>
      <c r="N597" s="101">
        <v>10200.325000000001</v>
      </c>
      <c r="O597" s="101">
        <v>55</v>
      </c>
      <c r="P597" s="101">
        <v>442</v>
      </c>
      <c r="Q597" s="101">
        <v>4043</v>
      </c>
      <c r="R597" s="101">
        <v>80882.2</v>
      </c>
      <c r="S597" s="101">
        <v>27453.423999999999</v>
      </c>
      <c r="T597" s="133">
        <v>1.02</v>
      </c>
      <c r="U597" s="101">
        <v>249</v>
      </c>
      <c r="V597" s="101">
        <v>5169</v>
      </c>
      <c r="W597" s="101">
        <v>35201</v>
      </c>
      <c r="X597" s="144">
        <f t="shared" si="80"/>
        <v>82499.843999999997</v>
      </c>
      <c r="Y597" s="101">
        <v>190859</v>
      </c>
      <c r="AG597" s="225"/>
      <c r="AH597" s="101"/>
      <c r="AI597" s="101"/>
      <c r="AJ597" s="101"/>
    </row>
    <row r="598" spans="1:36" hidden="1" x14ac:dyDescent="0.3">
      <c r="A598" s="126" t="s">
        <v>185</v>
      </c>
      <c r="B598" s="126">
        <v>38</v>
      </c>
      <c r="C598" s="126">
        <v>41</v>
      </c>
      <c r="D598" s="126" t="str">
        <f t="shared" si="69"/>
        <v>3841</v>
      </c>
      <c r="J598" s="101">
        <v>7</v>
      </c>
      <c r="K598" s="101">
        <v>53</v>
      </c>
      <c r="L598" s="101">
        <v>178</v>
      </c>
      <c r="M598" s="101">
        <v>1932.65</v>
      </c>
      <c r="N598" s="101">
        <v>458.90899999999999</v>
      </c>
      <c r="O598" s="101">
        <v>12</v>
      </c>
      <c r="P598" s="101">
        <v>20</v>
      </c>
      <c r="Q598" s="101">
        <v>316</v>
      </c>
      <c r="R598" s="101">
        <v>1151.3399999999999</v>
      </c>
      <c r="S598" s="101">
        <v>470.65100000000001</v>
      </c>
      <c r="T598" s="133">
        <v>1.02</v>
      </c>
      <c r="U598" s="101">
        <f t="shared" si="77"/>
        <v>12.24</v>
      </c>
      <c r="V598" s="101">
        <f t="shared" si="78"/>
        <v>20.399999999999999</v>
      </c>
      <c r="W598" s="101">
        <f t="shared" si="79"/>
        <v>322.32</v>
      </c>
      <c r="X598" s="101">
        <f t="shared" si="80"/>
        <v>1174.3668</v>
      </c>
      <c r="Y598" s="101">
        <f t="shared" si="81"/>
        <v>480.06402000000003</v>
      </c>
      <c r="AG598" s="225"/>
      <c r="AH598" s="101"/>
      <c r="AI598" s="101"/>
      <c r="AJ598" s="101"/>
    </row>
    <row r="599" spans="1:36" hidden="1" x14ac:dyDescent="0.3">
      <c r="A599" s="126" t="s">
        <v>185</v>
      </c>
      <c r="B599" s="126">
        <v>38</v>
      </c>
      <c r="C599" s="126">
        <v>46</v>
      </c>
      <c r="D599" s="126" t="str">
        <f t="shared" si="69"/>
        <v>3846</v>
      </c>
      <c r="J599" s="101">
        <v>10</v>
      </c>
      <c r="K599" s="101">
        <v>15</v>
      </c>
      <c r="L599" s="101">
        <v>255</v>
      </c>
      <c r="M599" s="101">
        <v>2510.8000000000002</v>
      </c>
      <c r="N599" s="101">
        <v>293.81400000000002</v>
      </c>
      <c r="O599" s="101">
        <v>21</v>
      </c>
      <c r="P599" s="101">
        <v>22</v>
      </c>
      <c r="Q599" s="101">
        <v>1770</v>
      </c>
      <c r="R599" s="101">
        <v>19472.75</v>
      </c>
      <c r="S599" s="101">
        <v>12361.975</v>
      </c>
      <c r="T599" s="133">
        <v>1.02</v>
      </c>
      <c r="U599" s="101">
        <f t="shared" si="77"/>
        <v>21.42</v>
      </c>
      <c r="V599" s="101">
        <f t="shared" si="78"/>
        <v>22.44</v>
      </c>
      <c r="W599" s="101">
        <f t="shared" si="79"/>
        <v>1805.4</v>
      </c>
      <c r="X599" s="101">
        <f t="shared" si="80"/>
        <v>19862.205000000002</v>
      </c>
      <c r="Y599" s="101">
        <f t="shared" si="81"/>
        <v>12609.2145</v>
      </c>
      <c r="AG599" s="225"/>
      <c r="AH599" s="101"/>
      <c r="AI599" s="101"/>
      <c r="AJ599" s="101"/>
    </row>
    <row r="600" spans="1:36" hidden="1" x14ac:dyDescent="0.3">
      <c r="A600" s="126" t="s">
        <v>185</v>
      </c>
      <c r="B600" s="126">
        <v>38</v>
      </c>
      <c r="C600" s="126">
        <v>66</v>
      </c>
      <c r="D600" s="126" t="str">
        <f t="shared" si="69"/>
        <v>3866</v>
      </c>
      <c r="J600" s="101">
        <v>38</v>
      </c>
      <c r="K600" s="101">
        <v>46</v>
      </c>
      <c r="L600" s="101">
        <v>1254</v>
      </c>
      <c r="M600" s="101">
        <v>23623.119999999999</v>
      </c>
      <c r="N600" s="101">
        <v>11121.115</v>
      </c>
      <c r="O600" s="101">
        <v>52</v>
      </c>
      <c r="P600" s="101">
        <v>172</v>
      </c>
      <c r="Q600" s="101">
        <v>36646</v>
      </c>
      <c r="R600" s="101">
        <v>77843.55</v>
      </c>
      <c r="S600" s="101">
        <v>20516.016</v>
      </c>
      <c r="T600" s="133">
        <v>1.02</v>
      </c>
      <c r="U600" s="101">
        <f t="shared" si="77"/>
        <v>53.04</v>
      </c>
      <c r="V600" s="101">
        <f t="shared" si="78"/>
        <v>175.44</v>
      </c>
      <c r="W600" s="101">
        <f t="shared" si="79"/>
        <v>37378.92</v>
      </c>
      <c r="X600" s="101">
        <f t="shared" si="80"/>
        <v>79400.421000000002</v>
      </c>
      <c r="Y600" s="101">
        <f t="shared" si="81"/>
        <v>20926.336319999999</v>
      </c>
      <c r="AG600" s="225"/>
      <c r="AH600" s="101"/>
      <c r="AI600" s="101"/>
      <c r="AJ600" s="101"/>
    </row>
    <row r="601" spans="1:36" hidden="1" x14ac:dyDescent="0.3">
      <c r="A601" s="126" t="s">
        <v>185</v>
      </c>
      <c r="B601" s="126">
        <v>38</v>
      </c>
      <c r="C601" s="126">
        <v>71</v>
      </c>
      <c r="D601" s="126" t="str">
        <f t="shared" si="69"/>
        <v>3871</v>
      </c>
      <c r="E601" s="101">
        <v>575.5</v>
      </c>
      <c r="F601" s="101">
        <v>17862.5</v>
      </c>
      <c r="G601" s="101">
        <v>38168.5</v>
      </c>
      <c r="H601" s="101">
        <v>278560.45</v>
      </c>
      <c r="I601" s="101">
        <v>144081.38200000001</v>
      </c>
      <c r="J601" s="101">
        <v>685</v>
      </c>
      <c r="K601" s="101">
        <v>10886</v>
      </c>
      <c r="L601" s="101">
        <v>33669</v>
      </c>
      <c r="M601" s="101">
        <v>296080.34000000003</v>
      </c>
      <c r="N601" s="101">
        <v>152338.36600000001</v>
      </c>
      <c r="O601" s="101">
        <v>224</v>
      </c>
      <c r="P601" s="101">
        <v>6084</v>
      </c>
      <c r="Q601" s="101">
        <v>19173</v>
      </c>
      <c r="R601" s="101">
        <v>170145.55</v>
      </c>
      <c r="S601" s="101">
        <v>80998.964999999997</v>
      </c>
      <c r="T601" s="133">
        <v>0.98</v>
      </c>
      <c r="AG601" s="225"/>
      <c r="AH601" s="101">
        <v>30000</v>
      </c>
      <c r="AI601" s="101">
        <f t="shared" si="75"/>
        <v>24000</v>
      </c>
      <c r="AJ601" s="101">
        <f t="shared" si="76"/>
        <v>36000</v>
      </c>
    </row>
    <row r="602" spans="1:36" x14ac:dyDescent="0.3">
      <c r="A602" s="126" t="s">
        <v>185</v>
      </c>
      <c r="B602" s="126">
        <v>38</v>
      </c>
      <c r="C602" s="126">
        <v>91</v>
      </c>
      <c r="D602" s="126" t="str">
        <f t="shared" si="69"/>
        <v>3891</v>
      </c>
      <c r="J602" s="101">
        <v>3</v>
      </c>
      <c r="K602" s="101">
        <v>4</v>
      </c>
      <c r="L602" s="101">
        <v>43</v>
      </c>
      <c r="M602" s="101">
        <v>2120.38</v>
      </c>
      <c r="N602" s="101">
        <v>1160.1669999999999</v>
      </c>
      <c r="O602" s="101">
        <v>4</v>
      </c>
      <c r="P602" s="101">
        <v>6</v>
      </c>
      <c r="Q602" s="101">
        <v>30</v>
      </c>
      <c r="R602" s="101">
        <v>144.97</v>
      </c>
      <c r="S602" s="101">
        <v>169.80600000000001</v>
      </c>
      <c r="T602" s="133">
        <v>1.02</v>
      </c>
      <c r="U602" s="101">
        <f t="shared" si="77"/>
        <v>4.08</v>
      </c>
      <c r="V602" s="101">
        <f t="shared" si="78"/>
        <v>6.12</v>
      </c>
      <c r="W602" s="101">
        <f t="shared" si="79"/>
        <v>30.6</v>
      </c>
      <c r="X602" s="101">
        <f t="shared" si="80"/>
        <v>147.86940000000001</v>
      </c>
      <c r="Y602" s="101">
        <f t="shared" si="81"/>
        <v>173.20212000000001</v>
      </c>
      <c r="AG602" s="225"/>
      <c r="AH602" s="101"/>
      <c r="AI602" s="101"/>
      <c r="AJ602" s="101"/>
    </row>
    <row r="603" spans="1:36" hidden="1" x14ac:dyDescent="0.3">
      <c r="A603" s="126" t="s">
        <v>185</v>
      </c>
      <c r="B603" s="126">
        <v>38</v>
      </c>
      <c r="C603" s="126">
        <v>1</v>
      </c>
      <c r="D603" s="126" t="str">
        <f t="shared" si="69"/>
        <v>381</v>
      </c>
      <c r="J603" s="101">
        <v>158</v>
      </c>
      <c r="K603" s="101">
        <v>165</v>
      </c>
      <c r="L603" s="101">
        <v>48972</v>
      </c>
      <c r="N603" s="101">
        <v>230564</v>
      </c>
      <c r="O603" s="101">
        <v>140</v>
      </c>
      <c r="P603" s="101">
        <v>140</v>
      </c>
      <c r="Q603" s="101">
        <v>42426</v>
      </c>
      <c r="S603" s="101">
        <v>292670</v>
      </c>
      <c r="T603" s="133">
        <v>1.02</v>
      </c>
      <c r="U603" s="101">
        <f t="shared" si="77"/>
        <v>142.80000000000001</v>
      </c>
      <c r="V603" s="101">
        <f t="shared" si="78"/>
        <v>142.80000000000001</v>
      </c>
      <c r="W603" s="101">
        <f t="shared" si="79"/>
        <v>43274.520000000004</v>
      </c>
      <c r="X603" s="101">
        <f t="shared" si="80"/>
        <v>0</v>
      </c>
      <c r="Y603" s="101">
        <f t="shared" si="81"/>
        <v>298523.40000000002</v>
      </c>
      <c r="AG603" s="225"/>
      <c r="AH603" s="101"/>
      <c r="AI603" s="101"/>
      <c r="AJ603" s="101"/>
    </row>
    <row r="604" spans="1:36" hidden="1" x14ac:dyDescent="0.3">
      <c r="A604" s="126" t="s">
        <v>185</v>
      </c>
      <c r="B604" s="126">
        <v>38</v>
      </c>
      <c r="C604" s="126">
        <v>37</v>
      </c>
      <c r="D604" s="126" t="str">
        <f t="shared" si="69"/>
        <v>3837</v>
      </c>
      <c r="E604" s="101">
        <v>5</v>
      </c>
      <c r="F604" s="101">
        <v>20.75</v>
      </c>
      <c r="G604" s="101">
        <v>313.75</v>
      </c>
      <c r="H604" s="101">
        <v>2318.1025</v>
      </c>
      <c r="I604" s="101">
        <v>1230.498</v>
      </c>
      <c r="J604" s="101">
        <v>2</v>
      </c>
      <c r="K604" s="101">
        <v>13</v>
      </c>
      <c r="L604" s="101">
        <v>10036</v>
      </c>
      <c r="M604" s="101">
        <v>10238.780000000001</v>
      </c>
      <c r="N604" s="101">
        <v>898.97299999999996</v>
      </c>
      <c r="O604" s="101">
        <v>7</v>
      </c>
      <c r="P604" s="101">
        <v>15</v>
      </c>
      <c r="Q604" s="101">
        <v>22651</v>
      </c>
      <c r="R604" s="101">
        <v>16565.13</v>
      </c>
      <c r="S604" s="101">
        <v>3001.5990000000002</v>
      </c>
      <c r="T604" s="133">
        <v>1.02</v>
      </c>
      <c r="U604" s="101">
        <f t="shared" si="77"/>
        <v>7.1400000000000006</v>
      </c>
      <c r="V604" s="101">
        <f t="shared" si="78"/>
        <v>15.3</v>
      </c>
      <c r="W604" s="101">
        <f t="shared" si="79"/>
        <v>23104.02</v>
      </c>
      <c r="X604" s="101">
        <f t="shared" si="80"/>
        <v>16896.4326</v>
      </c>
      <c r="Y604" s="101">
        <f t="shared" si="81"/>
        <v>3061.6309800000004</v>
      </c>
      <c r="AG604" s="225"/>
      <c r="AH604" s="101">
        <v>30000</v>
      </c>
      <c r="AI604" s="101">
        <f t="shared" si="75"/>
        <v>24000</v>
      </c>
      <c r="AJ604" s="101">
        <f t="shared" si="76"/>
        <v>36000</v>
      </c>
    </row>
    <row r="605" spans="1:36" hidden="1" x14ac:dyDescent="0.3">
      <c r="A605" s="126" t="s">
        <v>185</v>
      </c>
      <c r="B605" s="126">
        <v>39</v>
      </c>
      <c r="C605" s="126">
        <v>22</v>
      </c>
      <c r="D605" s="126" t="str">
        <f t="shared" si="69"/>
        <v>3922</v>
      </c>
      <c r="E605" s="101">
        <v>968</v>
      </c>
      <c r="F605" s="101">
        <v>3915</v>
      </c>
      <c r="G605" s="101">
        <v>71479</v>
      </c>
      <c r="H605" s="101">
        <v>1244643.18</v>
      </c>
      <c r="I605" s="101">
        <v>426881.14</v>
      </c>
      <c r="J605" s="101">
        <v>495</v>
      </c>
      <c r="K605" s="101">
        <v>3694</v>
      </c>
      <c r="L605" s="101">
        <v>32114</v>
      </c>
      <c r="M605" s="101">
        <v>224477.91999999998</v>
      </c>
      <c r="N605" s="101">
        <v>135077.63400000002</v>
      </c>
      <c r="O605" s="101">
        <v>396</v>
      </c>
      <c r="P605" s="101">
        <v>3035</v>
      </c>
      <c r="Q605" s="101">
        <v>35250</v>
      </c>
      <c r="R605" s="101">
        <v>134091.18</v>
      </c>
      <c r="S605" s="101">
        <v>91325.368000000002</v>
      </c>
      <c r="T605" s="133">
        <v>1.02</v>
      </c>
      <c r="U605" s="101">
        <f t="shared" si="77"/>
        <v>403.92</v>
      </c>
      <c r="V605" s="101">
        <f t="shared" si="78"/>
        <v>3095.7000000000003</v>
      </c>
      <c r="W605" s="101">
        <f t="shared" si="79"/>
        <v>35955</v>
      </c>
      <c r="X605" s="101">
        <f t="shared" si="80"/>
        <v>136773.0036</v>
      </c>
      <c r="Y605" s="101">
        <f t="shared" si="81"/>
        <v>93151.875360000005</v>
      </c>
      <c r="AG605" s="225">
        <f>SUM(V605:V621)</f>
        <v>31298.600000000002</v>
      </c>
      <c r="AH605" s="101">
        <v>30000</v>
      </c>
      <c r="AI605" s="101">
        <f t="shared" si="75"/>
        <v>24000</v>
      </c>
      <c r="AJ605" s="101">
        <f t="shared" si="76"/>
        <v>36000</v>
      </c>
    </row>
    <row r="606" spans="1:36" hidden="1" x14ac:dyDescent="0.3">
      <c r="A606" s="126" t="s">
        <v>185</v>
      </c>
      <c r="B606" s="126">
        <v>39</v>
      </c>
      <c r="C606" s="126">
        <v>25</v>
      </c>
      <c r="D606" s="126" t="str">
        <f t="shared" si="69"/>
        <v>3925</v>
      </c>
      <c r="E606" s="101">
        <v>133</v>
      </c>
      <c r="F606" s="101">
        <v>1420</v>
      </c>
      <c r="G606" s="101">
        <v>55985</v>
      </c>
      <c r="H606" s="101">
        <v>933083.25</v>
      </c>
      <c r="I606" s="101">
        <v>132824.611</v>
      </c>
      <c r="J606" s="101">
        <v>150</v>
      </c>
      <c r="K606" s="101">
        <v>1825</v>
      </c>
      <c r="L606" s="101">
        <v>55267</v>
      </c>
      <c r="M606" s="101">
        <v>577870.99</v>
      </c>
      <c r="N606" s="101">
        <v>268407.70400000003</v>
      </c>
      <c r="O606" s="101">
        <v>281</v>
      </c>
      <c r="P606" s="101">
        <v>3694</v>
      </c>
      <c r="Q606" s="101">
        <v>51092</v>
      </c>
      <c r="R606" s="101">
        <v>718267.09</v>
      </c>
      <c r="S606" s="101">
        <v>464728.52399999998</v>
      </c>
      <c r="T606" s="133">
        <v>1.02</v>
      </c>
      <c r="U606" s="101">
        <f t="shared" si="77"/>
        <v>286.62</v>
      </c>
      <c r="V606" s="101">
        <f t="shared" si="78"/>
        <v>3767.88</v>
      </c>
      <c r="W606" s="101">
        <f t="shared" si="79"/>
        <v>52113.840000000004</v>
      </c>
      <c r="X606" s="101">
        <f t="shared" si="80"/>
        <v>732632.43180000002</v>
      </c>
      <c r="Y606" s="101">
        <f t="shared" si="81"/>
        <v>474023.09447999997</v>
      </c>
      <c r="AG606" s="225"/>
      <c r="AH606" s="101">
        <v>30000</v>
      </c>
      <c r="AI606" s="101">
        <f t="shared" si="75"/>
        <v>24000</v>
      </c>
      <c r="AJ606" s="101">
        <f t="shared" si="76"/>
        <v>36000</v>
      </c>
    </row>
    <row r="607" spans="1:36" hidden="1" x14ac:dyDescent="0.3">
      <c r="A607" s="126" t="s">
        <v>185</v>
      </c>
      <c r="B607" s="126">
        <v>39</v>
      </c>
      <c r="C607" s="126">
        <v>27</v>
      </c>
      <c r="D607" s="126" t="str">
        <f t="shared" si="69"/>
        <v>3927</v>
      </c>
      <c r="E607" s="101">
        <v>4</v>
      </c>
      <c r="F607" s="101">
        <v>56</v>
      </c>
      <c r="G607" s="101">
        <v>316</v>
      </c>
      <c r="H607" s="101">
        <v>5068.9799999999996</v>
      </c>
      <c r="I607" s="101">
        <v>2938.7889999999998</v>
      </c>
      <c r="J607" s="101">
        <v>2</v>
      </c>
      <c r="K607" s="101">
        <v>25</v>
      </c>
      <c r="L607" s="101">
        <v>257</v>
      </c>
      <c r="M607" s="101">
        <v>1437.21</v>
      </c>
      <c r="N607" s="101">
        <v>324.59300000000002</v>
      </c>
      <c r="O607" s="101">
        <v>6</v>
      </c>
      <c r="P607" s="101">
        <v>32</v>
      </c>
      <c r="Q607" s="101">
        <v>479</v>
      </c>
      <c r="R607" s="101">
        <v>6437.22</v>
      </c>
      <c r="S607" s="101">
        <v>6503.88</v>
      </c>
      <c r="T607" s="133">
        <v>1.02</v>
      </c>
      <c r="U607" s="101">
        <f t="shared" si="77"/>
        <v>6.12</v>
      </c>
      <c r="V607" s="101">
        <f t="shared" si="78"/>
        <v>32.64</v>
      </c>
      <c r="W607" s="101">
        <f t="shared" si="79"/>
        <v>488.58</v>
      </c>
      <c r="X607" s="101">
        <f t="shared" si="80"/>
        <v>6565.9644000000008</v>
      </c>
      <c r="Y607" s="101">
        <f t="shared" si="81"/>
        <v>6633.9576000000006</v>
      </c>
      <c r="AG607" s="225"/>
      <c r="AH607" s="101">
        <v>30000</v>
      </c>
      <c r="AI607" s="101">
        <f t="shared" si="75"/>
        <v>24000</v>
      </c>
      <c r="AJ607" s="101">
        <f t="shared" si="76"/>
        <v>36000</v>
      </c>
    </row>
    <row r="608" spans="1:36" hidden="1" x14ac:dyDescent="0.3">
      <c r="A608" s="126" t="s">
        <v>185</v>
      </c>
      <c r="B608" s="126">
        <v>39</v>
      </c>
      <c r="C608" s="126">
        <v>26</v>
      </c>
      <c r="D608" s="126" t="str">
        <f t="shared" si="69"/>
        <v>3926</v>
      </c>
      <c r="E608" s="101">
        <v>68</v>
      </c>
      <c r="F608" s="101">
        <v>2178</v>
      </c>
      <c r="G608" s="101">
        <v>53092</v>
      </c>
      <c r="H608" s="101">
        <v>559736.92000000004</v>
      </c>
      <c r="I608" s="101">
        <v>233979</v>
      </c>
      <c r="J608" s="101">
        <v>70</v>
      </c>
      <c r="K608" s="101">
        <v>1693</v>
      </c>
      <c r="L608" s="101">
        <v>34821</v>
      </c>
      <c r="M608" s="101">
        <v>399920.63</v>
      </c>
      <c r="N608" s="101">
        <v>142755.489</v>
      </c>
      <c r="O608" s="101">
        <v>17</v>
      </c>
      <c r="P608" s="101">
        <v>465</v>
      </c>
      <c r="Q608" s="101">
        <v>21382</v>
      </c>
      <c r="R608" s="101">
        <v>144073.24</v>
      </c>
      <c r="S608" s="101">
        <v>69431.857000000004</v>
      </c>
      <c r="T608" s="133">
        <v>1.02</v>
      </c>
      <c r="U608" s="101">
        <f t="shared" si="77"/>
        <v>17.34</v>
      </c>
      <c r="V608" s="101">
        <f t="shared" si="78"/>
        <v>474.3</v>
      </c>
      <c r="W608" s="101">
        <f t="shared" si="79"/>
        <v>21809.64</v>
      </c>
      <c r="X608" s="101">
        <f t="shared" si="80"/>
        <v>146954.70480000001</v>
      </c>
      <c r="Y608" s="101">
        <f t="shared" si="81"/>
        <v>70820.49414000001</v>
      </c>
      <c r="AG608" s="225"/>
      <c r="AH608" s="101">
        <v>30000</v>
      </c>
      <c r="AI608" s="101">
        <f t="shared" si="75"/>
        <v>24000</v>
      </c>
      <c r="AJ608" s="101">
        <f t="shared" si="76"/>
        <v>36000</v>
      </c>
    </row>
    <row r="609" spans="1:36" hidden="1" x14ac:dyDescent="0.3">
      <c r="A609" s="126" t="s">
        <v>185</v>
      </c>
      <c r="B609" s="126">
        <v>39</v>
      </c>
      <c r="C609" s="126">
        <v>32</v>
      </c>
      <c r="D609" s="126" t="str">
        <f t="shared" si="69"/>
        <v>3932</v>
      </c>
      <c r="E609" s="101">
        <v>359</v>
      </c>
      <c r="F609" s="101">
        <v>1260</v>
      </c>
      <c r="G609" s="101">
        <v>22410</v>
      </c>
      <c r="H609" s="101">
        <v>490785.32999999996</v>
      </c>
      <c r="I609" s="101">
        <v>144306.24599999998</v>
      </c>
      <c r="J609" s="101">
        <v>358</v>
      </c>
      <c r="K609" s="101">
        <v>1214</v>
      </c>
      <c r="L609" s="101">
        <v>16028</v>
      </c>
      <c r="M609" s="101">
        <v>266688.73000000004</v>
      </c>
      <c r="N609" s="101">
        <v>74780.19</v>
      </c>
      <c r="O609" s="101">
        <v>196</v>
      </c>
      <c r="P609" s="101">
        <v>1186</v>
      </c>
      <c r="Q609" s="101">
        <v>28834</v>
      </c>
      <c r="R609" s="101">
        <v>187391.37</v>
      </c>
      <c r="S609" s="101">
        <v>108203.314</v>
      </c>
      <c r="T609" s="133">
        <v>1.02</v>
      </c>
      <c r="U609" s="101">
        <f>O609*$T$5+1</f>
        <v>200.92000000000002</v>
      </c>
      <c r="V609" s="101">
        <f>P609*$T$5+2</f>
        <v>1211.72</v>
      </c>
      <c r="W609" s="101">
        <f>Q609*$T$5+312</f>
        <v>29722.68</v>
      </c>
      <c r="X609" s="101">
        <f>R609*$T$5+331</f>
        <v>191470.1974</v>
      </c>
      <c r="Y609" s="101">
        <f>S609*$T$5+259</f>
        <v>110626.38028</v>
      </c>
      <c r="AG609" s="225"/>
      <c r="AH609" s="101">
        <v>30000</v>
      </c>
      <c r="AI609" s="101">
        <f t="shared" si="75"/>
        <v>24000</v>
      </c>
      <c r="AJ609" s="101">
        <f t="shared" si="76"/>
        <v>36000</v>
      </c>
    </row>
    <row r="610" spans="1:36" hidden="1" x14ac:dyDescent="0.3">
      <c r="A610" s="126" t="s">
        <v>185</v>
      </c>
      <c r="B610" s="126">
        <v>39</v>
      </c>
      <c r="C610" s="126">
        <v>28</v>
      </c>
      <c r="D610" s="126" t="str">
        <f t="shared" si="69"/>
        <v>3928</v>
      </c>
      <c r="J610" s="101">
        <v>83</v>
      </c>
      <c r="K610" s="101">
        <v>195</v>
      </c>
      <c r="L610" s="101">
        <v>171000</v>
      </c>
      <c r="M610" s="101">
        <v>177083.10000000003</v>
      </c>
      <c r="N610" s="101">
        <v>383761.72199999995</v>
      </c>
      <c r="O610" s="101">
        <v>45</v>
      </c>
      <c r="P610" s="101">
        <v>215</v>
      </c>
      <c r="Q610" s="101">
        <v>1656</v>
      </c>
      <c r="R610" s="101">
        <v>28183.26</v>
      </c>
      <c r="S610" s="101">
        <v>7993.1930000000002</v>
      </c>
      <c r="T610" s="133">
        <v>1.02</v>
      </c>
      <c r="U610" s="101">
        <v>207</v>
      </c>
      <c r="V610" s="101">
        <v>5202</v>
      </c>
      <c r="W610" s="101">
        <v>28431</v>
      </c>
      <c r="X610" s="144">
        <f t="shared" si="80"/>
        <v>28746.925199999998</v>
      </c>
      <c r="Y610" s="101">
        <v>167299</v>
      </c>
      <c r="AG610" s="225"/>
      <c r="AH610" s="101"/>
      <c r="AI610" s="101"/>
      <c r="AJ610" s="101"/>
    </row>
    <row r="611" spans="1:36" hidden="1" x14ac:dyDescent="0.3">
      <c r="A611" s="126" t="s">
        <v>185</v>
      </c>
      <c r="B611" s="126">
        <v>39</v>
      </c>
      <c r="C611" s="126">
        <v>41</v>
      </c>
      <c r="D611" s="126" t="str">
        <f t="shared" si="69"/>
        <v>3941</v>
      </c>
      <c r="J611" s="101">
        <v>7</v>
      </c>
      <c r="K611" s="101">
        <v>38</v>
      </c>
      <c r="L611" s="101">
        <v>455</v>
      </c>
      <c r="M611" s="101">
        <v>10487.82</v>
      </c>
      <c r="N611" s="101">
        <v>3354.12</v>
      </c>
      <c r="O611" s="101">
        <v>4</v>
      </c>
      <c r="P611" s="101">
        <v>7</v>
      </c>
      <c r="Q611" s="101">
        <v>192</v>
      </c>
      <c r="R611" s="101">
        <v>1316.64</v>
      </c>
      <c r="S611" s="101">
        <v>618.53</v>
      </c>
      <c r="T611" s="133">
        <v>1.02</v>
      </c>
      <c r="U611" s="101">
        <f t="shared" si="77"/>
        <v>4.08</v>
      </c>
      <c r="V611" s="101">
        <f t="shared" si="78"/>
        <v>7.1400000000000006</v>
      </c>
      <c r="W611" s="101">
        <f t="shared" si="79"/>
        <v>195.84</v>
      </c>
      <c r="X611" s="101">
        <f t="shared" si="80"/>
        <v>1342.9728000000002</v>
      </c>
      <c r="Y611" s="101">
        <f t="shared" si="81"/>
        <v>630.90059999999994</v>
      </c>
      <c r="AG611" s="225"/>
      <c r="AH611" s="101"/>
      <c r="AI611" s="101"/>
      <c r="AJ611" s="101"/>
    </row>
    <row r="612" spans="1:36" hidden="1" x14ac:dyDescent="0.3">
      <c r="A612" s="126" t="s">
        <v>185</v>
      </c>
      <c r="B612" s="126">
        <v>39</v>
      </c>
      <c r="C612" s="126">
        <v>46</v>
      </c>
      <c r="D612" s="126" t="str">
        <f t="shared" si="69"/>
        <v>3946</v>
      </c>
      <c r="J612" s="101">
        <v>13</v>
      </c>
      <c r="K612" s="101">
        <v>14</v>
      </c>
      <c r="L612" s="101">
        <v>48</v>
      </c>
      <c r="M612" s="101">
        <v>3044.0299999999997</v>
      </c>
      <c r="N612" s="101">
        <v>1070.412</v>
      </c>
      <c r="O612" s="101">
        <v>13</v>
      </c>
      <c r="P612" s="101">
        <v>15</v>
      </c>
      <c r="Q612" s="101">
        <v>775</v>
      </c>
      <c r="R612" s="101">
        <v>20744.88</v>
      </c>
      <c r="S612" s="101">
        <v>4541.8019999999997</v>
      </c>
      <c r="T612" s="133">
        <v>1.02</v>
      </c>
      <c r="U612" s="101">
        <f t="shared" si="77"/>
        <v>13.26</v>
      </c>
      <c r="V612" s="101">
        <f t="shared" si="78"/>
        <v>15.3</v>
      </c>
      <c r="W612" s="101">
        <f t="shared" si="79"/>
        <v>790.5</v>
      </c>
      <c r="X612" s="101">
        <f t="shared" si="80"/>
        <v>21159.777600000001</v>
      </c>
      <c r="Y612" s="101">
        <f t="shared" si="81"/>
        <v>4632.6380399999998</v>
      </c>
      <c r="AG612" s="225"/>
      <c r="AH612" s="101"/>
      <c r="AI612" s="101"/>
      <c r="AJ612" s="101"/>
    </row>
    <row r="613" spans="1:36" hidden="1" x14ac:dyDescent="0.3">
      <c r="A613" s="126" t="s">
        <v>185</v>
      </c>
      <c r="B613" s="126">
        <v>39</v>
      </c>
      <c r="C613" s="126">
        <v>66</v>
      </c>
      <c r="D613" s="126" t="str">
        <f t="shared" si="69"/>
        <v>3966</v>
      </c>
      <c r="J613" s="101">
        <v>8</v>
      </c>
      <c r="K613" s="101">
        <v>8</v>
      </c>
      <c r="L613" s="101">
        <v>135</v>
      </c>
      <c r="M613" s="101">
        <v>3676.29</v>
      </c>
      <c r="N613" s="101">
        <v>1503.2589999999998</v>
      </c>
      <c r="O613" s="101">
        <v>16</v>
      </c>
      <c r="P613" s="101">
        <v>23</v>
      </c>
      <c r="Q613" s="101">
        <v>438</v>
      </c>
      <c r="R613" s="101">
        <v>3164.73</v>
      </c>
      <c r="S613" s="101">
        <v>1877.251</v>
      </c>
      <c r="T613" s="133">
        <v>1.02</v>
      </c>
      <c r="U613" s="101">
        <f t="shared" si="77"/>
        <v>16.32</v>
      </c>
      <c r="V613" s="101">
        <f t="shared" si="78"/>
        <v>23.46</v>
      </c>
      <c r="W613" s="101">
        <f t="shared" si="79"/>
        <v>446.76</v>
      </c>
      <c r="X613" s="101">
        <f t="shared" si="80"/>
        <v>3228.0246000000002</v>
      </c>
      <c r="Y613" s="101">
        <f t="shared" si="81"/>
        <v>1914.79602</v>
      </c>
      <c r="AG613" s="225"/>
      <c r="AH613" s="101"/>
      <c r="AI613" s="101"/>
      <c r="AJ613" s="101"/>
    </row>
    <row r="614" spans="1:36" x14ac:dyDescent="0.3">
      <c r="A614" s="126" t="s">
        <v>185</v>
      </c>
      <c r="B614" s="126">
        <v>39</v>
      </c>
      <c r="C614" s="126">
        <v>91</v>
      </c>
      <c r="D614" s="126" t="str">
        <f t="shared" si="69"/>
        <v>3991</v>
      </c>
      <c r="J614" s="101">
        <v>4</v>
      </c>
      <c r="K614" s="101">
        <v>21</v>
      </c>
      <c r="L614" s="101">
        <v>163</v>
      </c>
      <c r="M614" s="101">
        <v>2234.4499999999998</v>
      </c>
      <c r="N614" s="101">
        <v>3175.6079999999997</v>
      </c>
      <c r="O614" s="101">
        <v>2</v>
      </c>
      <c r="P614" s="101">
        <v>2</v>
      </c>
      <c r="Q614" s="101">
        <v>2</v>
      </c>
      <c r="R614" s="101">
        <v>18.62</v>
      </c>
      <c r="S614" s="101">
        <v>17.323</v>
      </c>
      <c r="T614" s="133">
        <v>1.02</v>
      </c>
      <c r="U614" s="101">
        <f t="shared" si="77"/>
        <v>2.04</v>
      </c>
      <c r="V614" s="101">
        <f t="shared" si="78"/>
        <v>2.04</v>
      </c>
      <c r="W614" s="101">
        <f t="shared" si="79"/>
        <v>2.04</v>
      </c>
      <c r="X614" s="101">
        <f t="shared" si="80"/>
        <v>18.9924</v>
      </c>
      <c r="Y614" s="101">
        <f t="shared" si="81"/>
        <v>17.669460000000001</v>
      </c>
      <c r="AG614" s="225"/>
      <c r="AH614" s="101"/>
      <c r="AI614" s="101"/>
      <c r="AJ614" s="101"/>
    </row>
    <row r="615" spans="1:36" hidden="1" x14ac:dyDescent="0.3">
      <c r="A615" s="126" t="s">
        <v>185</v>
      </c>
      <c r="B615" s="126">
        <v>39</v>
      </c>
      <c r="C615" s="126">
        <v>21</v>
      </c>
      <c r="D615" s="126" t="str">
        <f t="shared" si="69"/>
        <v>3921</v>
      </c>
      <c r="E615" s="101">
        <v>745.5</v>
      </c>
      <c r="F615" s="101">
        <v>4684.5</v>
      </c>
      <c r="G615" s="101">
        <v>25287.5</v>
      </c>
      <c r="H615" s="101">
        <v>415253.58</v>
      </c>
      <c r="I615" s="101">
        <v>99993.62999999999</v>
      </c>
      <c r="J615" s="101">
        <v>0</v>
      </c>
      <c r="K615" s="101">
        <v>0</v>
      </c>
      <c r="L615" s="101">
        <v>0</v>
      </c>
      <c r="M615" s="101">
        <v>0</v>
      </c>
      <c r="N615" s="101">
        <v>0</v>
      </c>
      <c r="O615" s="101">
        <v>74</v>
      </c>
      <c r="P615" s="101">
        <v>917</v>
      </c>
      <c r="Q615" s="101">
        <v>29330</v>
      </c>
      <c r="R615" s="101">
        <v>90227.32</v>
      </c>
      <c r="S615" s="101">
        <v>24591.065999999999</v>
      </c>
      <c r="T615" s="133">
        <v>1.02</v>
      </c>
      <c r="U615" s="101">
        <v>973</v>
      </c>
      <c r="V615" s="101">
        <v>8928</v>
      </c>
      <c r="W615" s="101">
        <v>101289</v>
      </c>
      <c r="X615" s="101">
        <v>892686</v>
      </c>
      <c r="Y615" s="101">
        <v>290216</v>
      </c>
      <c r="AG615" s="225"/>
      <c r="AH615" s="101">
        <v>30000</v>
      </c>
      <c r="AI615" s="101">
        <f t="shared" si="75"/>
        <v>24000</v>
      </c>
      <c r="AJ615" s="101">
        <f t="shared" si="76"/>
        <v>36000</v>
      </c>
    </row>
    <row r="616" spans="1:36" hidden="1" x14ac:dyDescent="0.3">
      <c r="A616" s="126" t="s">
        <v>185</v>
      </c>
      <c r="B616" s="126">
        <v>39</v>
      </c>
      <c r="C616" s="126">
        <v>30</v>
      </c>
      <c r="D616" s="126" t="str">
        <f t="shared" si="69"/>
        <v>3930</v>
      </c>
      <c r="E616" s="101">
        <v>385.5</v>
      </c>
      <c r="F616" s="101">
        <v>3066</v>
      </c>
      <c r="G616" s="101">
        <v>15367.5</v>
      </c>
      <c r="H616" s="101">
        <v>287183.92000000004</v>
      </c>
      <c r="I616" s="101">
        <v>88234.183000000005</v>
      </c>
      <c r="J616" s="101">
        <v>942</v>
      </c>
      <c r="K616" s="101">
        <v>10218</v>
      </c>
      <c r="L616" s="101">
        <v>48894</v>
      </c>
      <c r="M616" s="101">
        <v>955120.78</v>
      </c>
      <c r="N616" s="101">
        <v>287146.22699999996</v>
      </c>
      <c r="O616" s="101">
        <v>396</v>
      </c>
      <c r="P616" s="101">
        <v>8227</v>
      </c>
      <c r="Q616" s="101">
        <v>40547</v>
      </c>
      <c r="R616" s="101">
        <v>1077492.58</v>
      </c>
      <c r="S616" s="101">
        <v>385756.33600000001</v>
      </c>
      <c r="T616" s="133">
        <v>1.02</v>
      </c>
      <c r="U616" s="101">
        <f t="shared" si="77"/>
        <v>403.92</v>
      </c>
      <c r="V616" s="101">
        <f t="shared" si="78"/>
        <v>8391.5400000000009</v>
      </c>
      <c r="W616" s="101">
        <f t="shared" si="79"/>
        <v>41357.94</v>
      </c>
      <c r="X616" s="101">
        <f t="shared" si="80"/>
        <v>1099042.4316</v>
      </c>
      <c r="Y616" s="101">
        <f t="shared" si="81"/>
        <v>393471.46272000001</v>
      </c>
      <c r="AG616" s="225"/>
      <c r="AH616" s="101">
        <v>30000</v>
      </c>
      <c r="AI616" s="101">
        <f t="shared" si="75"/>
        <v>24000</v>
      </c>
      <c r="AJ616" s="101">
        <f t="shared" si="76"/>
        <v>36000</v>
      </c>
    </row>
    <row r="617" spans="1:36" hidden="1" x14ac:dyDescent="0.3">
      <c r="A617" s="126" t="s">
        <v>185</v>
      </c>
      <c r="B617" s="126">
        <v>39</v>
      </c>
      <c r="C617" s="126">
        <v>71</v>
      </c>
      <c r="D617" s="126" t="str">
        <f t="shared" si="69"/>
        <v>3971</v>
      </c>
      <c r="E617" s="101">
        <v>469</v>
      </c>
      <c r="F617" s="101">
        <v>8230</v>
      </c>
      <c r="G617" s="101">
        <v>15475</v>
      </c>
      <c r="H617" s="101">
        <v>143716.29499999998</v>
      </c>
      <c r="I617" s="101">
        <v>69648.519499999995</v>
      </c>
      <c r="J617" s="101">
        <v>549</v>
      </c>
      <c r="K617" s="101">
        <v>6144</v>
      </c>
      <c r="L617" s="101">
        <v>23971</v>
      </c>
      <c r="M617" s="101">
        <v>171561.38</v>
      </c>
      <c r="N617" s="101">
        <v>100663.868</v>
      </c>
      <c r="O617" s="101">
        <v>200</v>
      </c>
      <c r="P617" s="101">
        <v>6664</v>
      </c>
      <c r="Q617" s="101">
        <v>20568</v>
      </c>
      <c r="R617" s="101">
        <v>140323.03</v>
      </c>
      <c r="S617" s="101">
        <v>77626.017000000007</v>
      </c>
      <c r="T617" s="133">
        <v>0.98</v>
      </c>
      <c r="AG617" s="225"/>
      <c r="AH617" s="101">
        <v>30000</v>
      </c>
      <c r="AI617" s="101">
        <f t="shared" si="75"/>
        <v>24000</v>
      </c>
      <c r="AJ617" s="101">
        <f t="shared" si="76"/>
        <v>36000</v>
      </c>
    </row>
    <row r="618" spans="1:36" hidden="1" x14ac:dyDescent="0.3">
      <c r="A618" s="126" t="s">
        <v>185</v>
      </c>
      <c r="B618" s="126">
        <v>39</v>
      </c>
      <c r="C618" s="126">
        <v>12</v>
      </c>
      <c r="D618" s="126" t="str">
        <f t="shared" si="69"/>
        <v>3912</v>
      </c>
      <c r="O618" s="101">
        <v>1</v>
      </c>
      <c r="P618" s="101">
        <v>1</v>
      </c>
      <c r="Q618" s="101">
        <v>1</v>
      </c>
      <c r="R618" s="101">
        <v>18.95</v>
      </c>
      <c r="S618" s="101">
        <v>0.83299999999999996</v>
      </c>
      <c r="T618" s="133">
        <v>1.02</v>
      </c>
      <c r="U618" s="101">
        <f t="shared" si="77"/>
        <v>1.02</v>
      </c>
      <c r="V618" s="101">
        <f t="shared" si="78"/>
        <v>1.02</v>
      </c>
      <c r="W618" s="101">
        <f t="shared" si="79"/>
        <v>1.02</v>
      </c>
      <c r="X618" s="101">
        <f t="shared" si="80"/>
        <v>19.329000000000001</v>
      </c>
      <c r="Y618" s="101">
        <f t="shared" si="81"/>
        <v>0.84965999999999997</v>
      </c>
      <c r="AG618" s="225"/>
      <c r="AH618" s="101"/>
      <c r="AI618" s="101"/>
      <c r="AJ618" s="101"/>
    </row>
    <row r="619" spans="1:36" hidden="1" x14ac:dyDescent="0.3">
      <c r="A619" s="126" t="s">
        <v>185</v>
      </c>
      <c r="B619" s="126">
        <v>39</v>
      </c>
      <c r="C619" s="126">
        <v>47</v>
      </c>
      <c r="D619" s="126" t="str">
        <f t="shared" si="69"/>
        <v>3947</v>
      </c>
      <c r="O619" s="101">
        <v>1</v>
      </c>
      <c r="P619" s="101">
        <v>1</v>
      </c>
      <c r="Q619" s="101">
        <v>100</v>
      </c>
      <c r="R619" s="101">
        <v>1817</v>
      </c>
      <c r="S619" s="101">
        <v>471.78899999999999</v>
      </c>
      <c r="T619" s="133">
        <v>1.02</v>
      </c>
      <c r="U619" s="101">
        <f t="shared" si="77"/>
        <v>1.02</v>
      </c>
      <c r="V619" s="101">
        <f t="shared" si="78"/>
        <v>1.02</v>
      </c>
      <c r="W619" s="101">
        <f t="shared" si="79"/>
        <v>102</v>
      </c>
      <c r="X619" s="101">
        <f t="shared" si="80"/>
        <v>1853.3400000000001</v>
      </c>
      <c r="Y619" s="101">
        <f t="shared" si="81"/>
        <v>481.22478000000001</v>
      </c>
      <c r="AG619" s="225"/>
      <c r="AH619" s="101"/>
      <c r="AI619" s="101"/>
      <c r="AJ619" s="101"/>
    </row>
    <row r="620" spans="1:36" hidden="1" x14ac:dyDescent="0.3">
      <c r="A620" s="126" t="s">
        <v>185</v>
      </c>
      <c r="B620" s="126">
        <v>39</v>
      </c>
      <c r="C620" s="126">
        <v>1</v>
      </c>
      <c r="D620" s="126" t="str">
        <f t="shared" si="69"/>
        <v>391</v>
      </c>
      <c r="J620" s="101">
        <v>65</v>
      </c>
      <c r="K620" s="101">
        <v>65</v>
      </c>
      <c r="L620" s="101">
        <v>19435</v>
      </c>
      <c r="N620" s="101">
        <v>112378</v>
      </c>
      <c r="O620" s="101">
        <v>138</v>
      </c>
      <c r="P620" s="101">
        <v>138</v>
      </c>
      <c r="Q620" s="101">
        <v>59952</v>
      </c>
      <c r="S620" s="101">
        <v>142457</v>
      </c>
      <c r="T620" s="133">
        <v>1.02</v>
      </c>
      <c r="U620" s="101">
        <f t="shared" si="77"/>
        <v>140.76</v>
      </c>
      <c r="V620" s="101">
        <f t="shared" si="78"/>
        <v>140.76</v>
      </c>
      <c r="W620" s="101">
        <f t="shared" si="79"/>
        <v>61151.040000000001</v>
      </c>
      <c r="X620" s="101">
        <f t="shared" si="80"/>
        <v>0</v>
      </c>
      <c r="Y620" s="101">
        <f t="shared" si="81"/>
        <v>145306.14000000001</v>
      </c>
      <c r="AG620" s="225"/>
      <c r="AH620" s="101"/>
      <c r="AI620" s="101"/>
      <c r="AJ620" s="101"/>
    </row>
    <row r="621" spans="1:36" hidden="1" x14ac:dyDescent="0.3">
      <c r="A621" s="126" t="s">
        <v>185</v>
      </c>
      <c r="B621" s="126">
        <v>39</v>
      </c>
      <c r="C621" s="126">
        <v>37</v>
      </c>
      <c r="D621" s="126" t="str">
        <f t="shared" si="69"/>
        <v>3937</v>
      </c>
      <c r="E621" s="101">
        <v>7</v>
      </c>
      <c r="F621" s="101">
        <v>36.25</v>
      </c>
      <c r="G621" s="101">
        <v>8479.75</v>
      </c>
      <c r="H621" s="101">
        <v>7655.7875000000013</v>
      </c>
      <c r="I621" s="101">
        <v>3624.9630000000002</v>
      </c>
      <c r="J621" s="101">
        <v>1</v>
      </c>
      <c r="K621" s="101">
        <v>1</v>
      </c>
      <c r="L621" s="101">
        <v>100</v>
      </c>
      <c r="M621" s="101">
        <v>396</v>
      </c>
      <c r="N621" s="101">
        <v>599.4</v>
      </c>
      <c r="O621" s="101">
        <v>3</v>
      </c>
      <c r="P621" s="101">
        <v>4</v>
      </c>
      <c r="Q621" s="101">
        <v>4324</v>
      </c>
      <c r="R621" s="101">
        <v>1931.68</v>
      </c>
      <c r="S621" s="101">
        <v>183.22399999999999</v>
      </c>
      <c r="T621" s="133">
        <v>1.02</v>
      </c>
      <c r="U621" s="101">
        <f t="shared" si="77"/>
        <v>3.06</v>
      </c>
      <c r="V621" s="101">
        <f t="shared" si="78"/>
        <v>4.08</v>
      </c>
      <c r="W621" s="101">
        <f t="shared" si="79"/>
        <v>4410.4800000000005</v>
      </c>
      <c r="X621" s="101">
        <f t="shared" si="80"/>
        <v>1970.3136000000002</v>
      </c>
      <c r="Y621" s="101">
        <f t="shared" si="81"/>
        <v>186.88847999999999</v>
      </c>
      <c r="AG621" s="225"/>
      <c r="AH621" s="101">
        <v>30000</v>
      </c>
      <c r="AI621" s="101">
        <f t="shared" si="75"/>
        <v>24000</v>
      </c>
      <c r="AJ621" s="101">
        <f t="shared" si="76"/>
        <v>36000</v>
      </c>
    </row>
    <row r="622" spans="1:36" hidden="1" x14ac:dyDescent="0.3">
      <c r="A622" s="126" t="s">
        <v>186</v>
      </c>
      <c r="B622" s="126">
        <v>40</v>
      </c>
      <c r="C622" s="126">
        <v>22</v>
      </c>
      <c r="D622" s="126" t="str">
        <f t="shared" si="69"/>
        <v>4022</v>
      </c>
      <c r="E622" s="101">
        <v>444</v>
      </c>
      <c r="F622" s="101">
        <v>3041</v>
      </c>
      <c r="G622" s="101">
        <v>40311</v>
      </c>
      <c r="H622" s="101">
        <v>230426.36</v>
      </c>
      <c r="I622" s="101">
        <v>129902.83200000001</v>
      </c>
      <c r="J622" s="101">
        <v>450</v>
      </c>
      <c r="K622" s="101">
        <v>3796</v>
      </c>
      <c r="L622" s="101">
        <v>38130</v>
      </c>
      <c r="M622" s="101">
        <v>286046.07</v>
      </c>
      <c r="N622" s="101">
        <v>147237.78599999999</v>
      </c>
      <c r="O622" s="101">
        <v>936</v>
      </c>
      <c r="P622" s="101">
        <v>4553</v>
      </c>
      <c r="Q622" s="101">
        <v>50845</v>
      </c>
      <c r="R622" s="101">
        <v>270674.93</v>
      </c>
      <c r="S622" s="101">
        <v>209698.408</v>
      </c>
      <c r="T622" s="133">
        <v>1.02</v>
      </c>
      <c r="U622" s="101">
        <f t="shared" si="77"/>
        <v>954.72</v>
      </c>
      <c r="V622" s="101">
        <f t="shared" si="78"/>
        <v>4644.0600000000004</v>
      </c>
      <c r="W622" s="101">
        <f t="shared" si="79"/>
        <v>51861.9</v>
      </c>
      <c r="X622" s="101">
        <f t="shared" si="80"/>
        <v>276088.42859999998</v>
      </c>
      <c r="Y622" s="101">
        <f t="shared" si="81"/>
        <v>213892.37615999999</v>
      </c>
      <c r="AG622" s="225">
        <f>SUM(V622:V636)</f>
        <v>22006.9</v>
      </c>
      <c r="AH622" s="101">
        <v>30000</v>
      </c>
      <c r="AI622" s="101">
        <f t="shared" si="75"/>
        <v>24000</v>
      </c>
      <c r="AJ622" s="101">
        <f t="shared" si="76"/>
        <v>36000</v>
      </c>
    </row>
    <row r="623" spans="1:36" hidden="1" x14ac:dyDescent="0.3">
      <c r="A623" s="126" t="s">
        <v>186</v>
      </c>
      <c r="B623" s="126">
        <v>40</v>
      </c>
      <c r="C623" s="126">
        <v>25</v>
      </c>
      <c r="D623" s="126" t="str">
        <f t="shared" si="69"/>
        <v>4025</v>
      </c>
      <c r="E623" s="101">
        <v>116</v>
      </c>
      <c r="F623" s="101">
        <v>1581</v>
      </c>
      <c r="G623" s="101">
        <v>39631</v>
      </c>
      <c r="H623" s="101">
        <v>569810.88</v>
      </c>
      <c r="I623" s="101">
        <v>333868.93199999997</v>
      </c>
      <c r="J623" s="101">
        <v>141</v>
      </c>
      <c r="K623" s="101">
        <v>1747</v>
      </c>
      <c r="L623" s="101">
        <v>21758</v>
      </c>
      <c r="M623" s="101">
        <v>310871.93</v>
      </c>
      <c r="N623" s="101">
        <v>149353.23699999999</v>
      </c>
      <c r="O623" s="101">
        <v>245</v>
      </c>
      <c r="P623" s="101">
        <v>2661</v>
      </c>
      <c r="Q623" s="101">
        <v>67389</v>
      </c>
      <c r="R623" s="101">
        <v>1021312.5</v>
      </c>
      <c r="S623" s="101">
        <v>423292.26199999999</v>
      </c>
      <c r="T623" s="133">
        <v>1.02</v>
      </c>
      <c r="U623" s="101">
        <f t="shared" si="77"/>
        <v>249.9</v>
      </c>
      <c r="V623" s="101">
        <f t="shared" si="78"/>
        <v>2714.2200000000003</v>
      </c>
      <c r="W623" s="101">
        <f t="shared" si="79"/>
        <v>68736.78</v>
      </c>
      <c r="X623" s="101">
        <f t="shared" si="80"/>
        <v>1041738.75</v>
      </c>
      <c r="Y623" s="101">
        <f t="shared" si="81"/>
        <v>431758.10723999998</v>
      </c>
      <c r="AG623" s="225"/>
      <c r="AH623" s="101">
        <v>30000</v>
      </c>
      <c r="AI623" s="101">
        <f t="shared" si="75"/>
        <v>24000</v>
      </c>
      <c r="AJ623" s="101">
        <f t="shared" si="76"/>
        <v>36000</v>
      </c>
    </row>
    <row r="624" spans="1:36" hidden="1" x14ac:dyDescent="0.3">
      <c r="A624" s="126" t="s">
        <v>186</v>
      </c>
      <c r="B624" s="126">
        <v>40</v>
      </c>
      <c r="C624" s="126">
        <v>27</v>
      </c>
      <c r="D624" s="126" t="str">
        <f t="shared" si="69"/>
        <v>4027</v>
      </c>
      <c r="E624" s="101">
        <v>4</v>
      </c>
      <c r="F624" s="101">
        <v>164</v>
      </c>
      <c r="G624" s="101">
        <v>1592</v>
      </c>
      <c r="H624" s="101">
        <v>48463.469999999994</v>
      </c>
      <c r="I624" s="101">
        <v>25413.815999999999</v>
      </c>
      <c r="J624" s="101">
        <v>4</v>
      </c>
      <c r="K624" s="101">
        <v>39</v>
      </c>
      <c r="L624" s="101">
        <v>199</v>
      </c>
      <c r="M624" s="101">
        <v>3223.9</v>
      </c>
      <c r="N624" s="101">
        <v>1589.69</v>
      </c>
      <c r="O624" s="101">
        <v>3</v>
      </c>
      <c r="P624" s="101">
        <v>35</v>
      </c>
      <c r="Q624" s="101">
        <v>517</v>
      </c>
      <c r="R624" s="101">
        <v>2859.52</v>
      </c>
      <c r="S624" s="101">
        <v>1479.6790000000001</v>
      </c>
      <c r="T624" s="133">
        <v>1.02</v>
      </c>
      <c r="U624" s="101">
        <f t="shared" si="77"/>
        <v>3.06</v>
      </c>
      <c r="V624" s="101">
        <f t="shared" si="78"/>
        <v>35.700000000000003</v>
      </c>
      <c r="W624" s="101">
        <f t="shared" si="79"/>
        <v>527.34</v>
      </c>
      <c r="X624" s="101">
        <f t="shared" si="80"/>
        <v>2916.7103999999999</v>
      </c>
      <c r="Y624" s="101">
        <f t="shared" si="81"/>
        <v>1509.2725800000001</v>
      </c>
      <c r="AG624" s="225"/>
      <c r="AH624" s="101">
        <v>30000</v>
      </c>
      <c r="AI624" s="101">
        <f t="shared" si="75"/>
        <v>24000</v>
      </c>
      <c r="AJ624" s="101">
        <f t="shared" si="76"/>
        <v>36000</v>
      </c>
    </row>
    <row r="625" spans="1:36" hidden="1" x14ac:dyDescent="0.3">
      <c r="A625" s="126" t="s">
        <v>186</v>
      </c>
      <c r="B625" s="126">
        <v>40</v>
      </c>
      <c r="C625" s="126">
        <v>26</v>
      </c>
      <c r="D625" s="126" t="str">
        <f t="shared" si="69"/>
        <v>4026</v>
      </c>
      <c r="E625" s="101">
        <v>56</v>
      </c>
      <c r="F625" s="101">
        <v>1564</v>
      </c>
      <c r="G625" s="101">
        <v>45722</v>
      </c>
      <c r="H625" s="101">
        <v>238928.31</v>
      </c>
      <c r="I625" s="101">
        <v>114727.773</v>
      </c>
      <c r="J625" s="101">
        <v>81</v>
      </c>
      <c r="K625" s="101">
        <v>2084</v>
      </c>
      <c r="L625" s="101">
        <v>32139</v>
      </c>
      <c r="M625" s="101">
        <v>536052.57999999996</v>
      </c>
      <c r="N625" s="101">
        <v>223723.73300000001</v>
      </c>
      <c r="O625" s="101">
        <v>12</v>
      </c>
      <c r="P625" s="101">
        <v>471</v>
      </c>
      <c r="Q625" s="101">
        <v>9949</v>
      </c>
      <c r="R625" s="101">
        <v>170882.49</v>
      </c>
      <c r="S625" s="101">
        <v>48350.940999999999</v>
      </c>
      <c r="T625" s="133">
        <v>1.02</v>
      </c>
      <c r="U625" s="101">
        <f t="shared" si="77"/>
        <v>12.24</v>
      </c>
      <c r="V625" s="101">
        <f t="shared" si="78"/>
        <v>480.42</v>
      </c>
      <c r="W625" s="101">
        <f t="shared" si="79"/>
        <v>10147.98</v>
      </c>
      <c r="X625" s="101">
        <f t="shared" si="80"/>
        <v>174300.1398</v>
      </c>
      <c r="Y625" s="101">
        <f t="shared" si="81"/>
        <v>49317.959819999996</v>
      </c>
      <c r="AG625" s="225"/>
      <c r="AH625" s="101">
        <v>30000</v>
      </c>
      <c r="AI625" s="101">
        <f t="shared" si="75"/>
        <v>24000</v>
      </c>
      <c r="AJ625" s="101">
        <f t="shared" si="76"/>
        <v>36000</v>
      </c>
    </row>
    <row r="626" spans="1:36" hidden="1" x14ac:dyDescent="0.3">
      <c r="A626" s="126" t="s">
        <v>186</v>
      </c>
      <c r="B626" s="126">
        <v>40</v>
      </c>
      <c r="C626" s="126">
        <v>28</v>
      </c>
      <c r="D626" s="126" t="str">
        <f t="shared" si="69"/>
        <v>4028</v>
      </c>
      <c r="J626" s="101">
        <v>60</v>
      </c>
      <c r="K626" s="101">
        <v>155</v>
      </c>
      <c r="L626" s="101">
        <v>1703</v>
      </c>
      <c r="M626" s="101">
        <v>45002.559999999998</v>
      </c>
      <c r="N626" s="101">
        <v>12753.838</v>
      </c>
      <c r="O626" s="101">
        <v>32</v>
      </c>
      <c r="P626" s="101">
        <v>122</v>
      </c>
      <c r="Q626" s="101">
        <v>611</v>
      </c>
      <c r="R626" s="101">
        <v>21189.88</v>
      </c>
      <c r="S626" s="101">
        <v>8416.4940000000006</v>
      </c>
      <c r="T626" s="133">
        <v>1.02</v>
      </c>
      <c r="U626" s="101">
        <v>174</v>
      </c>
      <c r="V626" s="101">
        <v>2458</v>
      </c>
      <c r="W626" s="101">
        <v>17470</v>
      </c>
      <c r="X626" s="144">
        <f t="shared" si="80"/>
        <v>21613.677600000003</v>
      </c>
      <c r="Y626" s="101">
        <v>114340</v>
      </c>
      <c r="AG626" s="225"/>
      <c r="AH626" s="101"/>
      <c r="AI626" s="101"/>
      <c r="AJ626" s="101"/>
    </row>
    <row r="627" spans="1:36" hidden="1" x14ac:dyDescent="0.3">
      <c r="A627" s="126" t="s">
        <v>186</v>
      </c>
      <c r="B627" s="126">
        <v>40</v>
      </c>
      <c r="C627" s="126">
        <v>41</v>
      </c>
      <c r="D627" s="126" t="str">
        <f t="shared" si="69"/>
        <v>4041</v>
      </c>
      <c r="J627" s="101">
        <v>8</v>
      </c>
      <c r="K627" s="101">
        <v>21</v>
      </c>
      <c r="L627" s="101">
        <v>367</v>
      </c>
      <c r="M627" s="101">
        <v>2869.02</v>
      </c>
      <c r="N627" s="101">
        <v>1078.2</v>
      </c>
      <c r="O627" s="101">
        <v>2</v>
      </c>
      <c r="P627" s="101">
        <v>2</v>
      </c>
      <c r="Q627" s="101">
        <v>2</v>
      </c>
      <c r="R627" s="101">
        <v>51.53</v>
      </c>
      <c r="S627" s="101">
        <v>22.170999999999999</v>
      </c>
      <c r="T627" s="133">
        <v>1.02</v>
      </c>
      <c r="U627" s="101">
        <f t="shared" si="77"/>
        <v>2.04</v>
      </c>
      <c r="V627" s="101">
        <f t="shared" si="78"/>
        <v>2.04</v>
      </c>
      <c r="W627" s="101">
        <f t="shared" si="79"/>
        <v>2.04</v>
      </c>
      <c r="X627" s="101">
        <f t="shared" si="80"/>
        <v>52.560600000000001</v>
      </c>
      <c r="Y627" s="101">
        <f t="shared" si="81"/>
        <v>22.614419999999999</v>
      </c>
      <c r="AG627" s="225"/>
      <c r="AH627" s="101"/>
      <c r="AI627" s="101"/>
      <c r="AJ627" s="101"/>
    </row>
    <row r="628" spans="1:36" hidden="1" x14ac:dyDescent="0.3">
      <c r="A628" s="126" t="s">
        <v>186</v>
      </c>
      <c r="B628" s="126">
        <v>40</v>
      </c>
      <c r="C628" s="126">
        <v>46</v>
      </c>
      <c r="D628" s="126" t="str">
        <f t="shared" si="69"/>
        <v>4046</v>
      </c>
      <c r="J628" s="101">
        <v>11</v>
      </c>
      <c r="K628" s="101">
        <v>13</v>
      </c>
      <c r="L628" s="101">
        <v>55</v>
      </c>
      <c r="M628" s="101">
        <v>1639.54</v>
      </c>
      <c r="N628" s="101">
        <v>453.22500000000002</v>
      </c>
      <c r="O628" s="101">
        <v>11</v>
      </c>
      <c r="P628" s="101">
        <v>17</v>
      </c>
      <c r="Q628" s="101">
        <v>1708</v>
      </c>
      <c r="R628" s="101">
        <v>19099.25</v>
      </c>
      <c r="S628" s="101">
        <v>4194.7139999999999</v>
      </c>
      <c r="T628" s="133">
        <v>1.02</v>
      </c>
      <c r="U628" s="101">
        <f t="shared" si="77"/>
        <v>11.22</v>
      </c>
      <c r="V628" s="101">
        <f t="shared" si="78"/>
        <v>17.34</v>
      </c>
      <c r="W628" s="101">
        <f t="shared" si="79"/>
        <v>1742.16</v>
      </c>
      <c r="X628" s="101">
        <f t="shared" si="80"/>
        <v>19481.235000000001</v>
      </c>
      <c r="Y628" s="101">
        <f t="shared" si="81"/>
        <v>4278.6082800000004</v>
      </c>
      <c r="AG628" s="225"/>
      <c r="AH628" s="101"/>
      <c r="AI628" s="101"/>
      <c r="AJ628" s="101"/>
    </row>
    <row r="629" spans="1:36" hidden="1" x14ac:dyDescent="0.3">
      <c r="A629" s="126" t="s">
        <v>186</v>
      </c>
      <c r="B629" s="126">
        <v>40</v>
      </c>
      <c r="C629" s="126">
        <v>66</v>
      </c>
      <c r="D629" s="126" t="str">
        <f t="shared" si="69"/>
        <v>4066</v>
      </c>
      <c r="J629" s="101">
        <v>19</v>
      </c>
      <c r="K629" s="101">
        <v>28</v>
      </c>
      <c r="L629" s="101">
        <v>2672</v>
      </c>
      <c r="M629" s="101">
        <v>69080.11</v>
      </c>
      <c r="N629" s="101">
        <v>35545.983</v>
      </c>
      <c r="O629" s="101">
        <v>18</v>
      </c>
      <c r="P629" s="101">
        <v>37</v>
      </c>
      <c r="Q629" s="101">
        <v>2165</v>
      </c>
      <c r="R629" s="101">
        <v>14156.65</v>
      </c>
      <c r="S629" s="101">
        <v>15104.517</v>
      </c>
      <c r="T629" s="133">
        <v>1.02</v>
      </c>
      <c r="U629" s="101">
        <f t="shared" si="77"/>
        <v>18.36</v>
      </c>
      <c r="V629" s="101">
        <f t="shared" si="78"/>
        <v>37.74</v>
      </c>
      <c r="W629" s="101">
        <f t="shared" si="79"/>
        <v>2208.3000000000002</v>
      </c>
      <c r="X629" s="101">
        <f t="shared" si="80"/>
        <v>14439.782999999999</v>
      </c>
      <c r="Y629" s="101">
        <f t="shared" si="81"/>
        <v>15406.60734</v>
      </c>
      <c r="AG629" s="225"/>
      <c r="AH629" s="101"/>
      <c r="AI629" s="101"/>
      <c r="AJ629" s="101"/>
    </row>
    <row r="630" spans="1:36" hidden="1" x14ac:dyDescent="0.3">
      <c r="A630" s="126" t="s">
        <v>186</v>
      </c>
      <c r="B630" s="126">
        <v>40</v>
      </c>
      <c r="C630" s="126">
        <v>32</v>
      </c>
      <c r="D630" s="126" t="str">
        <f t="shared" si="69"/>
        <v>4032</v>
      </c>
      <c r="E630" s="101">
        <v>338</v>
      </c>
      <c r="F630" s="101">
        <v>2525</v>
      </c>
      <c r="G630" s="101">
        <v>88063</v>
      </c>
      <c r="H630" s="101">
        <v>1136510.52</v>
      </c>
      <c r="I630" s="101">
        <v>553926.674</v>
      </c>
      <c r="J630" s="101">
        <v>186</v>
      </c>
      <c r="K630" s="101">
        <v>1935</v>
      </c>
      <c r="L630" s="101">
        <v>36245</v>
      </c>
      <c r="M630" s="101">
        <v>302608.59000000003</v>
      </c>
      <c r="N630" s="101">
        <v>106874.056</v>
      </c>
      <c r="O630" s="101">
        <v>159</v>
      </c>
      <c r="P630" s="101">
        <v>658</v>
      </c>
      <c r="Q630" s="101">
        <v>57281</v>
      </c>
      <c r="R630" s="101">
        <v>607459.69999999995</v>
      </c>
      <c r="S630" s="101">
        <v>240912.71299999999</v>
      </c>
      <c r="T630" s="133">
        <v>1.02</v>
      </c>
      <c r="U630" s="101">
        <f>O630*$T$5+2</f>
        <v>164.18</v>
      </c>
      <c r="V630" s="101">
        <f>P630*$T$5+9</f>
        <v>680.16</v>
      </c>
      <c r="W630" s="101">
        <f>Q630*$T$5+1550</f>
        <v>59976.62</v>
      </c>
      <c r="X630" s="101">
        <f>R630*$T$5+7375</f>
        <v>626983.89399999997</v>
      </c>
      <c r="Y630" s="101">
        <f>S630*$T$5+2610</f>
        <v>248340.96726</v>
      </c>
      <c r="AG630" s="225"/>
      <c r="AH630" s="101">
        <v>30000</v>
      </c>
      <c r="AI630" s="101">
        <f t="shared" si="75"/>
        <v>24000</v>
      </c>
      <c r="AJ630" s="101">
        <f t="shared" si="76"/>
        <v>36000</v>
      </c>
    </row>
    <row r="631" spans="1:36" hidden="1" x14ac:dyDescent="0.3">
      <c r="A631" s="126" t="s">
        <v>186</v>
      </c>
      <c r="B631" s="126">
        <v>40</v>
      </c>
      <c r="C631" s="126">
        <v>21</v>
      </c>
      <c r="D631" s="126" t="str">
        <f t="shared" si="69"/>
        <v>4021</v>
      </c>
      <c r="E631" s="101">
        <v>737</v>
      </c>
      <c r="F631" s="101">
        <v>4671.5</v>
      </c>
      <c r="G631" s="101">
        <v>35806.5</v>
      </c>
      <c r="H631" s="101">
        <v>542656.07000000007</v>
      </c>
      <c r="I631" s="101">
        <v>168788.51199999999</v>
      </c>
      <c r="J631" s="101">
        <v>0</v>
      </c>
      <c r="K631" s="101">
        <v>0</v>
      </c>
      <c r="L631" s="101">
        <v>0</v>
      </c>
      <c r="M631" s="101">
        <v>0</v>
      </c>
      <c r="N631" s="101">
        <v>0</v>
      </c>
      <c r="O631" s="101">
        <v>49</v>
      </c>
      <c r="P631" s="101">
        <v>654</v>
      </c>
      <c r="Q631" s="101">
        <v>4039</v>
      </c>
      <c r="R631" s="101">
        <v>69861.59</v>
      </c>
      <c r="S631" s="101">
        <v>26792.767</v>
      </c>
      <c r="T631" s="133">
        <v>1.02</v>
      </c>
      <c r="U631" s="101">
        <v>814</v>
      </c>
      <c r="V631" s="101">
        <v>6183</v>
      </c>
      <c r="W631" s="101">
        <v>39917</v>
      </c>
      <c r="X631" s="101">
        <v>736953</v>
      </c>
      <c r="Y631" s="101">
        <v>331834</v>
      </c>
      <c r="AG631" s="225"/>
      <c r="AH631" s="101">
        <v>30000</v>
      </c>
      <c r="AI631" s="101">
        <f t="shared" si="75"/>
        <v>24000</v>
      </c>
      <c r="AJ631" s="101">
        <f t="shared" si="76"/>
        <v>36000</v>
      </c>
    </row>
    <row r="632" spans="1:36" hidden="1" x14ac:dyDescent="0.3">
      <c r="A632" s="126" t="s">
        <v>186</v>
      </c>
      <c r="B632" s="126">
        <v>40</v>
      </c>
      <c r="C632" s="126">
        <v>30</v>
      </c>
      <c r="D632" s="126" t="str">
        <f t="shared" ref="D632:D736" si="82">CONCATENATE(B632,C632)</f>
        <v>4030</v>
      </c>
      <c r="E632" s="101">
        <v>378.5</v>
      </c>
      <c r="F632" s="101">
        <v>4778</v>
      </c>
      <c r="G632" s="101">
        <v>19557.5</v>
      </c>
      <c r="H632" s="101">
        <v>406089.25</v>
      </c>
      <c r="I632" s="101">
        <v>132503.2065</v>
      </c>
      <c r="J632" s="101">
        <v>346</v>
      </c>
      <c r="K632" s="101">
        <v>7378</v>
      </c>
      <c r="L632" s="101">
        <v>38921</v>
      </c>
      <c r="M632" s="101">
        <v>787359.63</v>
      </c>
      <c r="N632" s="101">
        <v>265377.88699999999</v>
      </c>
      <c r="O632" s="101">
        <v>320</v>
      </c>
      <c r="P632" s="101">
        <v>4466</v>
      </c>
      <c r="Q632" s="101">
        <v>27070</v>
      </c>
      <c r="R632" s="101">
        <v>881593.45</v>
      </c>
      <c r="S632" s="101">
        <v>280507.679</v>
      </c>
      <c r="T632" s="133">
        <v>1.02</v>
      </c>
      <c r="U632" s="101">
        <f t="shared" si="77"/>
        <v>326.39999999999998</v>
      </c>
      <c r="V632" s="101">
        <f t="shared" si="78"/>
        <v>4555.32</v>
      </c>
      <c r="W632" s="101">
        <f t="shared" si="79"/>
        <v>27611.4</v>
      </c>
      <c r="X632" s="101">
        <f t="shared" si="80"/>
        <v>899225.31900000002</v>
      </c>
      <c r="Y632" s="101">
        <f t="shared" si="81"/>
        <v>286117.83257999999</v>
      </c>
      <c r="AG632" s="225"/>
      <c r="AH632" s="101">
        <v>30000</v>
      </c>
      <c r="AI632" s="101">
        <f t="shared" si="75"/>
        <v>24000</v>
      </c>
      <c r="AJ632" s="101">
        <f t="shared" si="76"/>
        <v>36000</v>
      </c>
    </row>
    <row r="633" spans="1:36" x14ac:dyDescent="0.3">
      <c r="A633" s="126" t="s">
        <v>186</v>
      </c>
      <c r="B633" s="126">
        <v>40</v>
      </c>
      <c r="C633" s="126">
        <v>91</v>
      </c>
      <c r="D633" s="126" t="str">
        <f t="shared" si="82"/>
        <v>4091</v>
      </c>
      <c r="J633" s="101">
        <v>10</v>
      </c>
      <c r="K633" s="101">
        <v>14</v>
      </c>
      <c r="L633" s="101">
        <v>38</v>
      </c>
      <c r="M633" s="101">
        <v>387.3</v>
      </c>
      <c r="N633" s="101">
        <v>875.29600000000005</v>
      </c>
      <c r="O633" s="101">
        <v>5</v>
      </c>
      <c r="P633" s="101">
        <v>16</v>
      </c>
      <c r="Q633" s="101">
        <v>88</v>
      </c>
      <c r="R633" s="101">
        <v>222.17</v>
      </c>
      <c r="S633" s="101">
        <v>651.61599999999999</v>
      </c>
      <c r="T633" s="133">
        <v>1.02</v>
      </c>
      <c r="U633" s="101">
        <f t="shared" si="77"/>
        <v>5.0999999999999996</v>
      </c>
      <c r="V633" s="101">
        <f t="shared" si="78"/>
        <v>16.32</v>
      </c>
      <c r="W633" s="101">
        <f t="shared" si="79"/>
        <v>89.76</v>
      </c>
      <c r="X633" s="101">
        <f t="shared" si="80"/>
        <v>226.61339999999998</v>
      </c>
      <c r="Y633" s="101">
        <f t="shared" si="81"/>
        <v>664.64832000000001</v>
      </c>
      <c r="AG633" s="225"/>
      <c r="AH633" s="101"/>
      <c r="AI633" s="101"/>
      <c r="AJ633" s="101"/>
    </row>
    <row r="634" spans="1:36" hidden="1" x14ac:dyDescent="0.3">
      <c r="A634" s="126" t="s">
        <v>186</v>
      </c>
      <c r="B634" s="126">
        <v>40</v>
      </c>
      <c r="C634" s="126">
        <v>71</v>
      </c>
      <c r="D634" s="126" t="str">
        <f t="shared" si="82"/>
        <v>4071</v>
      </c>
      <c r="E634" s="101">
        <v>109.5</v>
      </c>
      <c r="F634" s="101">
        <v>309.5</v>
      </c>
      <c r="G634" s="101">
        <v>466</v>
      </c>
      <c r="H634" s="101">
        <v>7177.67</v>
      </c>
      <c r="I634" s="101">
        <v>2722.3019999999997</v>
      </c>
      <c r="J634" s="101">
        <v>476</v>
      </c>
      <c r="K634" s="101">
        <v>4588</v>
      </c>
      <c r="L634" s="101">
        <v>15595</v>
      </c>
      <c r="M634" s="101">
        <v>127134.77</v>
      </c>
      <c r="N634" s="101">
        <v>86727.49</v>
      </c>
      <c r="O634" s="101">
        <v>158</v>
      </c>
      <c r="P634" s="101">
        <v>5891</v>
      </c>
      <c r="Q634" s="101">
        <v>17182</v>
      </c>
      <c r="R634" s="101">
        <v>120941.09</v>
      </c>
      <c r="S634" s="101">
        <v>51378.586000000003</v>
      </c>
      <c r="T634" s="133">
        <v>0.98</v>
      </c>
      <c r="AG634" s="225"/>
      <c r="AH634" s="101">
        <v>30000</v>
      </c>
      <c r="AI634" s="101">
        <f t="shared" si="75"/>
        <v>24000</v>
      </c>
      <c r="AJ634" s="101">
        <f t="shared" si="76"/>
        <v>36000</v>
      </c>
    </row>
    <row r="635" spans="1:36" hidden="1" x14ac:dyDescent="0.3">
      <c r="A635" s="126" t="s">
        <v>186</v>
      </c>
      <c r="B635" s="126">
        <v>40</v>
      </c>
      <c r="C635" s="126">
        <v>1</v>
      </c>
      <c r="D635" s="126" t="str">
        <f t="shared" si="82"/>
        <v>401</v>
      </c>
      <c r="J635" s="101">
        <v>125</v>
      </c>
      <c r="K635" s="101">
        <v>125</v>
      </c>
      <c r="L635" s="101">
        <v>39249</v>
      </c>
      <c r="N635" s="101">
        <v>230195</v>
      </c>
      <c r="O635" s="101">
        <v>178</v>
      </c>
      <c r="P635" s="101">
        <v>178</v>
      </c>
      <c r="Q635" s="101">
        <v>102873</v>
      </c>
      <c r="S635" s="101">
        <v>224248</v>
      </c>
      <c r="T635" s="133">
        <v>1.02</v>
      </c>
      <c r="U635" s="101">
        <f t="shared" si="77"/>
        <v>181.56</v>
      </c>
      <c r="V635" s="101">
        <f t="shared" si="78"/>
        <v>181.56</v>
      </c>
      <c r="W635" s="101">
        <f t="shared" si="79"/>
        <v>104930.46</v>
      </c>
      <c r="X635" s="101">
        <f t="shared" si="80"/>
        <v>0</v>
      </c>
      <c r="Y635" s="101">
        <f t="shared" si="81"/>
        <v>228732.96</v>
      </c>
      <c r="AG635" s="225"/>
      <c r="AH635" s="101"/>
      <c r="AI635" s="101"/>
      <c r="AJ635" s="101"/>
    </row>
    <row r="636" spans="1:36" hidden="1" x14ac:dyDescent="0.3">
      <c r="A636" s="126" t="s">
        <v>186</v>
      </c>
      <c r="B636" s="126">
        <v>40</v>
      </c>
      <c r="C636" s="126">
        <v>37</v>
      </c>
      <c r="D636" s="126" t="str">
        <f t="shared" si="82"/>
        <v>4037</v>
      </c>
      <c r="E636" s="101">
        <v>8.5</v>
      </c>
      <c r="F636" s="101">
        <v>38.5</v>
      </c>
      <c r="G636" s="101">
        <v>1407.75</v>
      </c>
      <c r="H636" s="101">
        <v>4033.1800000000003</v>
      </c>
      <c r="I636" s="101">
        <v>1611.3867499999999</v>
      </c>
      <c r="J636" s="101">
        <v>3</v>
      </c>
      <c r="K636" s="101">
        <v>7</v>
      </c>
      <c r="L636" s="101">
        <v>19102</v>
      </c>
      <c r="M636" s="101">
        <v>10277.66</v>
      </c>
      <c r="N636" s="101">
        <v>744.62800000000004</v>
      </c>
      <c r="O636" s="101">
        <v>1</v>
      </c>
      <c r="P636" s="101">
        <v>1</v>
      </c>
      <c r="Q636" s="101">
        <v>900</v>
      </c>
      <c r="R636" s="101">
        <v>234</v>
      </c>
      <c r="S636" s="101">
        <v>270</v>
      </c>
      <c r="T636" s="133">
        <v>1.02</v>
      </c>
      <c r="U636" s="101">
        <f t="shared" si="77"/>
        <v>1.02</v>
      </c>
      <c r="V636" s="101">
        <f t="shared" si="78"/>
        <v>1.02</v>
      </c>
      <c r="W636" s="101">
        <f t="shared" si="79"/>
        <v>918</v>
      </c>
      <c r="X636" s="101">
        <f t="shared" si="80"/>
        <v>238.68</v>
      </c>
      <c r="Y636" s="101">
        <f t="shared" si="81"/>
        <v>275.39999999999998</v>
      </c>
      <c r="AG636" s="225"/>
      <c r="AH636" s="101">
        <v>30000</v>
      </c>
      <c r="AI636" s="101">
        <f t="shared" si="75"/>
        <v>24000</v>
      </c>
      <c r="AJ636" s="101">
        <f t="shared" si="76"/>
        <v>36000</v>
      </c>
    </row>
    <row r="637" spans="1:36" hidden="1" x14ac:dyDescent="0.3">
      <c r="A637" s="126" t="s">
        <v>186</v>
      </c>
      <c r="B637" s="126">
        <v>41</v>
      </c>
      <c r="C637" s="126">
        <v>22</v>
      </c>
      <c r="D637" s="126" t="str">
        <f t="shared" si="82"/>
        <v>4122</v>
      </c>
      <c r="E637" s="101">
        <v>589</v>
      </c>
      <c r="F637" s="101">
        <v>4053</v>
      </c>
      <c r="G637" s="101">
        <v>43710</v>
      </c>
      <c r="H637" s="101">
        <v>194869.56999999998</v>
      </c>
      <c r="I637" s="101">
        <v>133163.51800000001</v>
      </c>
      <c r="J637" s="101">
        <v>872</v>
      </c>
      <c r="K637" s="101">
        <v>5550</v>
      </c>
      <c r="L637" s="101">
        <v>68088</v>
      </c>
      <c r="M637" s="101">
        <v>321977.96000000002</v>
      </c>
      <c r="N637" s="101">
        <v>269113.86099999998</v>
      </c>
      <c r="O637" s="101">
        <v>511</v>
      </c>
      <c r="P637" s="101">
        <v>4460</v>
      </c>
      <c r="Q637" s="101">
        <v>69729</v>
      </c>
      <c r="R637" s="101">
        <v>210261</v>
      </c>
      <c r="S637" s="101">
        <v>170851</v>
      </c>
      <c r="T637" s="133">
        <v>1.02</v>
      </c>
      <c r="U637" s="101">
        <f t="shared" si="77"/>
        <v>521.22</v>
      </c>
      <c r="V637" s="101">
        <f t="shared" si="78"/>
        <v>4549.2</v>
      </c>
      <c r="W637" s="101">
        <f t="shared" si="79"/>
        <v>71123.58</v>
      </c>
      <c r="X637" s="101">
        <f t="shared" si="80"/>
        <v>214466.22</v>
      </c>
      <c r="Y637" s="101">
        <f t="shared" si="81"/>
        <v>174268.02</v>
      </c>
      <c r="AG637" s="225">
        <f>SUM(V637:V652)</f>
        <v>36484.599999999991</v>
      </c>
      <c r="AH637" s="101">
        <v>30000</v>
      </c>
      <c r="AI637" s="101">
        <f t="shared" si="75"/>
        <v>24000</v>
      </c>
      <c r="AJ637" s="101">
        <f t="shared" si="76"/>
        <v>36000</v>
      </c>
    </row>
    <row r="638" spans="1:36" hidden="1" x14ac:dyDescent="0.3">
      <c r="A638" s="126" t="s">
        <v>186</v>
      </c>
      <c r="B638" s="126">
        <v>41</v>
      </c>
      <c r="C638" s="126">
        <v>25</v>
      </c>
      <c r="D638" s="126" t="str">
        <f t="shared" si="82"/>
        <v>4125</v>
      </c>
      <c r="E638" s="101">
        <v>174</v>
      </c>
      <c r="F638" s="101">
        <v>2241</v>
      </c>
      <c r="G638" s="101">
        <v>42373</v>
      </c>
      <c r="H638" s="101">
        <v>623062.55000000005</v>
      </c>
      <c r="I638" s="101">
        <v>282243.00299999991</v>
      </c>
      <c r="J638" s="101">
        <v>108</v>
      </c>
      <c r="K638" s="101">
        <v>1259</v>
      </c>
      <c r="L638" s="101">
        <v>27510</v>
      </c>
      <c r="M638" s="101">
        <v>234779.94</v>
      </c>
      <c r="N638" s="101">
        <v>125858.49099999999</v>
      </c>
      <c r="O638" s="101">
        <v>261</v>
      </c>
      <c r="P638" s="101">
        <v>3059</v>
      </c>
      <c r="Q638" s="101">
        <v>42878</v>
      </c>
      <c r="R638" s="101">
        <v>476754</v>
      </c>
      <c r="S638" s="101">
        <v>234243</v>
      </c>
      <c r="T638" s="133">
        <v>1.02</v>
      </c>
      <c r="U638" s="101">
        <f t="shared" si="77"/>
        <v>266.22000000000003</v>
      </c>
      <c r="V638" s="101">
        <f t="shared" si="78"/>
        <v>3120.18</v>
      </c>
      <c r="W638" s="101">
        <f t="shared" si="79"/>
        <v>43735.56</v>
      </c>
      <c r="X638" s="101">
        <f t="shared" si="80"/>
        <v>486289.08</v>
      </c>
      <c r="Y638" s="101">
        <f t="shared" si="81"/>
        <v>238927.86000000002</v>
      </c>
      <c r="AG638" s="225"/>
      <c r="AH638" s="101">
        <v>30000</v>
      </c>
      <c r="AI638" s="101">
        <f t="shared" si="75"/>
        <v>24000</v>
      </c>
      <c r="AJ638" s="101">
        <f t="shared" si="76"/>
        <v>36000</v>
      </c>
    </row>
    <row r="639" spans="1:36" hidden="1" x14ac:dyDescent="0.3">
      <c r="A639" s="126" t="s">
        <v>186</v>
      </c>
      <c r="B639" s="126">
        <v>41</v>
      </c>
      <c r="C639" s="126">
        <v>27</v>
      </c>
      <c r="D639" s="126" t="str">
        <f t="shared" si="82"/>
        <v>4127</v>
      </c>
      <c r="E639" s="101">
        <v>12</v>
      </c>
      <c r="F639" s="101">
        <v>470</v>
      </c>
      <c r="G639" s="101">
        <v>3620</v>
      </c>
      <c r="H639" s="101">
        <v>47338.569999999992</v>
      </c>
      <c r="I639" s="101">
        <v>15446.848</v>
      </c>
      <c r="J639" s="101">
        <v>4</v>
      </c>
      <c r="K639" s="101">
        <v>37</v>
      </c>
      <c r="L639" s="101">
        <v>475</v>
      </c>
      <c r="M639" s="101">
        <v>12228.95</v>
      </c>
      <c r="N639" s="101">
        <v>3943.0030000000002</v>
      </c>
      <c r="O639" s="101">
        <v>9</v>
      </c>
      <c r="P639" s="101">
        <v>79</v>
      </c>
      <c r="Q639" s="101">
        <v>2108</v>
      </c>
      <c r="R639" s="101">
        <v>23632</v>
      </c>
      <c r="S639" s="101">
        <v>21579</v>
      </c>
      <c r="T639" s="133">
        <v>1.02</v>
      </c>
      <c r="U639" s="101">
        <f t="shared" si="77"/>
        <v>9.18</v>
      </c>
      <c r="V639" s="101">
        <f t="shared" si="78"/>
        <v>80.58</v>
      </c>
      <c r="W639" s="101">
        <f t="shared" si="79"/>
        <v>2150.16</v>
      </c>
      <c r="X639" s="101">
        <f t="shared" si="80"/>
        <v>24104.639999999999</v>
      </c>
      <c r="Y639" s="101">
        <f t="shared" si="81"/>
        <v>22010.58</v>
      </c>
      <c r="AG639" s="225"/>
      <c r="AH639" s="101">
        <v>30000</v>
      </c>
      <c r="AI639" s="101">
        <f t="shared" si="75"/>
        <v>24000</v>
      </c>
      <c r="AJ639" s="101">
        <f t="shared" si="76"/>
        <v>36000</v>
      </c>
    </row>
    <row r="640" spans="1:36" hidden="1" x14ac:dyDescent="0.3">
      <c r="A640" s="126" t="s">
        <v>186</v>
      </c>
      <c r="B640" s="126">
        <v>41</v>
      </c>
      <c r="C640" s="126">
        <v>26</v>
      </c>
      <c r="D640" s="126" t="str">
        <f t="shared" si="82"/>
        <v>4126</v>
      </c>
      <c r="E640" s="101">
        <v>84</v>
      </c>
      <c r="F640" s="101">
        <v>2419</v>
      </c>
      <c r="G640" s="101">
        <v>68468</v>
      </c>
      <c r="H640" s="101">
        <v>532026.04</v>
      </c>
      <c r="I640" s="101">
        <v>326675.603</v>
      </c>
      <c r="J640" s="101">
        <v>82</v>
      </c>
      <c r="K640" s="101">
        <v>2833</v>
      </c>
      <c r="L640" s="101">
        <v>60218</v>
      </c>
      <c r="M640" s="101">
        <v>567639.78</v>
      </c>
      <c r="N640" s="101">
        <v>344038.64199999999</v>
      </c>
      <c r="O640" s="101">
        <v>28</v>
      </c>
      <c r="P640" s="101">
        <v>747</v>
      </c>
      <c r="Q640" s="101">
        <v>18181</v>
      </c>
      <c r="R640" s="101">
        <v>202036</v>
      </c>
      <c r="S640" s="101">
        <v>105723</v>
      </c>
      <c r="T640" s="133">
        <v>1.02</v>
      </c>
      <c r="U640" s="101">
        <f t="shared" si="77"/>
        <v>28.560000000000002</v>
      </c>
      <c r="V640" s="101">
        <f t="shared" si="78"/>
        <v>761.94</v>
      </c>
      <c r="W640" s="101">
        <f t="shared" si="79"/>
        <v>18544.62</v>
      </c>
      <c r="X640" s="101">
        <f t="shared" si="80"/>
        <v>206076.72</v>
      </c>
      <c r="Y640" s="101">
        <f t="shared" si="81"/>
        <v>107837.46</v>
      </c>
      <c r="AG640" s="225"/>
      <c r="AH640" s="101">
        <v>30000</v>
      </c>
      <c r="AI640" s="101">
        <f t="shared" si="75"/>
        <v>24000</v>
      </c>
      <c r="AJ640" s="101">
        <f t="shared" si="76"/>
        <v>36000</v>
      </c>
    </row>
    <row r="641" spans="1:36" hidden="1" x14ac:dyDescent="0.3">
      <c r="A641" s="126" t="s">
        <v>186</v>
      </c>
      <c r="B641" s="126">
        <v>41</v>
      </c>
      <c r="C641" s="126">
        <v>32</v>
      </c>
      <c r="D641" s="126" t="str">
        <f t="shared" si="82"/>
        <v>4132</v>
      </c>
      <c r="E641" s="101">
        <v>655</v>
      </c>
      <c r="F641" s="101">
        <v>2470</v>
      </c>
      <c r="G641" s="101">
        <v>55135</v>
      </c>
      <c r="H641" s="101">
        <v>645799.35999999987</v>
      </c>
      <c r="I641" s="101">
        <v>280388.20299999998</v>
      </c>
      <c r="J641" s="101">
        <v>294</v>
      </c>
      <c r="K641" s="101">
        <v>1299</v>
      </c>
      <c r="L641" s="101">
        <v>38674</v>
      </c>
      <c r="M641" s="101">
        <v>239706.43</v>
      </c>
      <c r="N641" s="101">
        <v>81005.535999999993</v>
      </c>
      <c r="O641" s="101">
        <v>181</v>
      </c>
      <c r="P641" s="101">
        <v>1036</v>
      </c>
      <c r="Q641" s="101">
        <v>27868</v>
      </c>
      <c r="R641" s="101">
        <v>320971</v>
      </c>
      <c r="S641" s="101">
        <v>157072</v>
      </c>
      <c r="T641" s="133">
        <v>1.02</v>
      </c>
      <c r="U641" s="101">
        <f>O641*$T$5+20</f>
        <v>204.62</v>
      </c>
      <c r="V641" s="101">
        <f>P641*$T$5+86</f>
        <v>1142.72</v>
      </c>
      <c r="W641" s="101">
        <f>Q641*$T$5+18067</f>
        <v>46492.36</v>
      </c>
      <c r="X641" s="101">
        <f>R641*$T$5+83670</f>
        <v>411060.42</v>
      </c>
      <c r="Y641" s="101">
        <f>S641*$T$5+62085</f>
        <v>222298.44</v>
      </c>
      <c r="AG641" s="225"/>
      <c r="AH641" s="101">
        <v>30000</v>
      </c>
      <c r="AI641" s="101">
        <f t="shared" si="75"/>
        <v>24000</v>
      </c>
      <c r="AJ641" s="101">
        <f t="shared" si="76"/>
        <v>36000</v>
      </c>
    </row>
    <row r="642" spans="1:36" hidden="1" x14ac:dyDescent="0.3">
      <c r="A642" s="126" t="s">
        <v>186</v>
      </c>
      <c r="B642" s="126">
        <v>41</v>
      </c>
      <c r="C642" s="126">
        <v>21</v>
      </c>
      <c r="D642" s="126" t="str">
        <f t="shared" si="82"/>
        <v>4121</v>
      </c>
      <c r="E642" s="101">
        <v>1272</v>
      </c>
      <c r="F642" s="101">
        <v>5867.5</v>
      </c>
      <c r="G642" s="101">
        <v>37708</v>
      </c>
      <c r="H642" s="101">
        <v>461747.83500000002</v>
      </c>
      <c r="I642" s="101">
        <v>192636.08100000001</v>
      </c>
      <c r="J642" s="101">
        <v>0</v>
      </c>
      <c r="K642" s="101">
        <v>0</v>
      </c>
      <c r="L642" s="101">
        <v>0</v>
      </c>
      <c r="M642" s="101">
        <v>0</v>
      </c>
      <c r="N642" s="101">
        <v>0</v>
      </c>
      <c r="O642" s="101">
        <v>74</v>
      </c>
      <c r="P642" s="101">
        <v>309</v>
      </c>
      <c r="Q642" s="101">
        <v>7963</v>
      </c>
      <c r="R642" s="101">
        <v>66146</v>
      </c>
      <c r="S642" s="101">
        <v>55325</v>
      </c>
      <c r="T642" s="133">
        <v>1.02</v>
      </c>
      <c r="U642" s="101">
        <v>911</v>
      </c>
      <c r="V642" s="101">
        <v>8594</v>
      </c>
      <c r="W642" s="101">
        <v>64653</v>
      </c>
      <c r="X642" s="101">
        <v>786421</v>
      </c>
      <c r="Y642" s="101">
        <v>365432</v>
      </c>
      <c r="AG642" s="225"/>
      <c r="AH642" s="101">
        <v>30000</v>
      </c>
      <c r="AI642" s="101">
        <f t="shared" si="75"/>
        <v>24000</v>
      </c>
      <c r="AJ642" s="101">
        <f t="shared" si="76"/>
        <v>36000</v>
      </c>
    </row>
    <row r="643" spans="1:36" hidden="1" x14ac:dyDescent="0.3">
      <c r="A643" s="126" t="s">
        <v>186</v>
      </c>
      <c r="B643" s="126">
        <v>41</v>
      </c>
      <c r="C643" s="126">
        <v>30</v>
      </c>
      <c r="D643" s="126" t="str">
        <f t="shared" si="82"/>
        <v>4130</v>
      </c>
      <c r="E643" s="101">
        <v>472.5</v>
      </c>
      <c r="F643" s="101">
        <v>4269.5</v>
      </c>
      <c r="G643" s="101">
        <v>17073.5</v>
      </c>
      <c r="H643" s="101">
        <v>307933.44000000006</v>
      </c>
      <c r="I643" s="101">
        <v>86022.560499999992</v>
      </c>
      <c r="J643" s="101">
        <v>449</v>
      </c>
      <c r="K643" s="101">
        <v>9645</v>
      </c>
      <c r="L643" s="101">
        <v>47610</v>
      </c>
      <c r="M643" s="101">
        <v>1114192.1499999999</v>
      </c>
      <c r="N643" s="101">
        <v>395141.99699999997</v>
      </c>
      <c r="O643" s="101">
        <v>525</v>
      </c>
      <c r="P643" s="101">
        <v>11813</v>
      </c>
      <c r="Q643" s="101">
        <v>55134</v>
      </c>
      <c r="R643" s="101">
        <v>1130602</v>
      </c>
      <c r="S643" s="101">
        <v>379354</v>
      </c>
      <c r="T643" s="133">
        <v>1.02</v>
      </c>
      <c r="U643" s="101">
        <f t="shared" si="77"/>
        <v>535.5</v>
      </c>
      <c r="V643" s="101">
        <f t="shared" si="78"/>
        <v>12049.26</v>
      </c>
      <c r="W643" s="101">
        <f t="shared" si="79"/>
        <v>56236.68</v>
      </c>
      <c r="X643" s="101">
        <f t="shared" si="80"/>
        <v>1153214.04</v>
      </c>
      <c r="Y643" s="101">
        <f t="shared" si="81"/>
        <v>386941.08</v>
      </c>
      <c r="AG643" s="225"/>
      <c r="AH643" s="101">
        <v>30000</v>
      </c>
      <c r="AI643" s="101">
        <f t="shared" si="75"/>
        <v>24000</v>
      </c>
      <c r="AJ643" s="101">
        <f t="shared" si="76"/>
        <v>36000</v>
      </c>
    </row>
    <row r="644" spans="1:36" hidden="1" x14ac:dyDescent="0.3">
      <c r="A644" s="126" t="s">
        <v>186</v>
      </c>
      <c r="B644" s="126">
        <v>41</v>
      </c>
      <c r="C644" s="126">
        <v>71</v>
      </c>
      <c r="D644" s="126" t="str">
        <f t="shared" si="82"/>
        <v>4171</v>
      </c>
      <c r="E644" s="101">
        <v>396</v>
      </c>
      <c r="F644" s="101">
        <v>10739.5</v>
      </c>
      <c r="G644" s="101">
        <v>53601.5</v>
      </c>
      <c r="H644" s="101">
        <v>354163.98500000004</v>
      </c>
      <c r="I644" s="101">
        <v>213054.77350000004</v>
      </c>
      <c r="J644" s="101">
        <v>491</v>
      </c>
      <c r="K644" s="101">
        <v>12325</v>
      </c>
      <c r="L644" s="101">
        <v>34673</v>
      </c>
      <c r="M644" s="101">
        <v>281788.53000000003</v>
      </c>
      <c r="N644" s="101">
        <v>147309.071</v>
      </c>
      <c r="O644" s="101">
        <v>200</v>
      </c>
      <c r="P644" s="101">
        <v>9910</v>
      </c>
      <c r="Q644" s="101">
        <v>32099</v>
      </c>
      <c r="R644" s="101">
        <v>246008</v>
      </c>
      <c r="S644" s="101">
        <v>124445</v>
      </c>
      <c r="T644" s="133">
        <v>0.98</v>
      </c>
      <c r="AG644" s="225"/>
      <c r="AH644" s="101">
        <v>30000</v>
      </c>
      <c r="AI644" s="101">
        <f t="shared" si="75"/>
        <v>24000</v>
      </c>
      <c r="AJ644" s="101">
        <f t="shared" si="76"/>
        <v>36000</v>
      </c>
    </row>
    <row r="645" spans="1:36" hidden="1" x14ac:dyDescent="0.3">
      <c r="A645" s="126" t="s">
        <v>186</v>
      </c>
      <c r="B645" s="126">
        <v>41</v>
      </c>
      <c r="C645" s="126">
        <v>12</v>
      </c>
      <c r="D645" s="126" t="str">
        <f t="shared" si="82"/>
        <v>4112</v>
      </c>
      <c r="J645" s="101">
        <v>2</v>
      </c>
      <c r="K645" s="101">
        <v>2</v>
      </c>
      <c r="L645" s="101">
        <v>2</v>
      </c>
      <c r="M645" s="101">
        <v>37.35</v>
      </c>
      <c r="N645" s="101">
        <v>15.36</v>
      </c>
      <c r="O645" s="101">
        <v>0</v>
      </c>
      <c r="P645" s="101">
        <v>0</v>
      </c>
      <c r="Q645" s="101">
        <v>0</v>
      </c>
      <c r="R645" s="101">
        <v>0</v>
      </c>
      <c r="S645" s="101">
        <v>0</v>
      </c>
      <c r="T645" s="133">
        <v>1.02</v>
      </c>
      <c r="U645" s="101">
        <f t="shared" si="77"/>
        <v>0</v>
      </c>
      <c r="V645" s="101">
        <f t="shared" si="78"/>
        <v>0</v>
      </c>
      <c r="W645" s="101">
        <f t="shared" si="79"/>
        <v>0</v>
      </c>
      <c r="X645" s="101">
        <f t="shared" si="80"/>
        <v>0</v>
      </c>
      <c r="Y645" s="101">
        <f t="shared" si="81"/>
        <v>0</v>
      </c>
      <c r="AG645" s="225"/>
      <c r="AH645" s="101"/>
      <c r="AI645" s="101"/>
      <c r="AJ645" s="101"/>
    </row>
    <row r="646" spans="1:36" hidden="1" x14ac:dyDescent="0.3">
      <c r="A646" s="126" t="s">
        <v>186</v>
      </c>
      <c r="B646" s="126">
        <v>41</v>
      </c>
      <c r="C646" s="126">
        <v>28</v>
      </c>
      <c r="D646" s="126" t="str">
        <f t="shared" si="82"/>
        <v>4128</v>
      </c>
      <c r="J646" s="101">
        <v>67</v>
      </c>
      <c r="K646" s="101">
        <v>162</v>
      </c>
      <c r="L646" s="101">
        <v>2275</v>
      </c>
      <c r="M646" s="101">
        <v>43790.05</v>
      </c>
      <c r="N646" s="101">
        <v>8362.5619999999999</v>
      </c>
      <c r="O646" s="101">
        <v>53</v>
      </c>
      <c r="P646" s="101">
        <v>314</v>
      </c>
      <c r="Q646" s="101">
        <v>4021</v>
      </c>
      <c r="R646" s="101">
        <v>89102</v>
      </c>
      <c r="S646" s="101">
        <v>28144</v>
      </c>
      <c r="T646" s="133">
        <v>1.02</v>
      </c>
      <c r="U646" s="101">
        <v>219</v>
      </c>
      <c r="V646" s="101">
        <v>5895</v>
      </c>
      <c r="W646" s="101">
        <v>57249</v>
      </c>
      <c r="X646" s="144">
        <f t="shared" ref="X646:X709" si="83">R646*T646</f>
        <v>90884.040000000008</v>
      </c>
      <c r="Y646" s="101">
        <v>253268</v>
      </c>
      <c r="AG646" s="225"/>
      <c r="AH646" s="101"/>
      <c r="AI646" s="101"/>
      <c r="AJ646" s="101"/>
    </row>
    <row r="647" spans="1:36" hidden="1" x14ac:dyDescent="0.3">
      <c r="A647" s="126" t="s">
        <v>186</v>
      </c>
      <c r="B647" s="126">
        <v>41</v>
      </c>
      <c r="C647" s="126">
        <v>41</v>
      </c>
      <c r="D647" s="126" t="str">
        <f t="shared" si="82"/>
        <v>4141</v>
      </c>
      <c r="J647" s="101">
        <v>5</v>
      </c>
      <c r="K647" s="101">
        <v>29</v>
      </c>
      <c r="L647" s="101">
        <v>89</v>
      </c>
      <c r="M647" s="101">
        <v>1320.85</v>
      </c>
      <c r="N647" s="101">
        <v>373.34399999999999</v>
      </c>
      <c r="O647" s="101">
        <v>1</v>
      </c>
      <c r="P647" s="101">
        <v>1</v>
      </c>
      <c r="Q647" s="101">
        <v>10</v>
      </c>
      <c r="R647" s="101">
        <v>63</v>
      </c>
      <c r="S647" s="101">
        <v>3</v>
      </c>
      <c r="T647" s="133">
        <v>1.02</v>
      </c>
      <c r="U647" s="101">
        <f t="shared" ref="U647:U710" si="84">O647*T647</f>
        <v>1.02</v>
      </c>
      <c r="V647" s="101">
        <f t="shared" ref="V647:V710" si="85">P647*T647</f>
        <v>1.02</v>
      </c>
      <c r="W647" s="101">
        <f t="shared" ref="W647:W710" si="86">Q647*T647</f>
        <v>10.199999999999999</v>
      </c>
      <c r="X647" s="101">
        <f t="shared" si="83"/>
        <v>64.260000000000005</v>
      </c>
      <c r="Y647" s="101">
        <f t="shared" ref="Y647:Y710" si="87">S647*T647</f>
        <v>3.06</v>
      </c>
      <c r="AG647" s="225"/>
      <c r="AH647" s="101"/>
      <c r="AI647" s="101"/>
      <c r="AJ647" s="101"/>
    </row>
    <row r="648" spans="1:36" x14ac:dyDescent="0.3">
      <c r="A648" s="126" t="s">
        <v>186</v>
      </c>
      <c r="B648" s="126">
        <v>41</v>
      </c>
      <c r="C648" s="126">
        <v>91</v>
      </c>
      <c r="D648" s="126" t="str">
        <f t="shared" si="82"/>
        <v>4191</v>
      </c>
      <c r="J648" s="101">
        <v>6</v>
      </c>
      <c r="K648" s="101">
        <v>8</v>
      </c>
      <c r="L648" s="101">
        <v>63</v>
      </c>
      <c r="M648" s="101">
        <v>723.9</v>
      </c>
      <c r="N648" s="101">
        <v>348.755</v>
      </c>
      <c r="O648" s="101">
        <v>8</v>
      </c>
      <c r="P648" s="101">
        <v>18</v>
      </c>
      <c r="Q648" s="101">
        <v>102</v>
      </c>
      <c r="R648" s="101">
        <v>601</v>
      </c>
      <c r="S648" s="101">
        <v>418</v>
      </c>
      <c r="T648" s="133">
        <v>1.02</v>
      </c>
      <c r="U648" s="101">
        <f t="shared" si="84"/>
        <v>8.16</v>
      </c>
      <c r="V648" s="101">
        <f t="shared" si="85"/>
        <v>18.36</v>
      </c>
      <c r="W648" s="101">
        <f t="shared" si="86"/>
        <v>104.04</v>
      </c>
      <c r="X648" s="101">
        <f t="shared" si="83"/>
        <v>613.02</v>
      </c>
      <c r="Y648" s="101">
        <f t="shared" si="87"/>
        <v>426.36</v>
      </c>
      <c r="AG648" s="225"/>
      <c r="AH648" s="101"/>
      <c r="AI648" s="101"/>
      <c r="AJ648" s="101"/>
    </row>
    <row r="649" spans="1:36" hidden="1" x14ac:dyDescent="0.3">
      <c r="A649" s="126" t="s">
        <v>186</v>
      </c>
      <c r="B649" s="126">
        <v>41</v>
      </c>
      <c r="C649" s="126">
        <v>46</v>
      </c>
      <c r="D649" s="126" t="str">
        <f t="shared" si="82"/>
        <v>4146</v>
      </c>
      <c r="J649" s="101">
        <v>32</v>
      </c>
      <c r="K649" s="101">
        <v>66</v>
      </c>
      <c r="L649" s="101">
        <v>2302</v>
      </c>
      <c r="M649" s="101">
        <v>22645.759999999998</v>
      </c>
      <c r="N649" s="101">
        <v>2491.7489999999998</v>
      </c>
      <c r="O649" s="101">
        <v>12</v>
      </c>
      <c r="P649" s="101">
        <v>14</v>
      </c>
      <c r="Q649" s="101">
        <v>1884</v>
      </c>
      <c r="R649" s="101">
        <v>5775</v>
      </c>
      <c r="S649" s="101">
        <v>894</v>
      </c>
      <c r="T649" s="133">
        <v>1.02</v>
      </c>
      <c r="U649" s="101">
        <f t="shared" si="84"/>
        <v>12.24</v>
      </c>
      <c r="V649" s="101">
        <f t="shared" si="85"/>
        <v>14.280000000000001</v>
      </c>
      <c r="W649" s="101">
        <f t="shared" si="86"/>
        <v>1921.68</v>
      </c>
      <c r="X649" s="101">
        <f t="shared" si="83"/>
        <v>5890.5</v>
      </c>
      <c r="Y649" s="101">
        <f t="shared" si="87"/>
        <v>911.88</v>
      </c>
      <c r="AG649" s="225"/>
      <c r="AH649" s="101"/>
      <c r="AI649" s="101"/>
      <c r="AJ649" s="101"/>
    </row>
    <row r="650" spans="1:36" hidden="1" x14ac:dyDescent="0.3">
      <c r="A650" s="126" t="s">
        <v>186</v>
      </c>
      <c r="B650" s="126">
        <v>41</v>
      </c>
      <c r="C650" s="126">
        <v>66</v>
      </c>
      <c r="D650" s="126" t="str">
        <f t="shared" si="82"/>
        <v>4166</v>
      </c>
      <c r="J650" s="101">
        <v>12</v>
      </c>
      <c r="K650" s="101">
        <v>21</v>
      </c>
      <c r="L650" s="101">
        <v>1299</v>
      </c>
      <c r="M650" s="101">
        <v>34530.730000000003</v>
      </c>
      <c r="N650" s="101">
        <v>15506.404</v>
      </c>
      <c r="O650" s="101">
        <v>55</v>
      </c>
      <c r="P650" s="101">
        <v>114</v>
      </c>
      <c r="Q650" s="101">
        <v>11518</v>
      </c>
      <c r="R650" s="101">
        <v>76319</v>
      </c>
      <c r="S650" s="101">
        <v>63574</v>
      </c>
      <c r="T650" s="133">
        <v>1.02</v>
      </c>
      <c r="U650" s="101">
        <f t="shared" si="84"/>
        <v>56.1</v>
      </c>
      <c r="V650" s="101">
        <f t="shared" si="85"/>
        <v>116.28</v>
      </c>
      <c r="W650" s="101">
        <f t="shared" si="86"/>
        <v>11748.36</v>
      </c>
      <c r="X650" s="101">
        <f t="shared" si="83"/>
        <v>77845.38</v>
      </c>
      <c r="Y650" s="101">
        <f t="shared" si="87"/>
        <v>64845.48</v>
      </c>
      <c r="AG650" s="225"/>
      <c r="AH650" s="101"/>
      <c r="AI650" s="101"/>
      <c r="AJ650" s="101"/>
    </row>
    <row r="651" spans="1:36" hidden="1" x14ac:dyDescent="0.3">
      <c r="A651" s="126" t="s">
        <v>186</v>
      </c>
      <c r="B651" s="126">
        <v>41</v>
      </c>
      <c r="C651" s="126">
        <v>1</v>
      </c>
      <c r="D651" s="126" t="str">
        <f t="shared" si="82"/>
        <v>411</v>
      </c>
      <c r="J651" s="101">
        <v>103</v>
      </c>
      <c r="K651" s="101">
        <v>106</v>
      </c>
      <c r="L651" s="101">
        <v>39254</v>
      </c>
      <c r="N651" s="101">
        <v>219522</v>
      </c>
      <c r="O651" s="101">
        <v>139</v>
      </c>
      <c r="P651" s="101">
        <v>139</v>
      </c>
      <c r="Q651" s="101">
        <v>46233</v>
      </c>
      <c r="S651" s="101">
        <v>219568</v>
      </c>
      <c r="T651" s="133">
        <v>1.02</v>
      </c>
      <c r="U651" s="101">
        <f t="shared" si="84"/>
        <v>141.78</v>
      </c>
      <c r="V651" s="101">
        <f t="shared" si="85"/>
        <v>141.78</v>
      </c>
      <c r="W651" s="101">
        <f t="shared" si="86"/>
        <v>47157.66</v>
      </c>
      <c r="X651" s="101">
        <f t="shared" si="83"/>
        <v>0</v>
      </c>
      <c r="Y651" s="101">
        <f t="shared" si="87"/>
        <v>223959.36000000002</v>
      </c>
      <c r="AG651" s="225"/>
      <c r="AH651" s="101"/>
      <c r="AI651" s="101"/>
      <c r="AJ651" s="101"/>
    </row>
    <row r="652" spans="1:36" hidden="1" x14ac:dyDescent="0.3">
      <c r="A652" s="126" t="s">
        <v>186</v>
      </c>
      <c r="B652" s="126">
        <v>41</v>
      </c>
      <c r="C652" s="126">
        <v>37</v>
      </c>
      <c r="D652" s="126" t="str">
        <f t="shared" si="82"/>
        <v>4137</v>
      </c>
      <c r="E652" s="101">
        <v>10.5</v>
      </c>
      <c r="F652" s="101">
        <v>20.25</v>
      </c>
      <c r="G652" s="101">
        <v>531.25</v>
      </c>
      <c r="H652" s="101">
        <v>1989.5875000000001</v>
      </c>
      <c r="I652" s="101">
        <v>1092.4935</v>
      </c>
      <c r="J652" s="101">
        <v>7</v>
      </c>
      <c r="K652" s="101">
        <v>7</v>
      </c>
      <c r="L652" s="101">
        <v>7302</v>
      </c>
      <c r="M652" s="101">
        <v>6420.8</v>
      </c>
      <c r="N652" s="101">
        <v>3231.9380000000001</v>
      </c>
      <c r="O652" s="101">
        <v>0</v>
      </c>
      <c r="P652" s="101">
        <v>0</v>
      </c>
      <c r="Q652" s="101">
        <v>0</v>
      </c>
      <c r="R652" s="101">
        <v>0</v>
      </c>
      <c r="S652" s="101">
        <v>0</v>
      </c>
      <c r="T652" s="133">
        <v>1.02</v>
      </c>
      <c r="U652" s="101">
        <f t="shared" si="84"/>
        <v>0</v>
      </c>
      <c r="V652" s="101">
        <f t="shared" si="85"/>
        <v>0</v>
      </c>
      <c r="W652" s="101">
        <f t="shared" si="86"/>
        <v>0</v>
      </c>
      <c r="X652" s="101">
        <f t="shared" si="83"/>
        <v>0</v>
      </c>
      <c r="Y652" s="101">
        <f t="shared" si="87"/>
        <v>0</v>
      </c>
      <c r="AG652" s="225"/>
      <c r="AH652" s="101">
        <v>30000</v>
      </c>
      <c r="AI652" s="101">
        <f t="shared" si="75"/>
        <v>24000</v>
      </c>
      <c r="AJ652" s="101">
        <f t="shared" si="76"/>
        <v>36000</v>
      </c>
    </row>
    <row r="653" spans="1:36" hidden="1" x14ac:dyDescent="0.3">
      <c r="A653" s="126" t="s">
        <v>186</v>
      </c>
      <c r="B653" s="126">
        <v>42</v>
      </c>
      <c r="C653" s="126">
        <v>22</v>
      </c>
      <c r="D653" s="126" t="str">
        <f t="shared" si="82"/>
        <v>4222</v>
      </c>
      <c r="E653" s="101">
        <v>985</v>
      </c>
      <c r="F653" s="101">
        <v>4752</v>
      </c>
      <c r="G653" s="101">
        <v>57335</v>
      </c>
      <c r="H653" s="101">
        <v>347396.74999999994</v>
      </c>
      <c r="I653" s="101">
        <v>175635.899</v>
      </c>
      <c r="J653" s="101">
        <v>839</v>
      </c>
      <c r="K653" s="101">
        <v>4980</v>
      </c>
      <c r="L653" s="101">
        <v>45466</v>
      </c>
      <c r="M653" s="101">
        <v>332488.46000000002</v>
      </c>
      <c r="N653" s="101">
        <v>200041.18</v>
      </c>
      <c r="O653" s="101">
        <v>871</v>
      </c>
      <c r="P653" s="101">
        <v>4171</v>
      </c>
      <c r="Q653" s="101">
        <v>53410</v>
      </c>
      <c r="R653" s="101">
        <v>230963.01</v>
      </c>
      <c r="S653" s="101">
        <v>184900.31200000001</v>
      </c>
      <c r="T653" s="133">
        <v>1.02</v>
      </c>
      <c r="U653" s="101">
        <f t="shared" si="84"/>
        <v>888.42</v>
      </c>
      <c r="V653" s="101">
        <f t="shared" si="85"/>
        <v>4254.42</v>
      </c>
      <c r="W653" s="101">
        <f t="shared" si="86"/>
        <v>54478.200000000004</v>
      </c>
      <c r="X653" s="101">
        <f t="shared" si="83"/>
        <v>235582.27020000003</v>
      </c>
      <c r="Y653" s="101">
        <f t="shared" si="87"/>
        <v>188598.31824000002</v>
      </c>
      <c r="AG653" s="225">
        <f>SUM(V653:V667)</f>
        <v>36965.08</v>
      </c>
      <c r="AH653" s="101">
        <v>30000</v>
      </c>
      <c r="AI653" s="101">
        <f t="shared" ref="AI653:AI761" si="88">(AH653/100)*80</f>
        <v>24000</v>
      </c>
      <c r="AJ653" s="101">
        <f t="shared" ref="AJ653:AJ761" si="89">(AH653/100)*120</f>
        <v>36000</v>
      </c>
    </row>
    <row r="654" spans="1:36" hidden="1" x14ac:dyDescent="0.3">
      <c r="A654" s="126" t="s">
        <v>186</v>
      </c>
      <c r="B654" s="126">
        <v>42</v>
      </c>
      <c r="C654" s="126">
        <v>25</v>
      </c>
      <c r="D654" s="126" t="str">
        <f t="shared" si="82"/>
        <v>4225</v>
      </c>
      <c r="E654" s="101">
        <v>162</v>
      </c>
      <c r="F654" s="101">
        <v>1011</v>
      </c>
      <c r="G654" s="101">
        <v>35222</v>
      </c>
      <c r="H654" s="101">
        <v>376734.2</v>
      </c>
      <c r="I654" s="101">
        <v>229407.03599999993</v>
      </c>
      <c r="J654" s="101">
        <v>140</v>
      </c>
      <c r="K654" s="101">
        <v>2204</v>
      </c>
      <c r="L654" s="101">
        <v>45934</v>
      </c>
      <c r="M654" s="101">
        <v>385135.69</v>
      </c>
      <c r="N654" s="101">
        <v>174769.704</v>
      </c>
      <c r="O654" s="101">
        <v>286</v>
      </c>
      <c r="P654" s="101">
        <v>2802</v>
      </c>
      <c r="Q654" s="101">
        <v>58235</v>
      </c>
      <c r="R654" s="101">
        <v>694951.62</v>
      </c>
      <c r="S654" s="101">
        <v>324731.70299999998</v>
      </c>
      <c r="T654" s="133">
        <v>1.02</v>
      </c>
      <c r="U654" s="101">
        <f t="shared" si="84"/>
        <v>291.72000000000003</v>
      </c>
      <c r="V654" s="101">
        <f t="shared" si="85"/>
        <v>2858.04</v>
      </c>
      <c r="W654" s="101">
        <f t="shared" si="86"/>
        <v>59399.700000000004</v>
      </c>
      <c r="X654" s="101">
        <f t="shared" si="83"/>
        <v>708850.65240000002</v>
      </c>
      <c r="Y654" s="101">
        <f t="shared" si="87"/>
        <v>331226.33705999999</v>
      </c>
      <c r="AG654" s="225"/>
      <c r="AH654" s="101">
        <v>30000</v>
      </c>
      <c r="AI654" s="101">
        <f t="shared" si="88"/>
        <v>24000</v>
      </c>
      <c r="AJ654" s="101">
        <f t="shared" si="89"/>
        <v>36000</v>
      </c>
    </row>
    <row r="655" spans="1:36" hidden="1" x14ac:dyDescent="0.3">
      <c r="A655" s="126" t="s">
        <v>186</v>
      </c>
      <c r="B655" s="126">
        <v>42</v>
      </c>
      <c r="C655" s="126">
        <v>27</v>
      </c>
      <c r="D655" s="126" t="str">
        <f t="shared" si="82"/>
        <v>4227</v>
      </c>
      <c r="E655" s="101">
        <v>6</v>
      </c>
      <c r="F655" s="101">
        <v>436</v>
      </c>
      <c r="G655" s="101">
        <v>3922</v>
      </c>
      <c r="H655" s="101">
        <v>60727.710000000006</v>
      </c>
      <c r="I655" s="101">
        <v>16249.924999999999</v>
      </c>
      <c r="J655" s="101">
        <v>8</v>
      </c>
      <c r="K655" s="101">
        <v>55</v>
      </c>
      <c r="L655" s="101">
        <v>1077</v>
      </c>
      <c r="M655" s="101">
        <v>18222.32</v>
      </c>
      <c r="N655" s="101">
        <v>5001.3999999999996</v>
      </c>
      <c r="O655" s="101">
        <v>8</v>
      </c>
      <c r="P655" s="101">
        <v>16</v>
      </c>
      <c r="Q655" s="101">
        <v>559</v>
      </c>
      <c r="R655" s="101">
        <v>7842.6</v>
      </c>
      <c r="S655" s="101">
        <v>6096.9889999999996</v>
      </c>
      <c r="T655" s="133">
        <v>1.02</v>
      </c>
      <c r="U655" s="101">
        <f t="shared" si="84"/>
        <v>8.16</v>
      </c>
      <c r="V655" s="101">
        <f t="shared" si="85"/>
        <v>16.32</v>
      </c>
      <c r="W655" s="101">
        <f t="shared" si="86"/>
        <v>570.18000000000006</v>
      </c>
      <c r="X655" s="101">
        <f t="shared" si="83"/>
        <v>7999.4520000000002</v>
      </c>
      <c r="Y655" s="101">
        <f t="shared" si="87"/>
        <v>6218.9287799999993</v>
      </c>
      <c r="AG655" s="225"/>
      <c r="AH655" s="101">
        <v>30000</v>
      </c>
      <c r="AI655" s="101">
        <f t="shared" si="88"/>
        <v>24000</v>
      </c>
      <c r="AJ655" s="101">
        <f t="shared" si="89"/>
        <v>36000</v>
      </c>
    </row>
    <row r="656" spans="1:36" hidden="1" x14ac:dyDescent="0.3">
      <c r="A656" s="126" t="s">
        <v>186</v>
      </c>
      <c r="B656" s="126">
        <v>42</v>
      </c>
      <c r="C656" s="126">
        <v>26</v>
      </c>
      <c r="D656" s="126" t="str">
        <f t="shared" si="82"/>
        <v>4226</v>
      </c>
      <c r="E656" s="101">
        <v>91</v>
      </c>
      <c r="F656" s="101">
        <v>2727</v>
      </c>
      <c r="G656" s="101">
        <v>52258</v>
      </c>
      <c r="H656" s="101">
        <v>816605.03</v>
      </c>
      <c r="I656" s="101">
        <v>284301.62199999997</v>
      </c>
      <c r="J656" s="101">
        <v>101</v>
      </c>
      <c r="K656" s="101">
        <v>2696</v>
      </c>
      <c r="L656" s="101">
        <v>53270</v>
      </c>
      <c r="M656" s="101">
        <v>563887.68000000005</v>
      </c>
      <c r="N656" s="101">
        <v>334808.913</v>
      </c>
      <c r="O656" s="101">
        <v>15</v>
      </c>
      <c r="P656" s="101">
        <v>246</v>
      </c>
      <c r="Q656" s="101">
        <v>20216</v>
      </c>
      <c r="R656" s="101">
        <v>106429.55</v>
      </c>
      <c r="S656" s="101">
        <v>81199.452000000005</v>
      </c>
      <c r="T656" s="133">
        <v>1.02</v>
      </c>
      <c r="U656" s="101">
        <f t="shared" si="84"/>
        <v>15.3</v>
      </c>
      <c r="V656" s="101">
        <f t="shared" si="85"/>
        <v>250.92000000000002</v>
      </c>
      <c r="W656" s="101">
        <f t="shared" si="86"/>
        <v>20620.32</v>
      </c>
      <c r="X656" s="101">
        <f t="shared" si="83"/>
        <v>108558.141</v>
      </c>
      <c r="Y656" s="101">
        <f t="shared" si="87"/>
        <v>82823.441040000005</v>
      </c>
      <c r="AG656" s="225"/>
      <c r="AH656" s="101">
        <v>30000</v>
      </c>
      <c r="AI656" s="101">
        <f t="shared" si="88"/>
        <v>24000</v>
      </c>
      <c r="AJ656" s="101">
        <f t="shared" si="89"/>
        <v>36000</v>
      </c>
    </row>
    <row r="657" spans="1:36" hidden="1" x14ac:dyDescent="0.3">
      <c r="A657" s="126" t="s">
        <v>186</v>
      </c>
      <c r="B657" s="126">
        <v>42</v>
      </c>
      <c r="C657" s="126">
        <v>32</v>
      </c>
      <c r="D657" s="126" t="str">
        <f t="shared" si="82"/>
        <v>4232</v>
      </c>
      <c r="E657" s="101">
        <v>368</v>
      </c>
      <c r="F657" s="101">
        <v>1542</v>
      </c>
      <c r="G657" s="101">
        <v>93904</v>
      </c>
      <c r="H657" s="101">
        <v>1025352.27</v>
      </c>
      <c r="I657" s="101">
        <v>442419.755</v>
      </c>
      <c r="J657" s="101">
        <v>339</v>
      </c>
      <c r="K657" s="101">
        <v>1241</v>
      </c>
      <c r="L657" s="101">
        <v>37659</v>
      </c>
      <c r="M657" s="101">
        <v>178241.84</v>
      </c>
      <c r="N657" s="101">
        <v>125540.303</v>
      </c>
      <c r="O657" s="101">
        <v>207</v>
      </c>
      <c r="P657" s="101">
        <v>1630</v>
      </c>
      <c r="Q657" s="101">
        <v>42437</v>
      </c>
      <c r="R657" s="101">
        <v>230360.98</v>
      </c>
      <c r="S657" s="101">
        <v>156575.133</v>
      </c>
      <c r="T657" s="133">
        <v>1.02</v>
      </c>
      <c r="U657" s="101">
        <f>O657*$T$5+4</f>
        <v>215.14000000000001</v>
      </c>
      <c r="V657" s="101">
        <f>P657*$T$5+15</f>
        <v>1677.6000000000001</v>
      </c>
      <c r="W657" s="101">
        <f>Q657*$T$5+1643</f>
        <v>44928.74</v>
      </c>
      <c r="X657" s="101">
        <f>R657*$T$5+8117</f>
        <v>243085.19960000002</v>
      </c>
      <c r="Y657" s="101">
        <f>S657*$T$5+8466</f>
        <v>168172.63566</v>
      </c>
      <c r="AG657" s="225"/>
      <c r="AH657" s="101">
        <v>30000</v>
      </c>
      <c r="AI657" s="101">
        <f t="shared" si="88"/>
        <v>24000</v>
      </c>
      <c r="AJ657" s="101">
        <f t="shared" si="89"/>
        <v>36000</v>
      </c>
    </row>
    <row r="658" spans="1:36" hidden="1" x14ac:dyDescent="0.3">
      <c r="A658" s="126" t="s">
        <v>186</v>
      </c>
      <c r="B658" s="126">
        <v>42</v>
      </c>
      <c r="C658" s="126">
        <v>21</v>
      </c>
      <c r="D658" s="126" t="str">
        <f t="shared" si="82"/>
        <v>4221</v>
      </c>
      <c r="E658" s="101">
        <v>749.5</v>
      </c>
      <c r="F658" s="101">
        <v>7907.5</v>
      </c>
      <c r="G658" s="101">
        <v>41232</v>
      </c>
      <c r="H658" s="101">
        <v>628038.91</v>
      </c>
      <c r="I658" s="101">
        <v>187098.67449999999</v>
      </c>
      <c r="J658" s="101">
        <v>0</v>
      </c>
      <c r="K658" s="101">
        <v>0</v>
      </c>
      <c r="L658" s="101">
        <v>0</v>
      </c>
      <c r="M658" s="101">
        <v>0</v>
      </c>
      <c r="N658" s="101">
        <v>0</v>
      </c>
      <c r="O658" s="101">
        <v>111</v>
      </c>
      <c r="P658" s="101">
        <v>595</v>
      </c>
      <c r="Q658" s="101">
        <v>7247</v>
      </c>
      <c r="R658" s="101">
        <v>85927.03</v>
      </c>
      <c r="S658" s="101">
        <v>52126.659</v>
      </c>
      <c r="T658" s="133">
        <v>1.02</v>
      </c>
      <c r="U658" s="101">
        <v>1649</v>
      </c>
      <c r="V658" s="101">
        <v>12712</v>
      </c>
      <c r="W658" s="101">
        <v>74960</v>
      </c>
      <c r="X658" s="101">
        <v>1136511</v>
      </c>
      <c r="Y658" s="101">
        <v>380608</v>
      </c>
      <c r="AG658" s="225"/>
      <c r="AH658" s="101">
        <v>30000</v>
      </c>
      <c r="AI658" s="101">
        <f t="shared" si="88"/>
        <v>24000</v>
      </c>
      <c r="AJ658" s="101">
        <f t="shared" si="89"/>
        <v>36000</v>
      </c>
    </row>
    <row r="659" spans="1:36" hidden="1" x14ac:dyDescent="0.3">
      <c r="A659" s="126" t="s">
        <v>186</v>
      </c>
      <c r="B659" s="126">
        <v>42</v>
      </c>
      <c r="C659" s="126">
        <v>30</v>
      </c>
      <c r="D659" s="126" t="str">
        <f t="shared" si="82"/>
        <v>4230</v>
      </c>
      <c r="E659" s="101">
        <v>266</v>
      </c>
      <c r="F659" s="101">
        <v>4116</v>
      </c>
      <c r="G659" s="101">
        <v>17771</v>
      </c>
      <c r="H659" s="101">
        <v>424688.97499999998</v>
      </c>
      <c r="I659" s="101">
        <v>127026.867</v>
      </c>
      <c r="J659" s="101">
        <v>761</v>
      </c>
      <c r="K659" s="101">
        <v>9851</v>
      </c>
      <c r="L659" s="101">
        <v>39197</v>
      </c>
      <c r="M659" s="101">
        <v>1308748.56</v>
      </c>
      <c r="N659" s="101">
        <v>462393.33499999996</v>
      </c>
      <c r="O659" s="101">
        <v>430</v>
      </c>
      <c r="P659" s="101">
        <v>7528</v>
      </c>
      <c r="Q659" s="101">
        <v>35418</v>
      </c>
      <c r="R659" s="101">
        <v>980114.63</v>
      </c>
      <c r="S659" s="101">
        <v>357741.413</v>
      </c>
      <c r="T659" s="133">
        <v>1.02</v>
      </c>
      <c r="U659" s="101">
        <f t="shared" si="84"/>
        <v>438.6</v>
      </c>
      <c r="V659" s="101">
        <f t="shared" si="85"/>
        <v>7678.56</v>
      </c>
      <c r="W659" s="101">
        <f t="shared" si="86"/>
        <v>36126.36</v>
      </c>
      <c r="X659" s="101">
        <f t="shared" si="83"/>
        <v>999716.92260000005</v>
      </c>
      <c r="Y659" s="101">
        <f t="shared" si="87"/>
        <v>364896.24125999998</v>
      </c>
      <c r="AG659" s="225"/>
      <c r="AH659" s="101">
        <v>30000</v>
      </c>
      <c r="AI659" s="101">
        <f t="shared" si="88"/>
        <v>24000</v>
      </c>
      <c r="AJ659" s="101">
        <f t="shared" si="89"/>
        <v>36000</v>
      </c>
    </row>
    <row r="660" spans="1:36" hidden="1" x14ac:dyDescent="0.3">
      <c r="A660" s="126" t="s">
        <v>186</v>
      </c>
      <c r="B660" s="126">
        <v>42</v>
      </c>
      <c r="C660" s="126">
        <v>28</v>
      </c>
      <c r="D660" s="126" t="str">
        <f t="shared" si="82"/>
        <v>4228</v>
      </c>
      <c r="J660" s="101">
        <v>88</v>
      </c>
      <c r="K660" s="101">
        <v>234</v>
      </c>
      <c r="L660" s="101">
        <v>1943</v>
      </c>
      <c r="M660" s="101">
        <v>36012.03</v>
      </c>
      <c r="N660" s="101">
        <v>10714.646000000001</v>
      </c>
      <c r="O660" s="101">
        <v>156</v>
      </c>
      <c r="P660" s="101">
        <v>448</v>
      </c>
      <c r="Q660" s="101">
        <v>13239</v>
      </c>
      <c r="R660" s="101">
        <v>565038.93999999994</v>
      </c>
      <c r="S660" s="101">
        <v>190486.21599999999</v>
      </c>
      <c r="T660" s="133">
        <v>1.02</v>
      </c>
      <c r="U660" s="101">
        <v>495</v>
      </c>
      <c r="V660" s="101">
        <v>7404</v>
      </c>
      <c r="W660" s="101">
        <v>103990</v>
      </c>
      <c r="X660" s="144">
        <f t="shared" si="83"/>
        <v>576339.71879999992</v>
      </c>
      <c r="Y660" s="101">
        <v>859847</v>
      </c>
      <c r="AG660" s="225"/>
      <c r="AH660" s="101"/>
      <c r="AI660" s="101"/>
      <c r="AJ660" s="101"/>
    </row>
    <row r="661" spans="1:36" hidden="1" x14ac:dyDescent="0.3">
      <c r="A661" s="126" t="s">
        <v>186</v>
      </c>
      <c r="B661" s="126">
        <v>42</v>
      </c>
      <c r="C661" s="126">
        <v>41</v>
      </c>
      <c r="D661" s="126" t="str">
        <f t="shared" si="82"/>
        <v>4241</v>
      </c>
      <c r="J661" s="101">
        <v>10</v>
      </c>
      <c r="K661" s="101">
        <v>32</v>
      </c>
      <c r="L661" s="101">
        <v>521</v>
      </c>
      <c r="M661" s="101">
        <v>4639.82</v>
      </c>
      <c r="N661" s="101">
        <v>1025.0820000000001</v>
      </c>
      <c r="O661" s="101">
        <v>1</v>
      </c>
      <c r="P661" s="101">
        <v>3</v>
      </c>
      <c r="Q661" s="101">
        <v>19</v>
      </c>
      <c r="R661" s="101">
        <v>389.32</v>
      </c>
      <c r="S661" s="101">
        <v>47.287999999999997</v>
      </c>
      <c r="T661" s="133">
        <v>1.02</v>
      </c>
      <c r="U661" s="101">
        <f t="shared" si="84"/>
        <v>1.02</v>
      </c>
      <c r="V661" s="101">
        <f t="shared" si="85"/>
        <v>3.06</v>
      </c>
      <c r="W661" s="101">
        <f t="shared" si="86"/>
        <v>19.38</v>
      </c>
      <c r="X661" s="101">
        <f t="shared" si="83"/>
        <v>397.10640000000001</v>
      </c>
      <c r="Y661" s="101">
        <f t="shared" si="87"/>
        <v>48.233759999999997</v>
      </c>
      <c r="AG661" s="225"/>
      <c r="AH661" s="101"/>
      <c r="AI661" s="101"/>
      <c r="AJ661" s="101"/>
    </row>
    <row r="662" spans="1:36" hidden="1" x14ac:dyDescent="0.3">
      <c r="A662" s="126" t="s">
        <v>186</v>
      </c>
      <c r="B662" s="126">
        <v>42</v>
      </c>
      <c r="C662" s="126">
        <v>66</v>
      </c>
      <c r="D662" s="126" t="str">
        <f t="shared" si="82"/>
        <v>4266</v>
      </c>
      <c r="J662" s="101">
        <v>15</v>
      </c>
      <c r="K662" s="101">
        <v>20</v>
      </c>
      <c r="L662" s="101">
        <v>1788</v>
      </c>
      <c r="M662" s="101">
        <v>33065.1</v>
      </c>
      <c r="N662" s="101">
        <v>10049.481</v>
      </c>
      <c r="O662" s="101">
        <v>22</v>
      </c>
      <c r="P662" s="101">
        <v>61</v>
      </c>
      <c r="Q662" s="101">
        <v>1759</v>
      </c>
      <c r="R662" s="101">
        <v>18584.740000000002</v>
      </c>
      <c r="S662" s="101">
        <v>9222.7790000000005</v>
      </c>
      <c r="T662" s="133">
        <v>1.02</v>
      </c>
      <c r="U662" s="101">
        <f t="shared" si="84"/>
        <v>22.44</v>
      </c>
      <c r="V662" s="101">
        <f t="shared" si="85"/>
        <v>62.22</v>
      </c>
      <c r="W662" s="101">
        <f t="shared" si="86"/>
        <v>1794.18</v>
      </c>
      <c r="X662" s="101">
        <f t="shared" si="83"/>
        <v>18956.434800000003</v>
      </c>
      <c r="Y662" s="101">
        <f t="shared" si="87"/>
        <v>9407.2345800000003</v>
      </c>
      <c r="AG662" s="225"/>
      <c r="AH662" s="101"/>
      <c r="AI662" s="101"/>
      <c r="AJ662" s="101"/>
    </row>
    <row r="663" spans="1:36" x14ac:dyDescent="0.3">
      <c r="A663" s="126" t="s">
        <v>186</v>
      </c>
      <c r="B663" s="126">
        <v>42</v>
      </c>
      <c r="C663" s="126">
        <v>91</v>
      </c>
      <c r="D663" s="126" t="str">
        <f t="shared" si="82"/>
        <v>4291</v>
      </c>
      <c r="J663" s="101">
        <v>7</v>
      </c>
      <c r="K663" s="101">
        <v>39</v>
      </c>
      <c r="L663" s="101">
        <v>79</v>
      </c>
      <c r="M663" s="101">
        <v>2210.84</v>
      </c>
      <c r="N663" s="101">
        <v>944.221</v>
      </c>
      <c r="O663" s="101">
        <v>0</v>
      </c>
      <c r="P663" s="101">
        <v>0</v>
      </c>
      <c r="Q663" s="101">
        <v>0</v>
      </c>
      <c r="R663" s="101">
        <v>0</v>
      </c>
      <c r="S663" s="101">
        <v>0</v>
      </c>
      <c r="T663" s="133">
        <v>1.02</v>
      </c>
      <c r="U663" s="101">
        <f t="shared" si="84"/>
        <v>0</v>
      </c>
      <c r="V663" s="101">
        <f t="shared" si="85"/>
        <v>0</v>
      </c>
      <c r="W663" s="101">
        <f t="shared" si="86"/>
        <v>0</v>
      </c>
      <c r="X663" s="101">
        <f t="shared" si="83"/>
        <v>0</v>
      </c>
      <c r="Y663" s="101">
        <f t="shared" si="87"/>
        <v>0</v>
      </c>
      <c r="AG663" s="225"/>
      <c r="AH663" s="101"/>
      <c r="AI663" s="101"/>
      <c r="AJ663" s="101"/>
    </row>
    <row r="664" spans="1:36" hidden="1" x14ac:dyDescent="0.3">
      <c r="A664" s="126" t="s">
        <v>186</v>
      </c>
      <c r="B664" s="126">
        <v>42</v>
      </c>
      <c r="C664" s="126">
        <v>46</v>
      </c>
      <c r="D664" s="126" t="str">
        <f t="shared" si="82"/>
        <v>4246</v>
      </c>
      <c r="J664" s="101">
        <v>19</v>
      </c>
      <c r="K664" s="101">
        <v>26</v>
      </c>
      <c r="L664" s="101">
        <v>167</v>
      </c>
      <c r="M664" s="101">
        <v>4374.12</v>
      </c>
      <c r="N664" s="101">
        <v>339.72399999999999</v>
      </c>
      <c r="O664" s="101">
        <v>5</v>
      </c>
      <c r="P664" s="101">
        <v>5</v>
      </c>
      <c r="Q664" s="101">
        <v>594</v>
      </c>
      <c r="R664" s="101">
        <v>12148</v>
      </c>
      <c r="S664" s="101">
        <v>706.00099999999998</v>
      </c>
      <c r="T664" s="133">
        <v>1.02</v>
      </c>
      <c r="U664" s="101">
        <f t="shared" si="84"/>
        <v>5.0999999999999996</v>
      </c>
      <c r="V664" s="101">
        <f t="shared" si="85"/>
        <v>5.0999999999999996</v>
      </c>
      <c r="W664" s="101">
        <f t="shared" si="86"/>
        <v>605.88</v>
      </c>
      <c r="X664" s="101">
        <f t="shared" si="83"/>
        <v>12390.960000000001</v>
      </c>
      <c r="Y664" s="101">
        <f t="shared" si="87"/>
        <v>720.12102000000004</v>
      </c>
      <c r="AG664" s="225"/>
      <c r="AH664" s="101"/>
      <c r="AI664" s="101"/>
      <c r="AJ664" s="101"/>
    </row>
    <row r="665" spans="1:36" hidden="1" x14ac:dyDescent="0.3">
      <c r="A665" s="126" t="s">
        <v>186</v>
      </c>
      <c r="B665" s="126">
        <v>42</v>
      </c>
      <c r="C665" s="126">
        <v>71</v>
      </c>
      <c r="D665" s="126" t="str">
        <f t="shared" si="82"/>
        <v>4271</v>
      </c>
      <c r="E665" s="101">
        <v>551.5</v>
      </c>
      <c r="F665" s="101">
        <v>6013</v>
      </c>
      <c r="G665" s="101">
        <v>24283</v>
      </c>
      <c r="H665" s="101">
        <v>150537</v>
      </c>
      <c r="I665" s="101">
        <v>75422.188500000004</v>
      </c>
      <c r="J665" s="101">
        <v>530</v>
      </c>
      <c r="K665" s="101">
        <v>8503</v>
      </c>
      <c r="L665" s="101">
        <v>30133</v>
      </c>
      <c r="M665" s="101">
        <v>239434.7</v>
      </c>
      <c r="N665" s="101">
        <v>133336.75</v>
      </c>
      <c r="O665" s="101">
        <v>189</v>
      </c>
      <c r="P665" s="101">
        <v>9119</v>
      </c>
      <c r="Q665" s="101">
        <v>31784</v>
      </c>
      <c r="R665" s="101">
        <v>225414.25</v>
      </c>
      <c r="S665" s="101">
        <v>121380.48299999999</v>
      </c>
      <c r="T665" s="133">
        <v>0.98</v>
      </c>
      <c r="AG665" s="225"/>
      <c r="AH665" s="101">
        <v>30000</v>
      </c>
      <c r="AI665" s="101">
        <f t="shared" si="88"/>
        <v>24000</v>
      </c>
      <c r="AJ665" s="101">
        <f t="shared" si="89"/>
        <v>36000</v>
      </c>
    </row>
    <row r="666" spans="1:36" hidden="1" x14ac:dyDescent="0.3">
      <c r="A666" s="126" t="s">
        <v>186</v>
      </c>
      <c r="B666" s="126">
        <v>42</v>
      </c>
      <c r="C666" s="126">
        <v>1</v>
      </c>
      <c r="D666" s="126" t="str">
        <f t="shared" si="82"/>
        <v>421</v>
      </c>
      <c r="J666" s="101">
        <v>206</v>
      </c>
      <c r="K666" s="101">
        <v>206</v>
      </c>
      <c r="L666" s="101">
        <v>71591</v>
      </c>
      <c r="M666" s="101">
        <v>0</v>
      </c>
      <c r="N666" s="101">
        <v>282019</v>
      </c>
      <c r="O666" s="101">
        <v>40</v>
      </c>
      <c r="P666" s="101">
        <v>40</v>
      </c>
      <c r="Q666" s="101">
        <v>8240</v>
      </c>
      <c r="S666" s="101">
        <v>102967</v>
      </c>
      <c r="T666" s="133">
        <v>1.02</v>
      </c>
      <c r="U666" s="101">
        <f t="shared" si="84"/>
        <v>40.799999999999997</v>
      </c>
      <c r="V666" s="101">
        <f t="shared" si="85"/>
        <v>40.799999999999997</v>
      </c>
      <c r="W666" s="101">
        <f t="shared" si="86"/>
        <v>8404.7999999999993</v>
      </c>
      <c r="X666" s="101">
        <f t="shared" si="83"/>
        <v>0</v>
      </c>
      <c r="Y666" s="101">
        <f t="shared" si="87"/>
        <v>105026.34</v>
      </c>
      <c r="AG666" s="225"/>
      <c r="AH666" s="101"/>
      <c r="AI666" s="101"/>
      <c r="AJ666" s="101"/>
    </row>
    <row r="667" spans="1:36" hidden="1" x14ac:dyDescent="0.3">
      <c r="A667" s="126" t="s">
        <v>186</v>
      </c>
      <c r="B667" s="126">
        <v>42</v>
      </c>
      <c r="C667" s="126">
        <v>37</v>
      </c>
      <c r="D667" s="126" t="str">
        <f t="shared" si="82"/>
        <v>4237</v>
      </c>
      <c r="E667" s="101">
        <v>6</v>
      </c>
      <c r="F667" s="101">
        <v>19</v>
      </c>
      <c r="G667" s="101">
        <v>322.5</v>
      </c>
      <c r="H667" s="101">
        <v>1508.8425</v>
      </c>
      <c r="I667" s="101">
        <v>514.52299999999991</v>
      </c>
      <c r="J667" s="101">
        <v>2</v>
      </c>
      <c r="K667" s="101">
        <v>8</v>
      </c>
      <c r="L667" s="101">
        <v>13093</v>
      </c>
      <c r="M667" s="101">
        <v>15291.15</v>
      </c>
      <c r="N667" s="101">
        <v>6697.2349999999997</v>
      </c>
      <c r="O667" s="101">
        <v>2</v>
      </c>
      <c r="P667" s="101">
        <v>2</v>
      </c>
      <c r="Q667" s="101">
        <v>1740</v>
      </c>
      <c r="R667" s="101">
        <v>729.8</v>
      </c>
      <c r="S667" s="101">
        <v>106.46</v>
      </c>
      <c r="T667" s="133">
        <v>1.02</v>
      </c>
      <c r="U667" s="101">
        <f t="shared" si="84"/>
        <v>2.04</v>
      </c>
      <c r="V667" s="101">
        <f t="shared" si="85"/>
        <v>2.04</v>
      </c>
      <c r="W667" s="101">
        <f t="shared" si="86"/>
        <v>1774.8</v>
      </c>
      <c r="X667" s="101">
        <f t="shared" si="83"/>
        <v>744.39599999999996</v>
      </c>
      <c r="Y667" s="101">
        <f t="shared" si="87"/>
        <v>108.58919999999999</v>
      </c>
      <c r="AG667" s="225"/>
      <c r="AH667" s="101">
        <v>30000</v>
      </c>
      <c r="AI667" s="101">
        <f t="shared" si="88"/>
        <v>24000</v>
      </c>
      <c r="AJ667" s="101">
        <f t="shared" si="89"/>
        <v>36000</v>
      </c>
    </row>
    <row r="668" spans="1:36" hidden="1" x14ac:dyDescent="0.3">
      <c r="A668" s="126" t="s">
        <v>186</v>
      </c>
      <c r="B668" s="126">
        <v>43</v>
      </c>
      <c r="C668" s="126">
        <v>22</v>
      </c>
      <c r="D668" s="126" t="str">
        <f t="shared" si="82"/>
        <v>4322</v>
      </c>
      <c r="E668" s="101">
        <v>548</v>
      </c>
      <c r="F668" s="101">
        <v>5621</v>
      </c>
      <c r="G668" s="101">
        <v>65384</v>
      </c>
      <c r="H668" s="101">
        <v>264109.33</v>
      </c>
      <c r="I668" s="101">
        <v>212924.39600000001</v>
      </c>
      <c r="J668" s="101">
        <v>888</v>
      </c>
      <c r="K668" s="101">
        <v>6028</v>
      </c>
      <c r="L668" s="101">
        <v>65883</v>
      </c>
      <c r="M668" s="101">
        <v>386349.64999999997</v>
      </c>
      <c r="N668" s="101">
        <v>195244.36699999997</v>
      </c>
      <c r="O668" s="101">
        <v>401</v>
      </c>
      <c r="P668" s="101">
        <v>3542</v>
      </c>
      <c r="Q668" s="101">
        <v>35339</v>
      </c>
      <c r="R668" s="101">
        <v>147343</v>
      </c>
      <c r="S668" s="101">
        <v>107127</v>
      </c>
      <c r="T668" s="133">
        <v>1.02</v>
      </c>
      <c r="U668" s="101">
        <f t="shared" si="84"/>
        <v>409.02</v>
      </c>
      <c r="V668" s="101">
        <f t="shared" si="85"/>
        <v>3612.84</v>
      </c>
      <c r="W668" s="101">
        <f t="shared" si="86"/>
        <v>36045.78</v>
      </c>
      <c r="X668" s="101">
        <f t="shared" si="83"/>
        <v>150289.86000000002</v>
      </c>
      <c r="Y668" s="101">
        <f t="shared" si="87"/>
        <v>109269.54000000001</v>
      </c>
      <c r="AG668" s="225">
        <f>SUM(V668:V682)</f>
        <v>37710</v>
      </c>
      <c r="AH668" s="101">
        <v>30000</v>
      </c>
      <c r="AI668" s="101">
        <f t="shared" si="88"/>
        <v>24000</v>
      </c>
      <c r="AJ668" s="101">
        <f t="shared" si="89"/>
        <v>36000</v>
      </c>
    </row>
    <row r="669" spans="1:36" hidden="1" x14ac:dyDescent="0.3">
      <c r="A669" s="126" t="s">
        <v>186</v>
      </c>
      <c r="B669" s="126">
        <v>43</v>
      </c>
      <c r="C669" s="126">
        <v>25</v>
      </c>
      <c r="D669" s="126" t="str">
        <f t="shared" si="82"/>
        <v>4325</v>
      </c>
      <c r="E669" s="101">
        <v>149</v>
      </c>
      <c r="F669" s="101">
        <v>1327</v>
      </c>
      <c r="G669" s="101">
        <v>57842</v>
      </c>
      <c r="H669" s="101">
        <v>611423.73</v>
      </c>
      <c r="I669" s="101">
        <v>469780.53300000005</v>
      </c>
      <c r="J669" s="101">
        <v>202</v>
      </c>
      <c r="K669" s="101">
        <v>2820</v>
      </c>
      <c r="L669" s="101">
        <v>61751</v>
      </c>
      <c r="M669" s="101">
        <v>621289.16999999993</v>
      </c>
      <c r="N669" s="101">
        <v>241951.378</v>
      </c>
      <c r="O669" s="101">
        <v>340</v>
      </c>
      <c r="P669" s="101">
        <v>4137</v>
      </c>
      <c r="Q669" s="101">
        <v>68130</v>
      </c>
      <c r="R669" s="101">
        <v>1166802</v>
      </c>
      <c r="S669" s="101">
        <v>449986</v>
      </c>
      <c r="T669" s="133">
        <v>1.02</v>
      </c>
      <c r="U669" s="101">
        <f t="shared" si="84"/>
        <v>346.8</v>
      </c>
      <c r="V669" s="101">
        <f t="shared" si="85"/>
        <v>4219.74</v>
      </c>
      <c r="W669" s="101">
        <f t="shared" si="86"/>
        <v>69492.600000000006</v>
      </c>
      <c r="X669" s="101">
        <f t="shared" si="83"/>
        <v>1190138.04</v>
      </c>
      <c r="Y669" s="101">
        <f t="shared" si="87"/>
        <v>458985.72000000003</v>
      </c>
      <c r="AG669" s="225"/>
      <c r="AH669" s="101">
        <v>30000</v>
      </c>
      <c r="AI669" s="101">
        <f t="shared" si="88"/>
        <v>24000</v>
      </c>
      <c r="AJ669" s="101">
        <f t="shared" si="89"/>
        <v>36000</v>
      </c>
    </row>
    <row r="670" spans="1:36" hidden="1" x14ac:dyDescent="0.3">
      <c r="A670" s="126" t="s">
        <v>186</v>
      </c>
      <c r="B670" s="126">
        <v>43</v>
      </c>
      <c r="C670" s="126">
        <v>27</v>
      </c>
      <c r="D670" s="126" t="str">
        <f t="shared" si="82"/>
        <v>4327</v>
      </c>
      <c r="E670" s="101">
        <v>22</v>
      </c>
      <c r="F670" s="101">
        <v>694</v>
      </c>
      <c r="G670" s="101">
        <v>6677</v>
      </c>
      <c r="H670" s="101">
        <v>74362.55</v>
      </c>
      <c r="I670" s="101">
        <v>22389.597000000002</v>
      </c>
      <c r="J670" s="101">
        <v>7</v>
      </c>
      <c r="K670" s="101">
        <v>55</v>
      </c>
      <c r="L670" s="101">
        <v>415</v>
      </c>
      <c r="M670" s="101">
        <v>9606.1500000000015</v>
      </c>
      <c r="N670" s="101">
        <v>3242.5160000000001</v>
      </c>
      <c r="O670" s="101">
        <v>5</v>
      </c>
      <c r="P670" s="101">
        <v>52</v>
      </c>
      <c r="Q670" s="101">
        <v>651</v>
      </c>
      <c r="R670" s="101">
        <v>7445</v>
      </c>
      <c r="S670" s="101">
        <v>5095</v>
      </c>
      <c r="T670" s="133">
        <v>1.02</v>
      </c>
      <c r="U670" s="101">
        <f t="shared" si="84"/>
        <v>5.0999999999999996</v>
      </c>
      <c r="V670" s="101">
        <f t="shared" si="85"/>
        <v>53.04</v>
      </c>
      <c r="W670" s="101">
        <f t="shared" si="86"/>
        <v>664.02</v>
      </c>
      <c r="X670" s="101">
        <f t="shared" si="83"/>
        <v>7593.9000000000005</v>
      </c>
      <c r="Y670" s="101">
        <f t="shared" si="87"/>
        <v>5196.8999999999996</v>
      </c>
      <c r="AG670" s="225"/>
      <c r="AH670" s="101">
        <v>30000</v>
      </c>
      <c r="AI670" s="101">
        <f t="shared" si="88"/>
        <v>24000</v>
      </c>
      <c r="AJ670" s="101">
        <f t="shared" si="89"/>
        <v>36000</v>
      </c>
    </row>
    <row r="671" spans="1:36" hidden="1" x14ac:dyDescent="0.3">
      <c r="A671" s="126" t="s">
        <v>186</v>
      </c>
      <c r="B671" s="126">
        <v>43</v>
      </c>
      <c r="C671" s="126">
        <v>26</v>
      </c>
      <c r="D671" s="126" t="str">
        <f t="shared" si="82"/>
        <v>4326</v>
      </c>
      <c r="E671" s="101">
        <v>124</v>
      </c>
      <c r="F671" s="101">
        <v>3922</v>
      </c>
      <c r="G671" s="101">
        <v>49738</v>
      </c>
      <c r="H671" s="101">
        <v>607029.6</v>
      </c>
      <c r="I671" s="101">
        <v>192433.52500000002</v>
      </c>
      <c r="J671" s="101">
        <v>93</v>
      </c>
      <c r="K671" s="101">
        <v>2675</v>
      </c>
      <c r="L671" s="101">
        <v>34441</v>
      </c>
      <c r="M671" s="101">
        <v>593287.03</v>
      </c>
      <c r="N671" s="101">
        <v>205445.742</v>
      </c>
      <c r="O671" s="101">
        <v>27</v>
      </c>
      <c r="P671" s="101">
        <v>867</v>
      </c>
      <c r="Q671" s="101">
        <v>18366</v>
      </c>
      <c r="R671" s="101">
        <v>220605</v>
      </c>
      <c r="S671" s="101">
        <v>97302</v>
      </c>
      <c r="T671" s="133">
        <v>1.02</v>
      </c>
      <c r="U671" s="101">
        <f t="shared" si="84"/>
        <v>27.54</v>
      </c>
      <c r="V671" s="101">
        <f t="shared" si="85"/>
        <v>884.34</v>
      </c>
      <c r="W671" s="101">
        <f t="shared" si="86"/>
        <v>18733.32</v>
      </c>
      <c r="X671" s="101">
        <f t="shared" si="83"/>
        <v>225017.1</v>
      </c>
      <c r="Y671" s="101">
        <f t="shared" si="87"/>
        <v>99248.040000000008</v>
      </c>
      <c r="AG671" s="225"/>
      <c r="AH671" s="101">
        <v>30000</v>
      </c>
      <c r="AI671" s="101">
        <f t="shared" si="88"/>
        <v>24000</v>
      </c>
      <c r="AJ671" s="101">
        <f t="shared" si="89"/>
        <v>36000</v>
      </c>
    </row>
    <row r="672" spans="1:36" hidden="1" x14ac:dyDescent="0.3">
      <c r="A672" s="126" t="s">
        <v>186</v>
      </c>
      <c r="B672" s="126">
        <v>43</v>
      </c>
      <c r="C672" s="126">
        <v>32</v>
      </c>
      <c r="D672" s="126" t="str">
        <f t="shared" si="82"/>
        <v>4332</v>
      </c>
      <c r="E672" s="101">
        <v>552</v>
      </c>
      <c r="F672" s="101">
        <v>2701</v>
      </c>
      <c r="G672" s="101">
        <v>179472</v>
      </c>
      <c r="H672" s="101">
        <v>1731701.1500000001</v>
      </c>
      <c r="I672" s="101">
        <v>451572.87199999997</v>
      </c>
      <c r="J672" s="101">
        <v>379</v>
      </c>
      <c r="K672" s="101">
        <v>1444</v>
      </c>
      <c r="L672" s="101">
        <v>26299</v>
      </c>
      <c r="M672" s="101">
        <v>221743.47</v>
      </c>
      <c r="N672" s="101">
        <v>82319.381000000008</v>
      </c>
      <c r="O672" s="101">
        <v>382</v>
      </c>
      <c r="P672" s="101">
        <v>1528</v>
      </c>
      <c r="Q672" s="101">
        <v>40945</v>
      </c>
      <c r="R672" s="101">
        <v>512632</v>
      </c>
      <c r="S672" s="101">
        <v>326075</v>
      </c>
      <c r="T672" s="133">
        <v>1.02</v>
      </c>
      <c r="U672" s="101">
        <f>O672*$T$5+12</f>
        <v>401.64</v>
      </c>
      <c r="V672" s="101">
        <f>P672*$T$5+60</f>
        <v>1618.56</v>
      </c>
      <c r="W672" s="101">
        <f>Q672*$T$5+7743</f>
        <v>49506.9</v>
      </c>
      <c r="X672" s="101">
        <f>R672*$T$5+38963</f>
        <v>561847.64</v>
      </c>
      <c r="Y672" s="101">
        <f>S672*$T$5+24321</f>
        <v>356917.5</v>
      </c>
      <c r="AG672" s="225"/>
      <c r="AH672" s="101">
        <v>30000</v>
      </c>
      <c r="AI672" s="101">
        <f t="shared" si="88"/>
        <v>24000</v>
      </c>
      <c r="AJ672" s="101">
        <f t="shared" si="89"/>
        <v>36000</v>
      </c>
    </row>
    <row r="673" spans="1:36" hidden="1" x14ac:dyDescent="0.3">
      <c r="A673" s="126" t="s">
        <v>186</v>
      </c>
      <c r="B673" s="126">
        <v>43</v>
      </c>
      <c r="C673" s="126">
        <v>21</v>
      </c>
      <c r="D673" s="126" t="str">
        <f t="shared" si="82"/>
        <v>4321</v>
      </c>
      <c r="E673" s="101">
        <v>1415.5</v>
      </c>
      <c r="F673" s="101">
        <v>6871.5</v>
      </c>
      <c r="G673" s="101">
        <v>36762</v>
      </c>
      <c r="H673" s="101">
        <v>518764.67000000004</v>
      </c>
      <c r="I673" s="101">
        <v>169111.78400000001</v>
      </c>
      <c r="J673" s="101">
        <v>0</v>
      </c>
      <c r="K673" s="101">
        <v>0</v>
      </c>
      <c r="L673" s="101">
        <v>0</v>
      </c>
      <c r="M673" s="101">
        <v>0</v>
      </c>
      <c r="N673" s="101">
        <v>0</v>
      </c>
      <c r="O673" s="101">
        <v>106</v>
      </c>
      <c r="P673" s="101">
        <v>434</v>
      </c>
      <c r="Q673" s="101">
        <v>6817</v>
      </c>
      <c r="R673" s="101">
        <v>55010</v>
      </c>
      <c r="S673" s="101">
        <v>21388</v>
      </c>
      <c r="T673" s="133">
        <v>1.02</v>
      </c>
      <c r="U673" s="101">
        <v>1104</v>
      </c>
      <c r="V673" s="101">
        <v>9367</v>
      </c>
      <c r="W673" s="101">
        <v>76641</v>
      </c>
      <c r="X673" s="101">
        <v>837256</v>
      </c>
      <c r="Y673" s="101">
        <v>249595</v>
      </c>
      <c r="AG673" s="225"/>
      <c r="AH673" s="101">
        <v>30000</v>
      </c>
      <c r="AI673" s="101">
        <f t="shared" si="88"/>
        <v>24000</v>
      </c>
      <c r="AJ673" s="101">
        <f t="shared" si="89"/>
        <v>36000</v>
      </c>
    </row>
    <row r="674" spans="1:36" hidden="1" x14ac:dyDescent="0.3">
      <c r="A674" s="126" t="s">
        <v>186</v>
      </c>
      <c r="B674" s="126">
        <v>43</v>
      </c>
      <c r="C674" s="126">
        <v>30</v>
      </c>
      <c r="D674" s="126" t="str">
        <f t="shared" si="82"/>
        <v>4330</v>
      </c>
      <c r="E674" s="101">
        <v>524.5</v>
      </c>
      <c r="F674" s="101">
        <v>4989</v>
      </c>
      <c r="G674" s="101">
        <v>22952</v>
      </c>
      <c r="H674" s="101">
        <v>503427.45999999996</v>
      </c>
      <c r="I674" s="101">
        <v>161119.33350000001</v>
      </c>
      <c r="J674" s="101">
        <v>355</v>
      </c>
      <c r="K674" s="101">
        <v>7260</v>
      </c>
      <c r="L674" s="101">
        <v>26554</v>
      </c>
      <c r="M674" s="101">
        <v>550878.71</v>
      </c>
      <c r="N674" s="101">
        <v>163918.573</v>
      </c>
      <c r="O674" s="101">
        <v>441</v>
      </c>
      <c r="P674" s="101">
        <v>10268</v>
      </c>
      <c r="Q674" s="101">
        <v>43352</v>
      </c>
      <c r="R674" s="101">
        <v>871454</v>
      </c>
      <c r="S674" s="101">
        <v>338836</v>
      </c>
      <c r="T674" s="133">
        <v>1.02</v>
      </c>
      <c r="U674" s="101">
        <f t="shared" si="84"/>
        <v>449.82</v>
      </c>
      <c r="V674" s="101">
        <f t="shared" si="85"/>
        <v>10473.36</v>
      </c>
      <c r="W674" s="101">
        <f t="shared" si="86"/>
        <v>44219.040000000001</v>
      </c>
      <c r="X674" s="101">
        <f t="shared" si="83"/>
        <v>888883.08</v>
      </c>
      <c r="Y674" s="101">
        <f t="shared" si="87"/>
        <v>345612.72000000003</v>
      </c>
      <c r="AG674" s="225"/>
      <c r="AH674" s="101">
        <v>30000</v>
      </c>
      <c r="AI674" s="101">
        <f t="shared" si="88"/>
        <v>24000</v>
      </c>
      <c r="AJ674" s="101">
        <f t="shared" si="89"/>
        <v>36000</v>
      </c>
    </row>
    <row r="675" spans="1:36" hidden="1" x14ac:dyDescent="0.3">
      <c r="A675" s="126" t="s">
        <v>186</v>
      </c>
      <c r="B675" s="126">
        <v>43</v>
      </c>
      <c r="C675" s="126">
        <v>71</v>
      </c>
      <c r="D675" s="126" t="str">
        <f t="shared" si="82"/>
        <v>4371</v>
      </c>
      <c r="E675" s="101">
        <v>578</v>
      </c>
      <c r="F675" s="101">
        <v>11709</v>
      </c>
      <c r="G675" s="101">
        <v>40190.5</v>
      </c>
      <c r="H675" s="101">
        <v>345199.38999999996</v>
      </c>
      <c r="I675" s="101">
        <v>168500.74900000001</v>
      </c>
      <c r="J675" s="101">
        <v>485</v>
      </c>
      <c r="K675" s="101">
        <v>7191</v>
      </c>
      <c r="L675" s="101">
        <v>22244</v>
      </c>
      <c r="M675" s="101">
        <v>176545.92000000001</v>
      </c>
      <c r="N675" s="101">
        <v>98412.577000000005</v>
      </c>
      <c r="O675" s="101">
        <v>268</v>
      </c>
      <c r="P675" s="101">
        <v>10199</v>
      </c>
      <c r="Q675" s="101">
        <v>54769</v>
      </c>
      <c r="R675" s="101">
        <v>510589</v>
      </c>
      <c r="S675" s="101">
        <v>230697</v>
      </c>
      <c r="T675" s="133">
        <v>0.98</v>
      </c>
      <c r="AG675" s="225"/>
      <c r="AH675" s="101">
        <v>30000</v>
      </c>
      <c r="AI675" s="101">
        <f t="shared" si="88"/>
        <v>24000</v>
      </c>
      <c r="AJ675" s="101">
        <f t="shared" si="89"/>
        <v>36000</v>
      </c>
    </row>
    <row r="676" spans="1:36" hidden="1" x14ac:dyDescent="0.3">
      <c r="A676" s="126" t="s">
        <v>186</v>
      </c>
      <c r="B676" s="126">
        <v>43</v>
      </c>
      <c r="C676" s="126">
        <v>28</v>
      </c>
      <c r="D676" s="126" t="str">
        <f t="shared" si="82"/>
        <v>4328</v>
      </c>
      <c r="J676" s="101">
        <v>88</v>
      </c>
      <c r="K676" s="101">
        <v>198</v>
      </c>
      <c r="L676" s="101">
        <v>5057</v>
      </c>
      <c r="M676" s="101">
        <v>114918.57</v>
      </c>
      <c r="N676" s="101">
        <v>37616.002</v>
      </c>
      <c r="O676" s="101">
        <v>79</v>
      </c>
      <c r="P676" s="101">
        <v>468</v>
      </c>
      <c r="Q676" s="101">
        <v>9113</v>
      </c>
      <c r="R676" s="101">
        <v>273897</v>
      </c>
      <c r="S676" s="101">
        <v>94250</v>
      </c>
      <c r="T676" s="133">
        <v>1.02</v>
      </c>
      <c r="U676" s="101">
        <v>329</v>
      </c>
      <c r="V676" s="101">
        <v>7271</v>
      </c>
      <c r="W676" s="101">
        <v>92055</v>
      </c>
      <c r="X676" s="144">
        <f t="shared" si="83"/>
        <v>279374.94</v>
      </c>
      <c r="Y676" s="101">
        <v>610942</v>
      </c>
      <c r="AG676" s="225"/>
      <c r="AH676" s="101"/>
      <c r="AI676" s="101"/>
      <c r="AJ676" s="101"/>
    </row>
    <row r="677" spans="1:36" x14ac:dyDescent="0.3">
      <c r="A677" s="126" t="s">
        <v>186</v>
      </c>
      <c r="B677" s="126">
        <v>43</v>
      </c>
      <c r="C677" s="126">
        <v>91</v>
      </c>
      <c r="D677" s="126" t="str">
        <f t="shared" si="82"/>
        <v>4391</v>
      </c>
      <c r="J677" s="101">
        <v>10</v>
      </c>
      <c r="K677" s="101">
        <v>37</v>
      </c>
      <c r="L677" s="101">
        <v>75</v>
      </c>
      <c r="M677" s="101">
        <v>1848.61</v>
      </c>
      <c r="N677" s="101">
        <v>720.84799999999996</v>
      </c>
      <c r="O677" s="101">
        <v>11</v>
      </c>
      <c r="P677" s="101">
        <v>21</v>
      </c>
      <c r="Q677" s="101">
        <v>40</v>
      </c>
      <c r="R677" s="101">
        <v>448</v>
      </c>
      <c r="S677" s="101">
        <v>248</v>
      </c>
      <c r="T677" s="133">
        <v>1.02</v>
      </c>
      <c r="U677" s="101">
        <f t="shared" si="84"/>
        <v>11.22</v>
      </c>
      <c r="V677" s="101">
        <f t="shared" si="85"/>
        <v>21.42</v>
      </c>
      <c r="W677" s="101">
        <f t="shared" si="86"/>
        <v>40.799999999999997</v>
      </c>
      <c r="X677" s="101">
        <f t="shared" si="83"/>
        <v>456.96000000000004</v>
      </c>
      <c r="Y677" s="101">
        <f t="shared" si="87"/>
        <v>252.96</v>
      </c>
      <c r="AG677" s="225"/>
      <c r="AH677" s="101"/>
      <c r="AI677" s="101"/>
      <c r="AJ677" s="101"/>
    </row>
    <row r="678" spans="1:36" hidden="1" x14ac:dyDescent="0.3">
      <c r="A678" s="126" t="s">
        <v>186</v>
      </c>
      <c r="B678" s="126">
        <v>43</v>
      </c>
      <c r="C678" s="126">
        <v>41</v>
      </c>
      <c r="D678" s="126" t="str">
        <f t="shared" si="82"/>
        <v>4341</v>
      </c>
      <c r="J678" s="101">
        <v>15</v>
      </c>
      <c r="K678" s="101">
        <v>37</v>
      </c>
      <c r="L678" s="101">
        <v>381</v>
      </c>
      <c r="M678" s="101">
        <v>5558.33</v>
      </c>
      <c r="N678" s="101">
        <v>2119.1349999999998</v>
      </c>
      <c r="O678" s="101">
        <v>1</v>
      </c>
      <c r="P678" s="101">
        <v>2</v>
      </c>
      <c r="Q678" s="101">
        <v>2</v>
      </c>
      <c r="R678" s="101">
        <v>0</v>
      </c>
      <c r="S678" s="101">
        <v>14</v>
      </c>
      <c r="T678" s="133">
        <v>1.02</v>
      </c>
      <c r="U678" s="101">
        <f t="shared" si="84"/>
        <v>1.02</v>
      </c>
      <c r="V678" s="101">
        <f t="shared" si="85"/>
        <v>2.04</v>
      </c>
      <c r="W678" s="101">
        <f t="shared" si="86"/>
        <v>2.04</v>
      </c>
      <c r="X678" s="101">
        <f t="shared" si="83"/>
        <v>0</v>
      </c>
      <c r="Y678" s="101">
        <f t="shared" si="87"/>
        <v>14.280000000000001</v>
      </c>
      <c r="AG678" s="225"/>
      <c r="AH678" s="101"/>
      <c r="AI678" s="101"/>
      <c r="AJ678" s="101"/>
    </row>
    <row r="679" spans="1:36" hidden="1" x14ac:dyDescent="0.3">
      <c r="A679" s="126" t="s">
        <v>186</v>
      </c>
      <c r="B679" s="126">
        <v>43</v>
      </c>
      <c r="C679" s="126">
        <v>46</v>
      </c>
      <c r="D679" s="126" t="str">
        <f t="shared" si="82"/>
        <v>4346</v>
      </c>
      <c r="J679" s="101">
        <v>11</v>
      </c>
      <c r="K679" s="101">
        <v>13</v>
      </c>
      <c r="L679" s="101">
        <v>1225</v>
      </c>
      <c r="M679" s="101">
        <v>10394.23</v>
      </c>
      <c r="N679" s="101">
        <v>1651.0070000000001</v>
      </c>
      <c r="O679" s="101">
        <v>11</v>
      </c>
      <c r="P679" s="101">
        <v>15</v>
      </c>
      <c r="Q679" s="101">
        <v>2851</v>
      </c>
      <c r="R679" s="101">
        <v>32991</v>
      </c>
      <c r="S679" s="101">
        <v>11252</v>
      </c>
      <c r="T679" s="133">
        <v>1.02</v>
      </c>
      <c r="U679" s="101">
        <f t="shared" si="84"/>
        <v>11.22</v>
      </c>
      <c r="V679" s="101">
        <f t="shared" si="85"/>
        <v>15.3</v>
      </c>
      <c r="W679" s="101">
        <f t="shared" si="86"/>
        <v>2908.02</v>
      </c>
      <c r="X679" s="101">
        <f t="shared" si="83"/>
        <v>33650.82</v>
      </c>
      <c r="Y679" s="101">
        <f t="shared" si="87"/>
        <v>11477.04</v>
      </c>
      <c r="AG679" s="225"/>
      <c r="AH679" s="101"/>
      <c r="AI679" s="101"/>
      <c r="AJ679" s="101"/>
    </row>
    <row r="680" spans="1:36" hidden="1" x14ac:dyDescent="0.3">
      <c r="A680" s="126" t="s">
        <v>186</v>
      </c>
      <c r="B680" s="126">
        <v>43</v>
      </c>
      <c r="C680" s="126">
        <v>66</v>
      </c>
      <c r="D680" s="126" t="str">
        <f t="shared" si="82"/>
        <v>4366</v>
      </c>
      <c r="J680" s="101">
        <v>13</v>
      </c>
      <c r="K680" s="101">
        <v>13</v>
      </c>
      <c r="L680" s="101">
        <v>345</v>
      </c>
      <c r="M680" s="101">
        <v>7066.9000000000005</v>
      </c>
      <c r="N680" s="101">
        <v>3766.2009999999996</v>
      </c>
      <c r="O680" s="101">
        <v>34</v>
      </c>
      <c r="P680" s="101">
        <v>52</v>
      </c>
      <c r="Q680" s="101">
        <v>2556</v>
      </c>
      <c r="R680" s="101">
        <v>29200</v>
      </c>
      <c r="S680" s="101">
        <v>23433</v>
      </c>
      <c r="T680" s="133">
        <v>1.02</v>
      </c>
      <c r="U680" s="101">
        <f t="shared" si="84"/>
        <v>34.68</v>
      </c>
      <c r="V680" s="101">
        <f t="shared" si="85"/>
        <v>53.04</v>
      </c>
      <c r="W680" s="101">
        <f t="shared" si="86"/>
        <v>2607.12</v>
      </c>
      <c r="X680" s="101">
        <f t="shared" si="83"/>
        <v>29784</v>
      </c>
      <c r="Y680" s="101">
        <f t="shared" si="87"/>
        <v>23901.66</v>
      </c>
      <c r="AG680" s="225"/>
      <c r="AH680" s="101"/>
      <c r="AI680" s="101"/>
      <c r="AJ680" s="101"/>
    </row>
    <row r="681" spans="1:36" hidden="1" x14ac:dyDescent="0.3">
      <c r="A681" s="126" t="s">
        <v>186</v>
      </c>
      <c r="B681" s="126">
        <v>43</v>
      </c>
      <c r="C681" s="126">
        <v>1</v>
      </c>
      <c r="D681" s="126" t="str">
        <f t="shared" si="82"/>
        <v>431</v>
      </c>
      <c r="J681" s="101">
        <v>136</v>
      </c>
      <c r="K681" s="101">
        <v>136</v>
      </c>
      <c r="L681" s="101">
        <v>43093</v>
      </c>
      <c r="N681" s="101">
        <v>146252</v>
      </c>
      <c r="O681" s="101">
        <v>105</v>
      </c>
      <c r="P681" s="101">
        <v>105</v>
      </c>
      <c r="Q681" s="101">
        <v>32102</v>
      </c>
      <c r="S681" s="101">
        <v>139610</v>
      </c>
      <c r="T681" s="133">
        <v>1.02</v>
      </c>
      <c r="U681" s="101">
        <f t="shared" si="84"/>
        <v>107.10000000000001</v>
      </c>
      <c r="V681" s="101">
        <f t="shared" si="85"/>
        <v>107.10000000000001</v>
      </c>
      <c r="W681" s="101">
        <f t="shared" si="86"/>
        <v>32744.04</v>
      </c>
      <c r="X681" s="101">
        <f t="shared" si="83"/>
        <v>0</v>
      </c>
      <c r="Y681" s="101">
        <f t="shared" si="87"/>
        <v>142402.20000000001</v>
      </c>
      <c r="AG681" s="225"/>
      <c r="AH681" s="101"/>
      <c r="AI681" s="101"/>
      <c r="AJ681" s="101"/>
    </row>
    <row r="682" spans="1:36" hidden="1" x14ac:dyDescent="0.3">
      <c r="A682" s="126" t="s">
        <v>186</v>
      </c>
      <c r="B682" s="126">
        <v>43</v>
      </c>
      <c r="C682" s="126">
        <v>37</v>
      </c>
      <c r="D682" s="126" t="str">
        <f t="shared" si="82"/>
        <v>4337</v>
      </c>
      <c r="E682" s="101">
        <v>6.5</v>
      </c>
      <c r="F682" s="101">
        <v>19.75</v>
      </c>
      <c r="G682" s="101">
        <v>354.25</v>
      </c>
      <c r="H682" s="101">
        <v>978.3125</v>
      </c>
      <c r="I682" s="101">
        <v>314.38825000000003</v>
      </c>
      <c r="J682" s="101">
        <v>6</v>
      </c>
      <c r="K682" s="101">
        <v>41</v>
      </c>
      <c r="L682" s="101">
        <v>24429</v>
      </c>
      <c r="M682" s="101">
        <v>6773.42</v>
      </c>
      <c r="N682" s="101">
        <v>5188.3810000000003</v>
      </c>
      <c r="O682" s="101">
        <v>4</v>
      </c>
      <c r="P682" s="101">
        <v>11</v>
      </c>
      <c r="Q682" s="101">
        <v>36200</v>
      </c>
      <c r="R682" s="101">
        <v>25250</v>
      </c>
      <c r="S682" s="101">
        <v>7876</v>
      </c>
      <c r="T682" s="133">
        <v>1.02</v>
      </c>
      <c r="U682" s="101">
        <f t="shared" si="84"/>
        <v>4.08</v>
      </c>
      <c r="V682" s="101">
        <f t="shared" si="85"/>
        <v>11.22</v>
      </c>
      <c r="W682" s="101">
        <f t="shared" si="86"/>
        <v>36924</v>
      </c>
      <c r="X682" s="101">
        <f t="shared" si="83"/>
        <v>25755</v>
      </c>
      <c r="Y682" s="101">
        <f t="shared" si="87"/>
        <v>8033.52</v>
      </c>
      <c r="AG682" s="225"/>
      <c r="AH682" s="101">
        <v>30000</v>
      </c>
      <c r="AI682" s="101">
        <f t="shared" si="88"/>
        <v>24000</v>
      </c>
      <c r="AJ682" s="101">
        <f t="shared" si="89"/>
        <v>36000</v>
      </c>
    </row>
    <row r="683" spans="1:36" hidden="1" x14ac:dyDescent="0.3">
      <c r="A683" s="126" t="s">
        <v>186</v>
      </c>
      <c r="B683" s="126">
        <v>44</v>
      </c>
      <c r="C683" s="126">
        <v>22</v>
      </c>
      <c r="D683" s="126" t="str">
        <f t="shared" si="82"/>
        <v>4422</v>
      </c>
      <c r="E683" s="101">
        <v>543</v>
      </c>
      <c r="F683" s="101">
        <v>3293</v>
      </c>
      <c r="G683" s="101">
        <v>84870</v>
      </c>
      <c r="H683" s="101">
        <v>329315.06000000006</v>
      </c>
      <c r="I683" s="101">
        <v>240919.67200000002</v>
      </c>
      <c r="J683" s="101">
        <v>569</v>
      </c>
      <c r="K683" s="101">
        <v>3440</v>
      </c>
      <c r="L683" s="101">
        <v>132613</v>
      </c>
      <c r="M683" s="101">
        <v>687325.11</v>
      </c>
      <c r="N683" s="101">
        <v>428406.90299999999</v>
      </c>
      <c r="O683" s="101">
        <v>471</v>
      </c>
      <c r="P683" s="101">
        <v>3611</v>
      </c>
      <c r="Q683" s="101">
        <v>34489</v>
      </c>
      <c r="R683" s="101">
        <v>174780.85</v>
      </c>
      <c r="S683" s="101">
        <v>123974.965</v>
      </c>
      <c r="T683" s="133">
        <v>1.02</v>
      </c>
      <c r="U683" s="101">
        <f t="shared" si="84"/>
        <v>480.42</v>
      </c>
      <c r="V683" s="101">
        <f t="shared" si="85"/>
        <v>3683.2200000000003</v>
      </c>
      <c r="W683" s="101">
        <f t="shared" si="86"/>
        <v>35178.78</v>
      </c>
      <c r="X683" s="101">
        <f t="shared" si="83"/>
        <v>178276.467</v>
      </c>
      <c r="Y683" s="101">
        <f t="shared" si="87"/>
        <v>126454.46429999999</v>
      </c>
      <c r="AG683" s="225">
        <f>SUM(V683:V697)</f>
        <v>31659.200000000004</v>
      </c>
      <c r="AH683" s="101">
        <v>30000</v>
      </c>
      <c r="AI683" s="101">
        <f t="shared" si="88"/>
        <v>24000</v>
      </c>
      <c r="AJ683" s="101">
        <f t="shared" si="89"/>
        <v>36000</v>
      </c>
    </row>
    <row r="684" spans="1:36" hidden="1" x14ac:dyDescent="0.3">
      <c r="A684" s="126" t="s">
        <v>186</v>
      </c>
      <c r="B684" s="126">
        <v>44</v>
      </c>
      <c r="C684" s="126">
        <v>25</v>
      </c>
      <c r="D684" s="126" t="str">
        <f t="shared" si="82"/>
        <v>4425</v>
      </c>
      <c r="E684" s="101">
        <v>143</v>
      </c>
      <c r="F684" s="101">
        <v>1925</v>
      </c>
      <c r="G684" s="101">
        <v>43194</v>
      </c>
      <c r="H684" s="101">
        <v>595648.69999999995</v>
      </c>
      <c r="I684" s="101">
        <v>447010.78600000002</v>
      </c>
      <c r="J684" s="101">
        <v>154</v>
      </c>
      <c r="K684" s="101">
        <v>2025</v>
      </c>
      <c r="L684" s="101">
        <v>23980</v>
      </c>
      <c r="M684" s="101">
        <v>319110.99</v>
      </c>
      <c r="N684" s="101">
        <v>135077.80900000001</v>
      </c>
      <c r="O684" s="101">
        <v>189</v>
      </c>
      <c r="P684" s="101">
        <v>3047</v>
      </c>
      <c r="Q684" s="101">
        <v>69052</v>
      </c>
      <c r="R684" s="101">
        <v>807739.05</v>
      </c>
      <c r="S684" s="101">
        <v>388293.79</v>
      </c>
      <c r="T684" s="133">
        <v>1.02</v>
      </c>
      <c r="U684" s="101">
        <f t="shared" si="84"/>
        <v>192.78</v>
      </c>
      <c r="V684" s="101">
        <f t="shared" si="85"/>
        <v>3107.94</v>
      </c>
      <c r="W684" s="101">
        <f t="shared" si="86"/>
        <v>70433.040000000008</v>
      </c>
      <c r="X684" s="101">
        <f t="shared" si="83"/>
        <v>823893.83100000001</v>
      </c>
      <c r="Y684" s="101">
        <f t="shared" si="87"/>
        <v>396059.66579999996</v>
      </c>
      <c r="AG684" s="225"/>
      <c r="AH684" s="101">
        <v>30000</v>
      </c>
      <c r="AI684" s="101">
        <f t="shared" si="88"/>
        <v>24000</v>
      </c>
      <c r="AJ684" s="101">
        <f t="shared" si="89"/>
        <v>36000</v>
      </c>
    </row>
    <row r="685" spans="1:36" hidden="1" x14ac:dyDescent="0.3">
      <c r="A685" s="126" t="s">
        <v>186</v>
      </c>
      <c r="B685" s="126">
        <v>44</v>
      </c>
      <c r="C685" s="126">
        <v>27</v>
      </c>
      <c r="D685" s="126" t="str">
        <f t="shared" si="82"/>
        <v>4427</v>
      </c>
      <c r="E685" s="101">
        <v>6</v>
      </c>
      <c r="F685" s="101">
        <v>244</v>
      </c>
      <c r="G685" s="101">
        <v>2020</v>
      </c>
      <c r="H685" s="101">
        <v>22606.059999999998</v>
      </c>
      <c r="I685" s="101">
        <v>6181.6009999999997</v>
      </c>
      <c r="J685" s="101">
        <v>19</v>
      </c>
      <c r="K685" s="101">
        <v>38</v>
      </c>
      <c r="L685" s="101">
        <v>218</v>
      </c>
      <c r="M685" s="101">
        <v>3130.74</v>
      </c>
      <c r="N685" s="101">
        <v>931.26800000000003</v>
      </c>
      <c r="O685" s="101">
        <v>3</v>
      </c>
      <c r="P685" s="101">
        <v>4</v>
      </c>
      <c r="Q685" s="101">
        <v>44</v>
      </c>
      <c r="R685" s="101">
        <v>727.9</v>
      </c>
      <c r="S685" s="101">
        <v>544.90700000000004</v>
      </c>
      <c r="T685" s="133">
        <v>1.02</v>
      </c>
      <c r="U685" s="101">
        <f t="shared" si="84"/>
        <v>3.06</v>
      </c>
      <c r="V685" s="101">
        <f t="shared" si="85"/>
        <v>4.08</v>
      </c>
      <c r="W685" s="101">
        <f t="shared" si="86"/>
        <v>44.88</v>
      </c>
      <c r="X685" s="101">
        <f t="shared" si="83"/>
        <v>742.45799999999997</v>
      </c>
      <c r="Y685" s="101">
        <f t="shared" si="87"/>
        <v>555.80514000000005</v>
      </c>
      <c r="AG685" s="225"/>
      <c r="AH685" s="101">
        <v>30000</v>
      </c>
      <c r="AI685" s="101">
        <f t="shared" si="88"/>
        <v>24000</v>
      </c>
      <c r="AJ685" s="101">
        <f t="shared" si="89"/>
        <v>36000</v>
      </c>
    </row>
    <row r="686" spans="1:36" hidden="1" x14ac:dyDescent="0.3">
      <c r="A686" s="126" t="s">
        <v>186</v>
      </c>
      <c r="B686" s="126">
        <v>44</v>
      </c>
      <c r="C686" s="126">
        <v>26</v>
      </c>
      <c r="D686" s="126" t="str">
        <f t="shared" si="82"/>
        <v>4426</v>
      </c>
      <c r="E686" s="101">
        <v>83</v>
      </c>
      <c r="F686" s="101">
        <v>3050</v>
      </c>
      <c r="G686" s="101">
        <v>54173</v>
      </c>
      <c r="H686" s="101">
        <v>607798.44999999995</v>
      </c>
      <c r="I686" s="101">
        <v>253623</v>
      </c>
      <c r="J686" s="101">
        <v>33</v>
      </c>
      <c r="K686" s="101">
        <v>1246</v>
      </c>
      <c r="L686" s="101">
        <v>14968</v>
      </c>
      <c r="M686" s="101">
        <v>280480.33</v>
      </c>
      <c r="N686" s="101">
        <v>83918.175000000003</v>
      </c>
      <c r="O686" s="101">
        <v>15</v>
      </c>
      <c r="P686" s="101">
        <v>377</v>
      </c>
      <c r="Q686" s="101">
        <v>14169</v>
      </c>
      <c r="R686" s="101">
        <v>144775.62</v>
      </c>
      <c r="S686" s="101">
        <v>58315.18</v>
      </c>
      <c r="T686" s="133">
        <v>1.02</v>
      </c>
      <c r="U686" s="101">
        <f t="shared" si="84"/>
        <v>15.3</v>
      </c>
      <c r="V686" s="101">
        <f t="shared" si="85"/>
        <v>384.54</v>
      </c>
      <c r="W686" s="101">
        <f t="shared" si="86"/>
        <v>14452.380000000001</v>
      </c>
      <c r="X686" s="101">
        <f t="shared" si="83"/>
        <v>147671.1324</v>
      </c>
      <c r="Y686" s="101">
        <f t="shared" si="87"/>
        <v>59481.4836</v>
      </c>
      <c r="AG686" s="225"/>
      <c r="AH686" s="101">
        <v>30000</v>
      </c>
      <c r="AI686" s="101">
        <f t="shared" si="88"/>
        <v>24000</v>
      </c>
      <c r="AJ686" s="101">
        <f t="shared" si="89"/>
        <v>36000</v>
      </c>
    </row>
    <row r="687" spans="1:36" hidden="1" x14ac:dyDescent="0.3">
      <c r="A687" s="126" t="s">
        <v>186</v>
      </c>
      <c r="B687" s="126">
        <v>44</v>
      </c>
      <c r="C687" s="126">
        <v>32</v>
      </c>
      <c r="D687" s="126" t="str">
        <f t="shared" si="82"/>
        <v>4432</v>
      </c>
      <c r="E687" s="101">
        <v>530</v>
      </c>
      <c r="F687" s="101">
        <v>2837</v>
      </c>
      <c r="G687" s="101">
        <v>120704</v>
      </c>
      <c r="H687" s="101">
        <v>712032.30999999994</v>
      </c>
      <c r="I687" s="101">
        <v>345954.39500000002</v>
      </c>
      <c r="J687" s="101">
        <v>175</v>
      </c>
      <c r="K687" s="101">
        <v>1890</v>
      </c>
      <c r="L687" s="101">
        <v>65241</v>
      </c>
      <c r="M687" s="101">
        <v>671033.99</v>
      </c>
      <c r="N687" s="101">
        <v>225065.82699999999</v>
      </c>
      <c r="O687" s="101">
        <v>155</v>
      </c>
      <c r="P687" s="101">
        <v>657</v>
      </c>
      <c r="Q687" s="101">
        <v>23929</v>
      </c>
      <c r="R687" s="101">
        <v>258361.26</v>
      </c>
      <c r="S687" s="101">
        <v>97265.247000000003</v>
      </c>
      <c r="T687" s="133">
        <v>1.02</v>
      </c>
      <c r="U687" s="101">
        <f>O687*$T$5+1</f>
        <v>159.1</v>
      </c>
      <c r="V687" s="101">
        <f>P687*$T$5+6</f>
        <v>676.14</v>
      </c>
      <c r="W687" s="101">
        <f>Q687*$T$5+1170</f>
        <v>25577.58</v>
      </c>
      <c r="X687" s="101">
        <f>R687*$T$5+22054</f>
        <v>285582.4852</v>
      </c>
      <c r="Y687" s="101">
        <f>S687*$T$5+12373</f>
        <v>111583.55194</v>
      </c>
      <c r="AG687" s="225"/>
      <c r="AH687" s="101">
        <v>30000</v>
      </c>
      <c r="AI687" s="101">
        <f t="shared" si="88"/>
        <v>24000</v>
      </c>
      <c r="AJ687" s="101">
        <f t="shared" si="89"/>
        <v>36000</v>
      </c>
    </row>
    <row r="688" spans="1:36" hidden="1" x14ac:dyDescent="0.3">
      <c r="A688" s="126" t="s">
        <v>186</v>
      </c>
      <c r="B688" s="126">
        <v>44</v>
      </c>
      <c r="C688" s="126">
        <v>21</v>
      </c>
      <c r="D688" s="126" t="str">
        <f t="shared" si="82"/>
        <v>4421</v>
      </c>
      <c r="E688" s="101">
        <v>684.5</v>
      </c>
      <c r="F688" s="101">
        <v>4070.5</v>
      </c>
      <c r="G688" s="101">
        <v>35313</v>
      </c>
      <c r="H688" s="101">
        <v>348112.26</v>
      </c>
      <c r="I688" s="101">
        <v>100338.11499999999</v>
      </c>
      <c r="J688" s="101">
        <v>0</v>
      </c>
      <c r="K688" s="101">
        <v>0</v>
      </c>
      <c r="L688" s="101">
        <v>0</v>
      </c>
      <c r="M688" s="101">
        <v>0</v>
      </c>
      <c r="N688" s="101">
        <v>0</v>
      </c>
      <c r="O688" s="101">
        <v>42</v>
      </c>
      <c r="P688" s="101">
        <v>641</v>
      </c>
      <c r="Q688" s="101">
        <v>3242</v>
      </c>
      <c r="R688" s="101">
        <v>55002.42</v>
      </c>
      <c r="S688" s="101">
        <v>16698.451000000001</v>
      </c>
      <c r="T688" s="133">
        <v>1.02</v>
      </c>
      <c r="U688" s="101">
        <v>863</v>
      </c>
      <c r="V688" s="101">
        <v>8774</v>
      </c>
      <c r="W688" s="101">
        <v>56848</v>
      </c>
      <c r="X688" s="101">
        <v>801246</v>
      </c>
      <c r="Y688" s="101">
        <v>249159</v>
      </c>
      <c r="AG688" s="225"/>
      <c r="AH688" s="101">
        <v>30000</v>
      </c>
      <c r="AI688" s="101">
        <f t="shared" si="88"/>
        <v>24000</v>
      </c>
      <c r="AJ688" s="101">
        <f t="shared" si="89"/>
        <v>36000</v>
      </c>
    </row>
    <row r="689" spans="1:36" hidden="1" x14ac:dyDescent="0.3">
      <c r="A689" s="126" t="s">
        <v>186</v>
      </c>
      <c r="B689" s="126">
        <v>44</v>
      </c>
      <c r="C689" s="126">
        <v>30</v>
      </c>
      <c r="D689" s="126" t="str">
        <f t="shared" si="82"/>
        <v>4430</v>
      </c>
      <c r="E689" s="101">
        <v>272.5</v>
      </c>
      <c r="F689" s="101">
        <v>4011</v>
      </c>
      <c r="G689" s="101">
        <v>19552</v>
      </c>
      <c r="H689" s="101">
        <v>585682.52</v>
      </c>
      <c r="I689" s="101">
        <v>192349.905</v>
      </c>
      <c r="J689" s="101">
        <v>296</v>
      </c>
      <c r="K689" s="101">
        <v>7184</v>
      </c>
      <c r="L689" s="101">
        <v>33340</v>
      </c>
      <c r="M689" s="101">
        <v>958260.73</v>
      </c>
      <c r="N689" s="101">
        <v>301635.484</v>
      </c>
      <c r="O689" s="101">
        <v>297</v>
      </c>
      <c r="P689" s="101">
        <v>7522</v>
      </c>
      <c r="Q689" s="101">
        <v>27115</v>
      </c>
      <c r="R689" s="101">
        <v>592707.83999999997</v>
      </c>
      <c r="S689" s="101">
        <v>197072.03599999999</v>
      </c>
      <c r="T689" s="133">
        <v>1.02</v>
      </c>
      <c r="U689" s="101">
        <f t="shared" si="84"/>
        <v>302.94</v>
      </c>
      <c r="V689" s="101">
        <f t="shared" si="85"/>
        <v>7672.4400000000005</v>
      </c>
      <c r="W689" s="101">
        <f t="shared" si="86"/>
        <v>27657.3</v>
      </c>
      <c r="X689" s="101">
        <f t="shared" si="83"/>
        <v>604561.99679999996</v>
      </c>
      <c r="Y689" s="101">
        <f t="shared" si="87"/>
        <v>201013.47672000001</v>
      </c>
      <c r="AG689" s="225"/>
      <c r="AH689" s="101">
        <v>30000</v>
      </c>
      <c r="AI689" s="101">
        <f t="shared" si="88"/>
        <v>24000</v>
      </c>
      <c r="AJ689" s="101">
        <f t="shared" si="89"/>
        <v>36000</v>
      </c>
    </row>
    <row r="690" spans="1:36" hidden="1" x14ac:dyDescent="0.3">
      <c r="A690" s="126" t="s">
        <v>186</v>
      </c>
      <c r="B690" s="126">
        <v>44</v>
      </c>
      <c r="C690" s="126">
        <v>71</v>
      </c>
      <c r="D690" s="126" t="str">
        <f t="shared" si="82"/>
        <v>4471</v>
      </c>
      <c r="E690" s="101">
        <v>547.5</v>
      </c>
      <c r="F690" s="101">
        <v>10591</v>
      </c>
      <c r="G690" s="101">
        <v>34289</v>
      </c>
      <c r="H690" s="101">
        <v>291950.04000000004</v>
      </c>
      <c r="I690" s="101">
        <v>142624.63</v>
      </c>
      <c r="J690" s="101">
        <v>461</v>
      </c>
      <c r="K690" s="101">
        <v>10960</v>
      </c>
      <c r="L690" s="101">
        <v>41959</v>
      </c>
      <c r="M690" s="101">
        <v>428406.97</v>
      </c>
      <c r="N690" s="101">
        <v>237341.296</v>
      </c>
      <c r="O690" s="101">
        <v>159</v>
      </c>
      <c r="P690" s="101">
        <v>6394</v>
      </c>
      <c r="Q690" s="101">
        <v>27480</v>
      </c>
      <c r="R690" s="101">
        <v>178994.53</v>
      </c>
      <c r="S690" s="101">
        <v>93673.766000000003</v>
      </c>
      <c r="T690" s="133">
        <v>0.98</v>
      </c>
      <c r="AG690" s="225"/>
      <c r="AH690" s="101">
        <v>30000</v>
      </c>
      <c r="AI690" s="101">
        <f t="shared" si="88"/>
        <v>24000</v>
      </c>
      <c r="AJ690" s="101">
        <f t="shared" si="89"/>
        <v>36000</v>
      </c>
    </row>
    <row r="691" spans="1:36" hidden="1" x14ac:dyDescent="0.3">
      <c r="A691" s="126" t="s">
        <v>186</v>
      </c>
      <c r="B691" s="126">
        <v>44</v>
      </c>
      <c r="C691" s="126">
        <v>28</v>
      </c>
      <c r="D691" s="126" t="str">
        <f t="shared" si="82"/>
        <v>4428</v>
      </c>
      <c r="J691" s="101">
        <v>33</v>
      </c>
      <c r="K691" s="101">
        <v>65</v>
      </c>
      <c r="L691" s="101">
        <v>1588</v>
      </c>
      <c r="M691" s="101">
        <v>86549.81</v>
      </c>
      <c r="N691" s="101">
        <v>28981.433000000001</v>
      </c>
      <c r="O691" s="101">
        <v>101</v>
      </c>
      <c r="P691" s="101">
        <v>526</v>
      </c>
      <c r="Q691" s="101">
        <v>7019</v>
      </c>
      <c r="R691" s="101">
        <v>277432.57</v>
      </c>
      <c r="S691" s="101">
        <v>80442.638999999996</v>
      </c>
      <c r="T691" s="133">
        <v>1.02</v>
      </c>
      <c r="U691" s="101">
        <v>358</v>
      </c>
      <c r="V691" s="101">
        <v>7110</v>
      </c>
      <c r="W691" s="101">
        <v>91777</v>
      </c>
      <c r="X691" s="144">
        <f t="shared" si="83"/>
        <v>282981.22140000004</v>
      </c>
      <c r="Y691" s="101">
        <v>777461</v>
      </c>
      <c r="AG691" s="225"/>
      <c r="AH691" s="101"/>
      <c r="AI691" s="101"/>
      <c r="AJ691" s="101"/>
    </row>
    <row r="692" spans="1:36" x14ac:dyDescent="0.3">
      <c r="A692" s="126" t="s">
        <v>186</v>
      </c>
      <c r="B692" s="126">
        <v>44</v>
      </c>
      <c r="C692" s="126">
        <v>91</v>
      </c>
      <c r="D692" s="126" t="str">
        <f t="shared" si="82"/>
        <v>4491</v>
      </c>
      <c r="J692" s="101">
        <v>5</v>
      </c>
      <c r="K692" s="101">
        <v>5</v>
      </c>
      <c r="L692" s="101">
        <v>15</v>
      </c>
      <c r="M692" s="101">
        <v>190.06</v>
      </c>
      <c r="N692" s="101">
        <v>175.018</v>
      </c>
      <c r="O692" s="101">
        <v>2</v>
      </c>
      <c r="P692" s="101">
        <v>3</v>
      </c>
      <c r="Q692" s="101">
        <v>8</v>
      </c>
      <c r="R692" s="101">
        <v>153.68</v>
      </c>
      <c r="S692" s="101">
        <v>70.167000000000002</v>
      </c>
      <c r="T692" s="133">
        <v>1.02</v>
      </c>
      <c r="U692" s="101">
        <f t="shared" si="84"/>
        <v>2.04</v>
      </c>
      <c r="V692" s="101">
        <f t="shared" si="85"/>
        <v>3.06</v>
      </c>
      <c r="W692" s="101">
        <f t="shared" si="86"/>
        <v>8.16</v>
      </c>
      <c r="X692" s="101">
        <f t="shared" si="83"/>
        <v>156.75360000000001</v>
      </c>
      <c r="Y692" s="101">
        <f t="shared" si="87"/>
        <v>71.570340000000002</v>
      </c>
      <c r="AG692" s="225"/>
      <c r="AH692" s="101"/>
      <c r="AI692" s="101"/>
      <c r="AJ692" s="101"/>
    </row>
    <row r="693" spans="1:36" hidden="1" x14ac:dyDescent="0.3">
      <c r="A693" s="126" t="s">
        <v>186</v>
      </c>
      <c r="B693" s="126">
        <v>44</v>
      </c>
      <c r="C693" s="126">
        <v>46</v>
      </c>
      <c r="D693" s="126" t="str">
        <f t="shared" si="82"/>
        <v>4446</v>
      </c>
      <c r="J693" s="101">
        <v>16</v>
      </c>
      <c r="K693" s="101">
        <v>22</v>
      </c>
      <c r="L693" s="101">
        <v>247</v>
      </c>
      <c r="M693" s="101">
        <v>6153.7</v>
      </c>
      <c r="N693" s="101">
        <v>782.10599999999999</v>
      </c>
      <c r="O693" s="101">
        <v>17</v>
      </c>
      <c r="P693" s="101">
        <v>18</v>
      </c>
      <c r="Q693" s="101">
        <v>506</v>
      </c>
      <c r="R693" s="101">
        <v>9372.69</v>
      </c>
      <c r="S693" s="101">
        <v>1770.9590000000001</v>
      </c>
      <c r="T693" s="133">
        <v>1.02</v>
      </c>
      <c r="U693" s="101">
        <f t="shared" si="84"/>
        <v>17.34</v>
      </c>
      <c r="V693" s="101">
        <f t="shared" si="85"/>
        <v>18.36</v>
      </c>
      <c r="W693" s="101">
        <f t="shared" si="86"/>
        <v>516.12</v>
      </c>
      <c r="X693" s="101">
        <f t="shared" si="83"/>
        <v>9560.1437999999998</v>
      </c>
      <c r="Y693" s="101">
        <f t="shared" si="87"/>
        <v>1806.3781800000002</v>
      </c>
      <c r="AG693" s="225"/>
      <c r="AH693" s="101"/>
      <c r="AI693" s="101"/>
      <c r="AJ693" s="101"/>
    </row>
    <row r="694" spans="1:36" hidden="1" x14ac:dyDescent="0.3">
      <c r="A694" s="126" t="s">
        <v>186</v>
      </c>
      <c r="B694" s="126">
        <v>44</v>
      </c>
      <c r="C694" s="126">
        <v>66</v>
      </c>
      <c r="D694" s="126" t="str">
        <f t="shared" si="82"/>
        <v>4466</v>
      </c>
      <c r="J694" s="101">
        <v>10</v>
      </c>
      <c r="K694" s="101">
        <v>15</v>
      </c>
      <c r="L694" s="101">
        <v>789</v>
      </c>
      <c r="M694" s="101">
        <v>12897.550000000001</v>
      </c>
      <c r="N694" s="101">
        <v>6813.0709999999999</v>
      </c>
      <c r="O694" s="101">
        <v>26</v>
      </c>
      <c r="P694" s="101">
        <v>65</v>
      </c>
      <c r="Q694" s="101">
        <v>2879</v>
      </c>
      <c r="R694" s="101">
        <v>19500.310000000001</v>
      </c>
      <c r="S694" s="101">
        <v>13221.163</v>
      </c>
      <c r="T694" s="133">
        <v>1.02</v>
      </c>
      <c r="U694" s="101">
        <f t="shared" si="84"/>
        <v>26.52</v>
      </c>
      <c r="V694" s="101">
        <f t="shared" si="85"/>
        <v>66.3</v>
      </c>
      <c r="W694" s="101">
        <f t="shared" si="86"/>
        <v>2936.58</v>
      </c>
      <c r="X694" s="101">
        <f t="shared" si="83"/>
        <v>19890.316200000001</v>
      </c>
      <c r="Y694" s="101">
        <f t="shared" si="87"/>
        <v>13485.58626</v>
      </c>
      <c r="AG694" s="225"/>
      <c r="AH694" s="101"/>
      <c r="AI694" s="101"/>
      <c r="AJ694" s="101"/>
    </row>
    <row r="695" spans="1:36" hidden="1" x14ac:dyDescent="0.3">
      <c r="A695" s="126" t="s">
        <v>186</v>
      </c>
      <c r="B695" s="126">
        <v>44</v>
      </c>
      <c r="C695" s="126">
        <v>41</v>
      </c>
      <c r="D695" s="126" t="str">
        <f t="shared" si="82"/>
        <v>4441</v>
      </c>
      <c r="J695" s="101">
        <v>7</v>
      </c>
      <c r="K695" s="101">
        <v>25</v>
      </c>
      <c r="L695" s="101">
        <v>240</v>
      </c>
      <c r="M695" s="101">
        <v>2365.5</v>
      </c>
      <c r="N695" s="101">
        <v>828.01599999999996</v>
      </c>
      <c r="O695" s="101">
        <v>9</v>
      </c>
      <c r="P695" s="101">
        <v>29</v>
      </c>
      <c r="Q695" s="101">
        <v>286</v>
      </c>
      <c r="R695" s="101">
        <v>2537.92</v>
      </c>
      <c r="S695" s="101">
        <v>768.774</v>
      </c>
      <c r="T695" s="133">
        <v>1.02</v>
      </c>
      <c r="U695" s="101">
        <f t="shared" si="84"/>
        <v>9.18</v>
      </c>
      <c r="V695" s="101">
        <f t="shared" si="85"/>
        <v>29.580000000000002</v>
      </c>
      <c r="W695" s="101">
        <f t="shared" si="86"/>
        <v>291.72000000000003</v>
      </c>
      <c r="X695" s="101">
        <f t="shared" si="83"/>
        <v>2588.6784000000002</v>
      </c>
      <c r="Y695" s="101">
        <f t="shared" si="87"/>
        <v>784.14948000000004</v>
      </c>
      <c r="AG695" s="225"/>
      <c r="AH695" s="101"/>
      <c r="AI695" s="101"/>
      <c r="AJ695" s="101"/>
    </row>
    <row r="696" spans="1:36" hidden="1" x14ac:dyDescent="0.3">
      <c r="A696" s="126" t="s">
        <v>186</v>
      </c>
      <c r="B696" s="126">
        <v>44</v>
      </c>
      <c r="C696" s="126">
        <v>1</v>
      </c>
      <c r="D696" s="126" t="str">
        <f t="shared" si="82"/>
        <v>441</v>
      </c>
      <c r="J696" s="101">
        <v>135</v>
      </c>
      <c r="K696" s="101">
        <v>135</v>
      </c>
      <c r="L696" s="101">
        <v>20389</v>
      </c>
      <c r="N696" s="101">
        <v>87280.035999999993</v>
      </c>
      <c r="O696" s="101">
        <v>124</v>
      </c>
      <c r="P696" s="101">
        <v>124</v>
      </c>
      <c r="Q696" s="101">
        <v>30417</v>
      </c>
      <c r="S696" s="101">
        <v>169272</v>
      </c>
      <c r="T696" s="133">
        <v>1.02</v>
      </c>
      <c r="U696" s="101">
        <f t="shared" si="84"/>
        <v>126.48</v>
      </c>
      <c r="V696" s="101">
        <f t="shared" si="85"/>
        <v>126.48</v>
      </c>
      <c r="W696" s="101">
        <f t="shared" si="86"/>
        <v>31025.34</v>
      </c>
      <c r="X696" s="101">
        <f t="shared" si="83"/>
        <v>0</v>
      </c>
      <c r="Y696" s="101">
        <f t="shared" si="87"/>
        <v>172657.44</v>
      </c>
      <c r="AG696" s="225"/>
      <c r="AH696" s="101"/>
      <c r="AI696" s="101"/>
      <c r="AJ696" s="101"/>
    </row>
    <row r="697" spans="1:36" hidden="1" x14ac:dyDescent="0.3">
      <c r="A697" s="126" t="s">
        <v>186</v>
      </c>
      <c r="B697" s="126">
        <v>44</v>
      </c>
      <c r="C697" s="126">
        <v>37</v>
      </c>
      <c r="D697" s="126" t="str">
        <f t="shared" si="82"/>
        <v>4437</v>
      </c>
      <c r="E697" s="101">
        <v>6.75</v>
      </c>
      <c r="F697" s="101">
        <v>14</v>
      </c>
      <c r="G697" s="101">
        <v>719</v>
      </c>
      <c r="H697" s="101">
        <v>12145.655000000001</v>
      </c>
      <c r="I697" s="101">
        <v>492.15199999999999</v>
      </c>
      <c r="J697" s="101">
        <v>2</v>
      </c>
      <c r="K697" s="101">
        <v>18</v>
      </c>
      <c r="L697" s="101">
        <v>6410</v>
      </c>
      <c r="M697" s="101">
        <v>7270.7</v>
      </c>
      <c r="N697" s="101">
        <v>2311.7559999999999</v>
      </c>
      <c r="O697" s="101">
        <v>3</v>
      </c>
      <c r="P697" s="101">
        <v>3</v>
      </c>
      <c r="Q697" s="101">
        <v>2732</v>
      </c>
      <c r="R697" s="101">
        <v>2923.56</v>
      </c>
      <c r="S697" s="101">
        <v>509.46</v>
      </c>
      <c r="T697" s="133">
        <v>1.02</v>
      </c>
      <c r="U697" s="101">
        <f t="shared" si="84"/>
        <v>3.06</v>
      </c>
      <c r="V697" s="101">
        <f t="shared" si="85"/>
        <v>3.06</v>
      </c>
      <c r="W697" s="101">
        <f t="shared" si="86"/>
        <v>2786.64</v>
      </c>
      <c r="X697" s="101">
        <f t="shared" si="83"/>
        <v>2982.0311999999999</v>
      </c>
      <c r="Y697" s="101">
        <f t="shared" si="87"/>
        <v>519.64919999999995</v>
      </c>
      <c r="AG697" s="225"/>
      <c r="AH697" s="101">
        <v>30000</v>
      </c>
      <c r="AI697" s="101">
        <f t="shared" si="88"/>
        <v>24000</v>
      </c>
      <c r="AJ697" s="101">
        <f t="shared" si="89"/>
        <v>36000</v>
      </c>
    </row>
    <row r="698" spans="1:36" hidden="1" x14ac:dyDescent="0.3">
      <c r="A698" s="126" t="s">
        <v>187</v>
      </c>
      <c r="B698" s="126">
        <v>45</v>
      </c>
      <c r="C698" s="126">
        <v>22</v>
      </c>
      <c r="D698" s="126" t="str">
        <f t="shared" si="82"/>
        <v>4522</v>
      </c>
      <c r="E698" s="101">
        <v>530</v>
      </c>
      <c r="F698" s="101">
        <v>4779</v>
      </c>
      <c r="G698" s="101">
        <v>103235</v>
      </c>
      <c r="H698" s="101">
        <v>412026.68999999994</v>
      </c>
      <c r="I698" s="101">
        <v>277035.24400000001</v>
      </c>
      <c r="J698" s="101">
        <v>1381</v>
      </c>
      <c r="K698" s="101">
        <v>6220</v>
      </c>
      <c r="L698" s="101">
        <v>63838</v>
      </c>
      <c r="M698" s="101">
        <v>613332.39999999991</v>
      </c>
      <c r="N698" s="101">
        <v>357389.36600000004</v>
      </c>
      <c r="O698" s="101">
        <v>568</v>
      </c>
      <c r="P698" s="101">
        <v>4207</v>
      </c>
      <c r="Q698" s="101">
        <v>41299</v>
      </c>
      <c r="R698" s="101">
        <v>264822</v>
      </c>
      <c r="S698" s="101">
        <v>174256</v>
      </c>
      <c r="T698" s="133">
        <v>1.02</v>
      </c>
      <c r="U698" s="101">
        <f t="shared" si="84"/>
        <v>579.36</v>
      </c>
      <c r="V698" s="101">
        <f t="shared" si="85"/>
        <v>4291.1400000000003</v>
      </c>
      <c r="W698" s="101">
        <f t="shared" si="86"/>
        <v>42124.98</v>
      </c>
      <c r="X698" s="101">
        <f t="shared" si="83"/>
        <v>270118.44</v>
      </c>
      <c r="Y698" s="101">
        <f t="shared" si="87"/>
        <v>177741.12</v>
      </c>
      <c r="AG698" s="225">
        <f>SUM(V698:V713)</f>
        <v>39462.300000000003</v>
      </c>
      <c r="AH698" s="101">
        <v>30000</v>
      </c>
      <c r="AI698" s="101">
        <f t="shared" si="88"/>
        <v>24000</v>
      </c>
      <c r="AJ698" s="101">
        <f t="shared" si="89"/>
        <v>36000</v>
      </c>
    </row>
    <row r="699" spans="1:36" hidden="1" x14ac:dyDescent="0.3">
      <c r="A699" s="126" t="s">
        <v>187</v>
      </c>
      <c r="B699" s="126">
        <v>45</v>
      </c>
      <c r="C699" s="126">
        <v>25</v>
      </c>
      <c r="D699" s="126" t="str">
        <f t="shared" si="82"/>
        <v>4525</v>
      </c>
      <c r="E699" s="101">
        <v>148</v>
      </c>
      <c r="F699" s="101">
        <v>1227</v>
      </c>
      <c r="G699" s="101">
        <v>34672</v>
      </c>
      <c r="H699" s="101">
        <v>376845.95999999996</v>
      </c>
      <c r="I699" s="101">
        <v>156770.32100000003</v>
      </c>
      <c r="J699" s="101">
        <v>151</v>
      </c>
      <c r="K699" s="101">
        <v>2074</v>
      </c>
      <c r="L699" s="101">
        <v>112101</v>
      </c>
      <c r="M699" s="101">
        <v>787626.99000000011</v>
      </c>
      <c r="N699" s="101">
        <v>482280.527</v>
      </c>
      <c r="O699" s="101">
        <v>419</v>
      </c>
      <c r="P699" s="101">
        <v>4177</v>
      </c>
      <c r="Q699" s="101">
        <v>64503</v>
      </c>
      <c r="R699" s="101">
        <v>1004693</v>
      </c>
      <c r="S699" s="101">
        <v>486512</v>
      </c>
      <c r="T699" s="133">
        <v>1.02</v>
      </c>
      <c r="U699" s="101">
        <f t="shared" si="84"/>
        <v>427.38</v>
      </c>
      <c r="V699" s="101">
        <f t="shared" si="85"/>
        <v>4260.54</v>
      </c>
      <c r="W699" s="101">
        <f t="shared" si="86"/>
        <v>65793.06</v>
      </c>
      <c r="X699" s="101">
        <f t="shared" si="83"/>
        <v>1024786.86</v>
      </c>
      <c r="Y699" s="101">
        <f t="shared" si="87"/>
        <v>496242.24</v>
      </c>
      <c r="AG699" s="225"/>
      <c r="AH699" s="101">
        <v>30000</v>
      </c>
      <c r="AI699" s="101">
        <f t="shared" si="88"/>
        <v>24000</v>
      </c>
      <c r="AJ699" s="101">
        <f t="shared" si="89"/>
        <v>36000</v>
      </c>
    </row>
    <row r="700" spans="1:36" hidden="1" x14ac:dyDescent="0.3">
      <c r="A700" s="126" t="s">
        <v>187</v>
      </c>
      <c r="B700" s="126">
        <v>45</v>
      </c>
      <c r="C700" s="126">
        <v>27</v>
      </c>
      <c r="D700" s="126" t="str">
        <f t="shared" si="82"/>
        <v>4527</v>
      </c>
      <c r="E700" s="101">
        <v>10</v>
      </c>
      <c r="F700" s="101">
        <v>470</v>
      </c>
      <c r="G700" s="101">
        <v>3649</v>
      </c>
      <c r="H700" s="101">
        <v>43091.97</v>
      </c>
      <c r="I700" s="101">
        <v>12700.606</v>
      </c>
      <c r="J700" s="101">
        <v>4</v>
      </c>
      <c r="K700" s="101">
        <v>63</v>
      </c>
      <c r="L700" s="101">
        <v>484</v>
      </c>
      <c r="M700" s="101">
        <v>8296.44</v>
      </c>
      <c r="N700" s="101">
        <v>3631.5519999999997</v>
      </c>
      <c r="O700" s="101">
        <v>14</v>
      </c>
      <c r="P700" s="101">
        <v>66</v>
      </c>
      <c r="Q700" s="101">
        <v>1030</v>
      </c>
      <c r="R700" s="101">
        <v>14842</v>
      </c>
      <c r="S700" s="101">
        <v>13757</v>
      </c>
      <c r="T700" s="133">
        <v>1.02</v>
      </c>
      <c r="U700" s="101">
        <f t="shared" si="84"/>
        <v>14.280000000000001</v>
      </c>
      <c r="V700" s="101">
        <f t="shared" si="85"/>
        <v>67.320000000000007</v>
      </c>
      <c r="W700" s="101">
        <f t="shared" si="86"/>
        <v>1050.5999999999999</v>
      </c>
      <c r="X700" s="101">
        <f t="shared" si="83"/>
        <v>15138.84</v>
      </c>
      <c r="Y700" s="101">
        <f t="shared" si="87"/>
        <v>14032.14</v>
      </c>
      <c r="AG700" s="225"/>
      <c r="AH700" s="101">
        <v>30000</v>
      </c>
      <c r="AI700" s="101">
        <f t="shared" si="88"/>
        <v>24000</v>
      </c>
      <c r="AJ700" s="101">
        <f t="shared" si="89"/>
        <v>36000</v>
      </c>
    </row>
    <row r="701" spans="1:36" hidden="1" x14ac:dyDescent="0.3">
      <c r="A701" s="126" t="s">
        <v>187</v>
      </c>
      <c r="B701" s="126">
        <v>45</v>
      </c>
      <c r="C701" s="126">
        <v>26</v>
      </c>
      <c r="D701" s="126" t="str">
        <f t="shared" si="82"/>
        <v>4526</v>
      </c>
      <c r="E701" s="101">
        <v>94</v>
      </c>
      <c r="F701" s="101">
        <v>2411</v>
      </c>
      <c r="G701" s="101">
        <v>20795</v>
      </c>
      <c r="H701" s="101">
        <v>310829.89</v>
      </c>
      <c r="I701" s="101">
        <v>106208.99900000001</v>
      </c>
      <c r="J701" s="101">
        <v>54</v>
      </c>
      <c r="K701" s="101">
        <v>2628</v>
      </c>
      <c r="L701" s="101">
        <v>29437</v>
      </c>
      <c r="M701" s="101">
        <v>362434.37</v>
      </c>
      <c r="N701" s="101">
        <v>136776.73300000001</v>
      </c>
      <c r="O701" s="101">
        <v>12</v>
      </c>
      <c r="P701" s="101">
        <v>769</v>
      </c>
      <c r="Q701" s="101">
        <v>8271</v>
      </c>
      <c r="R701" s="101">
        <v>125603</v>
      </c>
      <c r="S701" s="101">
        <v>42436</v>
      </c>
      <c r="T701" s="133">
        <v>1.02</v>
      </c>
      <c r="U701" s="101">
        <f t="shared" si="84"/>
        <v>12.24</v>
      </c>
      <c r="V701" s="101">
        <f t="shared" si="85"/>
        <v>784.38</v>
      </c>
      <c r="W701" s="101">
        <f t="shared" si="86"/>
        <v>8436.42</v>
      </c>
      <c r="X701" s="101">
        <f t="shared" si="83"/>
        <v>128115.06</v>
      </c>
      <c r="Y701" s="101">
        <f t="shared" si="87"/>
        <v>43284.72</v>
      </c>
      <c r="AG701" s="225"/>
      <c r="AH701" s="101">
        <v>30000</v>
      </c>
      <c r="AI701" s="101">
        <f t="shared" si="88"/>
        <v>24000</v>
      </c>
      <c r="AJ701" s="101">
        <f t="shared" si="89"/>
        <v>36000</v>
      </c>
    </row>
    <row r="702" spans="1:36" hidden="1" x14ac:dyDescent="0.3">
      <c r="A702" s="126" t="s">
        <v>187</v>
      </c>
      <c r="B702" s="126">
        <v>45</v>
      </c>
      <c r="C702" s="126">
        <v>32</v>
      </c>
      <c r="D702" s="126" t="str">
        <f t="shared" si="82"/>
        <v>4532</v>
      </c>
      <c r="E702" s="101">
        <v>440</v>
      </c>
      <c r="F702" s="101">
        <v>930</v>
      </c>
      <c r="G702" s="101">
        <v>21402</v>
      </c>
      <c r="H702" s="101">
        <v>487026.4</v>
      </c>
      <c r="I702" s="101">
        <v>206326.201</v>
      </c>
      <c r="J702" s="101">
        <v>224</v>
      </c>
      <c r="K702" s="101">
        <v>630</v>
      </c>
      <c r="L702" s="101">
        <v>30213</v>
      </c>
      <c r="M702" s="101">
        <v>117181.84999999999</v>
      </c>
      <c r="N702" s="101">
        <v>206179.698</v>
      </c>
      <c r="O702" s="101">
        <v>269</v>
      </c>
      <c r="P702" s="101">
        <v>1985</v>
      </c>
      <c r="Q702" s="101">
        <v>57131</v>
      </c>
      <c r="R702" s="101">
        <v>500890</v>
      </c>
      <c r="S702" s="101">
        <v>186607</v>
      </c>
      <c r="T702" s="133">
        <v>1.02</v>
      </c>
      <c r="U702" s="101">
        <f>O702*$T$5+8</f>
        <v>282.38</v>
      </c>
      <c r="V702" s="101">
        <f>P702*$T$5+54</f>
        <v>2078.6999999999998</v>
      </c>
      <c r="W702" s="101">
        <f>Q702*$T$5+9217</f>
        <v>67490.62</v>
      </c>
      <c r="X702" s="101">
        <f>R702*$T$5+88328</f>
        <v>599235.80000000005</v>
      </c>
      <c r="Y702" s="101">
        <f>S702*$T$5+69918</f>
        <v>260257.14</v>
      </c>
      <c r="AG702" s="225"/>
      <c r="AH702" s="101">
        <v>30000</v>
      </c>
      <c r="AI702" s="101">
        <f t="shared" si="88"/>
        <v>24000</v>
      </c>
      <c r="AJ702" s="101">
        <f t="shared" si="89"/>
        <v>36000</v>
      </c>
    </row>
    <row r="703" spans="1:36" hidden="1" x14ac:dyDescent="0.3">
      <c r="A703" s="126" t="s">
        <v>187</v>
      </c>
      <c r="B703" s="126">
        <v>45</v>
      </c>
      <c r="C703" s="126">
        <v>21</v>
      </c>
      <c r="D703" s="126" t="str">
        <f t="shared" si="82"/>
        <v>4521</v>
      </c>
      <c r="E703" s="101">
        <v>922.5</v>
      </c>
      <c r="F703" s="101">
        <v>6424.5</v>
      </c>
      <c r="G703" s="101">
        <v>37668</v>
      </c>
      <c r="H703" s="101">
        <v>464265.05000000005</v>
      </c>
      <c r="I703" s="101">
        <v>123178.67850000001</v>
      </c>
      <c r="J703" s="101">
        <v>0</v>
      </c>
      <c r="K703" s="101">
        <v>0</v>
      </c>
      <c r="L703" s="101">
        <v>0</v>
      </c>
      <c r="M703" s="101">
        <v>0</v>
      </c>
      <c r="N703" s="101">
        <v>0</v>
      </c>
      <c r="O703" s="101">
        <v>95</v>
      </c>
      <c r="P703" s="101">
        <v>400</v>
      </c>
      <c r="Q703" s="101">
        <v>5705</v>
      </c>
      <c r="R703" s="101">
        <v>65199</v>
      </c>
      <c r="S703" s="101">
        <v>35606</v>
      </c>
      <c r="T703" s="133">
        <v>1.02</v>
      </c>
      <c r="U703" s="101">
        <v>1223</v>
      </c>
      <c r="V703" s="101">
        <v>10596</v>
      </c>
      <c r="W703" s="101">
        <v>67215</v>
      </c>
      <c r="X703" s="101">
        <v>908935</v>
      </c>
      <c r="Y703" s="101">
        <v>270840</v>
      </c>
      <c r="AG703" s="225"/>
      <c r="AH703" s="101">
        <v>30000</v>
      </c>
      <c r="AI703" s="101">
        <f t="shared" si="88"/>
        <v>24000</v>
      </c>
      <c r="AJ703" s="101">
        <f t="shared" si="89"/>
        <v>36000</v>
      </c>
    </row>
    <row r="704" spans="1:36" hidden="1" x14ac:dyDescent="0.3">
      <c r="A704" s="126" t="s">
        <v>187</v>
      </c>
      <c r="B704" s="126">
        <v>45</v>
      </c>
      <c r="C704" s="126">
        <v>30</v>
      </c>
      <c r="D704" s="126" t="str">
        <f t="shared" si="82"/>
        <v>4530</v>
      </c>
      <c r="E704" s="101">
        <v>306.5</v>
      </c>
      <c r="F704" s="101">
        <v>4947.5</v>
      </c>
      <c r="G704" s="101">
        <v>20836.5</v>
      </c>
      <c r="H704" s="101">
        <v>485326.79500000004</v>
      </c>
      <c r="I704" s="101">
        <v>167408.35999999999</v>
      </c>
      <c r="J704" s="101">
        <v>574</v>
      </c>
      <c r="K704" s="101">
        <v>10890</v>
      </c>
      <c r="L704" s="101">
        <v>45149</v>
      </c>
      <c r="M704" s="101">
        <v>1144513.32</v>
      </c>
      <c r="N704" s="101">
        <v>300122.04099999997</v>
      </c>
      <c r="O704" s="101">
        <v>465</v>
      </c>
      <c r="P704" s="101">
        <v>10850</v>
      </c>
      <c r="Q704" s="101">
        <v>42117</v>
      </c>
      <c r="R704" s="101">
        <v>759100</v>
      </c>
      <c r="S704" s="101">
        <v>279852</v>
      </c>
      <c r="T704" s="133">
        <v>1.02</v>
      </c>
      <c r="U704" s="101">
        <f t="shared" si="84"/>
        <v>474.3</v>
      </c>
      <c r="V704" s="101">
        <f t="shared" si="85"/>
        <v>11067</v>
      </c>
      <c r="W704" s="101">
        <f t="shared" si="86"/>
        <v>42959.340000000004</v>
      </c>
      <c r="X704" s="101">
        <f t="shared" si="83"/>
        <v>774282</v>
      </c>
      <c r="Y704" s="101">
        <f t="shared" si="87"/>
        <v>285449.03999999998</v>
      </c>
      <c r="AG704" s="225"/>
      <c r="AH704" s="101">
        <v>30000</v>
      </c>
      <c r="AI704" s="101">
        <f t="shared" si="88"/>
        <v>24000</v>
      </c>
      <c r="AJ704" s="101">
        <f t="shared" si="89"/>
        <v>36000</v>
      </c>
    </row>
    <row r="705" spans="1:36" hidden="1" x14ac:dyDescent="0.3">
      <c r="A705" s="126" t="s">
        <v>187</v>
      </c>
      <c r="B705" s="126">
        <v>45</v>
      </c>
      <c r="C705" s="126">
        <v>71</v>
      </c>
      <c r="D705" s="126" t="str">
        <f t="shared" si="82"/>
        <v>4571</v>
      </c>
      <c r="E705" s="101">
        <v>691.5</v>
      </c>
      <c r="F705" s="101">
        <v>9071.5</v>
      </c>
      <c r="G705" s="101">
        <v>39524</v>
      </c>
      <c r="H705" s="101">
        <v>351780.995</v>
      </c>
      <c r="I705" s="101">
        <v>213428.78350000002</v>
      </c>
      <c r="J705" s="101">
        <v>487</v>
      </c>
      <c r="K705" s="101">
        <v>8988</v>
      </c>
      <c r="L705" s="101">
        <v>30447</v>
      </c>
      <c r="M705" s="101">
        <v>243759.15999999997</v>
      </c>
      <c r="N705" s="101">
        <v>120159.28900000002</v>
      </c>
      <c r="O705" s="101">
        <v>333</v>
      </c>
      <c r="P705" s="101">
        <v>13940</v>
      </c>
      <c r="Q705" s="101">
        <v>82834</v>
      </c>
      <c r="R705" s="101">
        <v>589459</v>
      </c>
      <c r="S705" s="101">
        <v>325194</v>
      </c>
      <c r="T705" s="133">
        <v>0.98</v>
      </c>
      <c r="AG705" s="225"/>
      <c r="AH705" s="101">
        <v>30000</v>
      </c>
      <c r="AI705" s="101">
        <f t="shared" si="88"/>
        <v>24000</v>
      </c>
      <c r="AJ705" s="101">
        <f t="shared" si="89"/>
        <v>36000</v>
      </c>
    </row>
    <row r="706" spans="1:36" hidden="1" x14ac:dyDescent="0.3">
      <c r="A706" s="126" t="s">
        <v>187</v>
      </c>
      <c r="B706" s="126">
        <v>45</v>
      </c>
      <c r="C706" s="126">
        <v>28</v>
      </c>
      <c r="D706" s="126" t="str">
        <f t="shared" si="82"/>
        <v>4528</v>
      </c>
      <c r="J706" s="101">
        <v>126</v>
      </c>
      <c r="K706" s="101">
        <v>546</v>
      </c>
      <c r="L706" s="101">
        <v>13924</v>
      </c>
      <c r="M706" s="101">
        <v>199251.7</v>
      </c>
      <c r="N706" s="101">
        <v>49255.630999999994</v>
      </c>
      <c r="O706" s="101">
        <v>68</v>
      </c>
      <c r="P706" s="101">
        <v>419</v>
      </c>
      <c r="Q706" s="101">
        <v>3565</v>
      </c>
      <c r="R706" s="101">
        <v>61623</v>
      </c>
      <c r="S706" s="101">
        <v>18316</v>
      </c>
      <c r="T706" s="133">
        <v>1.02</v>
      </c>
      <c r="U706" s="101">
        <v>302</v>
      </c>
      <c r="V706" s="101">
        <v>6051</v>
      </c>
      <c r="W706" s="101">
        <v>55116</v>
      </c>
      <c r="X706" s="144">
        <f t="shared" si="83"/>
        <v>62855.46</v>
      </c>
      <c r="Y706" s="101">
        <v>273964</v>
      </c>
      <c r="AG706" s="225"/>
      <c r="AH706" s="101"/>
      <c r="AI706" s="101"/>
      <c r="AJ706" s="101"/>
    </row>
    <row r="707" spans="1:36" hidden="1" x14ac:dyDescent="0.3">
      <c r="A707" s="126" t="s">
        <v>187</v>
      </c>
      <c r="B707" s="126">
        <v>45</v>
      </c>
      <c r="C707" s="126">
        <v>34</v>
      </c>
      <c r="D707" s="126" t="str">
        <f t="shared" si="82"/>
        <v>4534</v>
      </c>
      <c r="J707" s="101">
        <v>1</v>
      </c>
      <c r="K707" s="101">
        <v>1</v>
      </c>
      <c r="L707" s="101">
        <v>30</v>
      </c>
      <c r="M707" s="101">
        <v>123</v>
      </c>
      <c r="N707" s="101">
        <v>113.905</v>
      </c>
      <c r="O707" s="101">
        <v>0</v>
      </c>
      <c r="P707" s="101">
        <v>0</v>
      </c>
      <c r="Q707" s="101">
        <v>0</v>
      </c>
      <c r="R707" s="101">
        <v>0</v>
      </c>
      <c r="S707" s="101">
        <v>0</v>
      </c>
      <c r="T707" s="133">
        <v>1.02</v>
      </c>
      <c r="U707" s="101">
        <f t="shared" si="84"/>
        <v>0</v>
      </c>
      <c r="V707" s="101">
        <f t="shared" si="85"/>
        <v>0</v>
      </c>
      <c r="W707" s="101">
        <f t="shared" si="86"/>
        <v>0</v>
      </c>
      <c r="X707" s="101">
        <f t="shared" si="83"/>
        <v>0</v>
      </c>
      <c r="Y707" s="101">
        <f t="shared" si="87"/>
        <v>0</v>
      </c>
      <c r="AG707" s="225"/>
      <c r="AH707" s="101"/>
      <c r="AI707" s="101"/>
      <c r="AJ707" s="101"/>
    </row>
    <row r="708" spans="1:36" hidden="1" x14ac:dyDescent="0.3">
      <c r="A708" s="126" t="s">
        <v>187</v>
      </c>
      <c r="B708" s="126">
        <v>45</v>
      </c>
      <c r="C708" s="126">
        <v>41</v>
      </c>
      <c r="D708" s="126" t="str">
        <f t="shared" si="82"/>
        <v>4541</v>
      </c>
      <c r="J708" s="101">
        <v>14</v>
      </c>
      <c r="K708" s="101">
        <v>65</v>
      </c>
      <c r="L708" s="101">
        <v>568</v>
      </c>
      <c r="M708" s="101">
        <v>3179.51</v>
      </c>
      <c r="N708" s="101">
        <v>922.84500000000003</v>
      </c>
      <c r="O708" s="101">
        <v>5</v>
      </c>
      <c r="P708" s="101">
        <v>6</v>
      </c>
      <c r="Q708" s="101">
        <v>25</v>
      </c>
      <c r="R708" s="101">
        <v>414</v>
      </c>
      <c r="S708" s="101">
        <v>80</v>
      </c>
      <c r="T708" s="133">
        <v>1.02</v>
      </c>
      <c r="U708" s="101">
        <f t="shared" si="84"/>
        <v>5.0999999999999996</v>
      </c>
      <c r="V708" s="101">
        <f t="shared" si="85"/>
        <v>6.12</v>
      </c>
      <c r="W708" s="101">
        <f t="shared" si="86"/>
        <v>25.5</v>
      </c>
      <c r="X708" s="101">
        <f t="shared" si="83"/>
        <v>422.28000000000003</v>
      </c>
      <c r="Y708" s="101">
        <f t="shared" si="87"/>
        <v>81.599999999999994</v>
      </c>
      <c r="AG708" s="225"/>
      <c r="AH708" s="101"/>
      <c r="AI708" s="101"/>
      <c r="AJ708" s="101"/>
    </row>
    <row r="709" spans="1:36" hidden="1" x14ac:dyDescent="0.3">
      <c r="A709" s="126" t="s">
        <v>187</v>
      </c>
      <c r="B709" s="126">
        <v>45</v>
      </c>
      <c r="C709" s="126">
        <v>46</v>
      </c>
      <c r="D709" s="126" t="str">
        <f t="shared" si="82"/>
        <v>4546</v>
      </c>
      <c r="J709" s="101">
        <v>18</v>
      </c>
      <c r="K709" s="101">
        <v>21</v>
      </c>
      <c r="L709" s="101">
        <v>3562</v>
      </c>
      <c r="M709" s="101">
        <v>19241.22</v>
      </c>
      <c r="N709" s="101">
        <v>1123.77</v>
      </c>
      <c r="O709" s="101">
        <v>22</v>
      </c>
      <c r="P709" s="101">
        <v>24</v>
      </c>
      <c r="Q709" s="101">
        <v>304</v>
      </c>
      <c r="R709" s="101">
        <v>6595</v>
      </c>
      <c r="S709" s="101">
        <v>1006</v>
      </c>
      <c r="T709" s="133">
        <v>1.02</v>
      </c>
      <c r="U709" s="101">
        <f t="shared" si="84"/>
        <v>22.44</v>
      </c>
      <c r="V709" s="101">
        <f t="shared" si="85"/>
        <v>24.48</v>
      </c>
      <c r="W709" s="101">
        <f t="shared" si="86"/>
        <v>310.08</v>
      </c>
      <c r="X709" s="101">
        <f t="shared" si="83"/>
        <v>6726.9000000000005</v>
      </c>
      <c r="Y709" s="101">
        <f t="shared" si="87"/>
        <v>1026.1200000000001</v>
      </c>
      <c r="AG709" s="225"/>
      <c r="AH709" s="101"/>
      <c r="AI709" s="101"/>
      <c r="AJ709" s="101"/>
    </row>
    <row r="710" spans="1:36" hidden="1" x14ac:dyDescent="0.3">
      <c r="A710" s="126" t="s">
        <v>187</v>
      </c>
      <c r="B710" s="126">
        <v>45</v>
      </c>
      <c r="C710" s="126">
        <v>66</v>
      </c>
      <c r="D710" s="126" t="str">
        <f t="shared" si="82"/>
        <v>4566</v>
      </c>
      <c r="J710" s="101">
        <v>19</v>
      </c>
      <c r="K710" s="101">
        <v>27</v>
      </c>
      <c r="L710" s="101">
        <v>506</v>
      </c>
      <c r="M710" s="101">
        <v>9625.6799999999985</v>
      </c>
      <c r="N710" s="101">
        <v>3945.7019999999998</v>
      </c>
      <c r="O710" s="101">
        <v>60</v>
      </c>
      <c r="P710" s="101">
        <v>109</v>
      </c>
      <c r="Q710" s="101">
        <v>6728</v>
      </c>
      <c r="R710" s="101">
        <v>47398</v>
      </c>
      <c r="S710" s="101">
        <v>62450</v>
      </c>
      <c r="T710" s="133">
        <v>1.02</v>
      </c>
      <c r="U710" s="101">
        <f t="shared" si="84"/>
        <v>61.2</v>
      </c>
      <c r="V710" s="101">
        <f t="shared" si="85"/>
        <v>111.18</v>
      </c>
      <c r="W710" s="101">
        <f t="shared" si="86"/>
        <v>6862.56</v>
      </c>
      <c r="X710" s="101">
        <f t="shared" ref="X710:X773" si="90">R710*T710</f>
        <v>48345.96</v>
      </c>
      <c r="Y710" s="101">
        <f t="shared" si="87"/>
        <v>63699</v>
      </c>
      <c r="AG710" s="225"/>
      <c r="AH710" s="101"/>
      <c r="AI710" s="101"/>
      <c r="AJ710" s="101"/>
    </row>
    <row r="711" spans="1:36" x14ac:dyDescent="0.3">
      <c r="A711" s="126" t="s">
        <v>187</v>
      </c>
      <c r="B711" s="126">
        <v>45</v>
      </c>
      <c r="C711" s="126">
        <v>91</v>
      </c>
      <c r="D711" s="126"/>
      <c r="J711" s="101">
        <v>7</v>
      </c>
      <c r="K711" s="101">
        <v>20</v>
      </c>
      <c r="L711" s="101">
        <v>67</v>
      </c>
      <c r="M711" s="101">
        <v>1853.18</v>
      </c>
      <c r="N711" s="101">
        <v>957.26499999999999</v>
      </c>
      <c r="O711" s="101">
        <v>0</v>
      </c>
      <c r="P711" s="101">
        <v>0</v>
      </c>
      <c r="Q711" s="101">
        <v>0</v>
      </c>
      <c r="R711" s="101">
        <v>0</v>
      </c>
      <c r="S711" s="101">
        <v>0</v>
      </c>
      <c r="T711" s="133">
        <v>1.02</v>
      </c>
      <c r="U711" s="101">
        <f t="shared" ref="U711:U774" si="91">O711*T711</f>
        <v>0</v>
      </c>
      <c r="V711" s="101">
        <f t="shared" ref="V711:V774" si="92">P711*T711</f>
        <v>0</v>
      </c>
      <c r="W711" s="101">
        <f t="shared" ref="W711:W774" si="93">Q711*T711</f>
        <v>0</v>
      </c>
      <c r="X711" s="101">
        <f t="shared" si="90"/>
        <v>0</v>
      </c>
      <c r="Y711" s="101">
        <f t="shared" ref="Y711:Y774" si="94">S711*T711</f>
        <v>0</v>
      </c>
      <c r="AG711" s="225"/>
      <c r="AH711" s="101"/>
      <c r="AI711" s="101"/>
      <c r="AJ711" s="101"/>
    </row>
    <row r="712" spans="1:36" hidden="1" x14ac:dyDescent="0.3">
      <c r="A712" s="126" t="s">
        <v>187</v>
      </c>
      <c r="B712" s="126">
        <v>45</v>
      </c>
      <c r="C712" s="126">
        <v>1</v>
      </c>
      <c r="D712" s="126" t="str">
        <f t="shared" si="82"/>
        <v>451</v>
      </c>
      <c r="J712" s="101">
        <v>176</v>
      </c>
      <c r="K712" s="101">
        <v>176</v>
      </c>
      <c r="L712" s="101">
        <v>67060</v>
      </c>
      <c r="N712" s="101">
        <v>239011</v>
      </c>
      <c r="O712" s="101">
        <v>119</v>
      </c>
      <c r="P712" s="101">
        <v>119</v>
      </c>
      <c r="Q712" s="101">
        <v>41649</v>
      </c>
      <c r="S712" s="101">
        <v>303659</v>
      </c>
      <c r="T712" s="133">
        <v>1.02</v>
      </c>
      <c r="U712" s="101">
        <f t="shared" si="91"/>
        <v>121.38</v>
      </c>
      <c r="V712" s="101">
        <f t="shared" si="92"/>
        <v>121.38</v>
      </c>
      <c r="W712" s="101">
        <f t="shared" si="93"/>
        <v>42481.98</v>
      </c>
      <c r="X712" s="101">
        <f t="shared" si="90"/>
        <v>0</v>
      </c>
      <c r="Y712" s="101">
        <f t="shared" si="94"/>
        <v>309732.18</v>
      </c>
      <c r="AG712" s="225"/>
      <c r="AH712" s="101"/>
      <c r="AI712" s="101"/>
      <c r="AJ712" s="101"/>
    </row>
    <row r="713" spans="1:36" hidden="1" x14ac:dyDescent="0.3">
      <c r="A713" s="126" t="s">
        <v>187</v>
      </c>
      <c r="B713" s="126">
        <v>45</v>
      </c>
      <c r="C713" s="126">
        <v>37</v>
      </c>
      <c r="D713" s="126" t="str">
        <f t="shared" si="82"/>
        <v>4537</v>
      </c>
      <c r="E713" s="101">
        <v>7.5</v>
      </c>
      <c r="F713" s="101">
        <v>41.25</v>
      </c>
      <c r="G713" s="101">
        <v>2381</v>
      </c>
      <c r="H713" s="101">
        <v>4923.5474999999997</v>
      </c>
      <c r="I713" s="101">
        <v>2566.9924999999998</v>
      </c>
      <c r="J713" s="101">
        <v>5</v>
      </c>
      <c r="K713" s="101">
        <v>10</v>
      </c>
      <c r="L713" s="101">
        <v>13068</v>
      </c>
      <c r="M713" s="101">
        <v>15275.119999999999</v>
      </c>
      <c r="N713" s="101">
        <v>9134.2160000000003</v>
      </c>
      <c r="O713" s="101">
        <v>3</v>
      </c>
      <c r="P713" s="101">
        <v>3</v>
      </c>
      <c r="Q713" s="101">
        <v>4145</v>
      </c>
      <c r="R713" s="101">
        <v>1833</v>
      </c>
      <c r="S713" s="101">
        <v>202</v>
      </c>
      <c r="T713" s="133">
        <v>1.02</v>
      </c>
      <c r="U713" s="101">
        <f t="shared" si="91"/>
        <v>3.06</v>
      </c>
      <c r="V713" s="101">
        <f t="shared" si="92"/>
        <v>3.06</v>
      </c>
      <c r="W713" s="101">
        <f t="shared" si="93"/>
        <v>4227.8999999999996</v>
      </c>
      <c r="X713" s="101">
        <f t="shared" si="90"/>
        <v>1869.66</v>
      </c>
      <c r="Y713" s="101">
        <f t="shared" si="94"/>
        <v>206.04</v>
      </c>
      <c r="AG713" s="225"/>
      <c r="AH713" s="101">
        <v>30000</v>
      </c>
      <c r="AI713" s="101">
        <f t="shared" si="88"/>
        <v>24000</v>
      </c>
      <c r="AJ713" s="101">
        <f t="shared" si="89"/>
        <v>36000</v>
      </c>
    </row>
    <row r="714" spans="1:36" hidden="1" x14ac:dyDescent="0.3">
      <c r="A714" s="126" t="s">
        <v>187</v>
      </c>
      <c r="B714" s="126">
        <v>46</v>
      </c>
      <c r="C714" s="126">
        <v>22</v>
      </c>
      <c r="D714" s="126" t="str">
        <f t="shared" si="82"/>
        <v>4622</v>
      </c>
      <c r="E714" s="101">
        <v>817</v>
      </c>
      <c r="F714" s="101">
        <v>4759</v>
      </c>
      <c r="G714" s="101">
        <v>54993</v>
      </c>
      <c r="H714" s="101">
        <v>645195.12</v>
      </c>
      <c r="I714" s="101">
        <v>418033.71499999997</v>
      </c>
      <c r="J714" s="101">
        <v>626</v>
      </c>
      <c r="K714" s="101">
        <v>5270</v>
      </c>
      <c r="L714" s="101">
        <v>52935</v>
      </c>
      <c r="M714" s="101">
        <v>297966.91000000003</v>
      </c>
      <c r="N714" s="101">
        <v>164687.24999999997</v>
      </c>
      <c r="O714" s="101">
        <v>525</v>
      </c>
      <c r="P714" s="101">
        <v>3452</v>
      </c>
      <c r="Q714" s="101">
        <v>39395</v>
      </c>
      <c r="R714" s="101">
        <v>217271</v>
      </c>
      <c r="S714" s="101">
        <v>148373</v>
      </c>
      <c r="T714" s="133">
        <v>1.02</v>
      </c>
      <c r="U714" s="101">
        <f t="shared" si="91"/>
        <v>535.5</v>
      </c>
      <c r="V714" s="101">
        <f t="shared" si="92"/>
        <v>3521.04</v>
      </c>
      <c r="W714" s="101">
        <f t="shared" si="93"/>
        <v>40182.9</v>
      </c>
      <c r="X714" s="101">
        <f t="shared" si="90"/>
        <v>221616.42</v>
      </c>
      <c r="Y714" s="101">
        <f t="shared" si="94"/>
        <v>151340.46</v>
      </c>
      <c r="AG714" s="225">
        <f>SUM(V714:V729)</f>
        <v>31632.7</v>
      </c>
      <c r="AH714" s="101">
        <v>30000</v>
      </c>
      <c r="AI714" s="101">
        <f t="shared" si="88"/>
        <v>24000</v>
      </c>
      <c r="AJ714" s="101">
        <f t="shared" si="89"/>
        <v>36000</v>
      </c>
    </row>
    <row r="715" spans="1:36" hidden="1" x14ac:dyDescent="0.3">
      <c r="A715" s="126" t="s">
        <v>187</v>
      </c>
      <c r="B715" s="126">
        <v>46</v>
      </c>
      <c r="C715" s="126">
        <v>25</v>
      </c>
      <c r="D715" s="126" t="str">
        <f t="shared" si="82"/>
        <v>4625</v>
      </c>
      <c r="E715" s="101">
        <v>175</v>
      </c>
      <c r="F715" s="101">
        <v>1993</v>
      </c>
      <c r="G715" s="101">
        <v>47570</v>
      </c>
      <c r="H715" s="101">
        <v>446731.77999999997</v>
      </c>
      <c r="I715" s="101">
        <v>336688.09500000003</v>
      </c>
      <c r="J715" s="101">
        <v>217</v>
      </c>
      <c r="K715" s="101">
        <v>2246</v>
      </c>
      <c r="L715" s="101">
        <v>63970</v>
      </c>
      <c r="M715" s="101">
        <v>842676.99</v>
      </c>
      <c r="N715" s="101">
        <v>359654.48300000001</v>
      </c>
      <c r="O715" s="101">
        <v>384</v>
      </c>
      <c r="P715" s="101">
        <v>3365</v>
      </c>
      <c r="Q715" s="101">
        <v>81350</v>
      </c>
      <c r="R715" s="101">
        <v>878743</v>
      </c>
      <c r="S715" s="101">
        <v>414053</v>
      </c>
      <c r="T715" s="133">
        <v>1.02</v>
      </c>
      <c r="U715" s="101">
        <f t="shared" si="91"/>
        <v>391.68</v>
      </c>
      <c r="V715" s="101">
        <f t="shared" si="92"/>
        <v>3432.3</v>
      </c>
      <c r="W715" s="101">
        <f t="shared" si="93"/>
        <v>82977</v>
      </c>
      <c r="X715" s="101">
        <f t="shared" si="90"/>
        <v>896317.86</v>
      </c>
      <c r="Y715" s="101">
        <f t="shared" si="94"/>
        <v>422334.06</v>
      </c>
      <c r="AG715" s="225"/>
      <c r="AH715" s="101">
        <v>30000</v>
      </c>
      <c r="AI715" s="101">
        <f t="shared" si="88"/>
        <v>24000</v>
      </c>
      <c r="AJ715" s="101">
        <f t="shared" si="89"/>
        <v>36000</v>
      </c>
    </row>
    <row r="716" spans="1:36" hidden="1" x14ac:dyDescent="0.3">
      <c r="A716" s="126" t="s">
        <v>187</v>
      </c>
      <c r="B716" s="126">
        <v>46</v>
      </c>
      <c r="C716" s="126">
        <v>27</v>
      </c>
      <c r="D716" s="126" t="str">
        <f t="shared" si="82"/>
        <v>4627</v>
      </c>
      <c r="E716" s="101">
        <v>8</v>
      </c>
      <c r="F716" s="101">
        <v>322</v>
      </c>
      <c r="G716" s="101">
        <v>3065</v>
      </c>
      <c r="H716" s="101">
        <v>39505.549999999996</v>
      </c>
      <c r="I716" s="101">
        <v>12529.714</v>
      </c>
      <c r="J716" s="101">
        <v>10</v>
      </c>
      <c r="K716" s="101">
        <v>99</v>
      </c>
      <c r="L716" s="101">
        <v>1047</v>
      </c>
      <c r="M716" s="101">
        <v>17847.93</v>
      </c>
      <c r="N716" s="101">
        <v>7472.8369999999995</v>
      </c>
      <c r="O716" s="101">
        <v>7</v>
      </c>
      <c r="P716" s="101">
        <v>58</v>
      </c>
      <c r="Q716" s="101">
        <v>724</v>
      </c>
      <c r="R716" s="101">
        <v>6382</v>
      </c>
      <c r="S716" s="101">
        <v>3626</v>
      </c>
      <c r="T716" s="133">
        <v>1.02</v>
      </c>
      <c r="U716" s="101">
        <f t="shared" si="91"/>
        <v>7.1400000000000006</v>
      </c>
      <c r="V716" s="101">
        <f t="shared" si="92"/>
        <v>59.160000000000004</v>
      </c>
      <c r="W716" s="101">
        <f t="shared" si="93"/>
        <v>738.48</v>
      </c>
      <c r="X716" s="101">
        <f t="shared" si="90"/>
        <v>6509.64</v>
      </c>
      <c r="Y716" s="101">
        <f t="shared" si="94"/>
        <v>3698.52</v>
      </c>
      <c r="AG716" s="225"/>
      <c r="AH716" s="101">
        <v>30000</v>
      </c>
      <c r="AI716" s="101">
        <f t="shared" si="88"/>
        <v>24000</v>
      </c>
      <c r="AJ716" s="101">
        <f t="shared" si="89"/>
        <v>36000</v>
      </c>
    </row>
    <row r="717" spans="1:36" hidden="1" x14ac:dyDescent="0.3">
      <c r="A717" s="126" t="s">
        <v>187</v>
      </c>
      <c r="B717" s="126">
        <v>46</v>
      </c>
      <c r="C717" s="126">
        <v>26</v>
      </c>
      <c r="D717" s="126" t="str">
        <f t="shared" si="82"/>
        <v>4626</v>
      </c>
      <c r="E717" s="101">
        <v>126</v>
      </c>
      <c r="F717" s="101">
        <v>3624</v>
      </c>
      <c r="G717" s="101">
        <v>62210</v>
      </c>
      <c r="H717" s="101">
        <v>917021.18</v>
      </c>
      <c r="I717" s="101">
        <v>335810</v>
      </c>
      <c r="J717" s="101">
        <v>87</v>
      </c>
      <c r="K717" s="101">
        <v>3113</v>
      </c>
      <c r="L717" s="101">
        <v>48961</v>
      </c>
      <c r="M717" s="101">
        <v>800259.81</v>
      </c>
      <c r="N717" s="101">
        <v>275153.11099999998</v>
      </c>
      <c r="O717" s="101">
        <v>31</v>
      </c>
      <c r="P717" s="101">
        <v>1009</v>
      </c>
      <c r="Q717" s="101">
        <v>28488</v>
      </c>
      <c r="R717" s="101">
        <v>284715</v>
      </c>
      <c r="S717" s="101">
        <v>117728</v>
      </c>
      <c r="T717" s="133">
        <v>1.02</v>
      </c>
      <c r="U717" s="101">
        <f t="shared" si="91"/>
        <v>31.62</v>
      </c>
      <c r="V717" s="101">
        <f t="shared" si="92"/>
        <v>1029.18</v>
      </c>
      <c r="W717" s="101">
        <f t="shared" si="93"/>
        <v>29057.760000000002</v>
      </c>
      <c r="X717" s="101">
        <f t="shared" si="90"/>
        <v>290409.3</v>
      </c>
      <c r="Y717" s="101">
        <f t="shared" si="94"/>
        <v>120082.56</v>
      </c>
      <c r="AG717" s="225"/>
      <c r="AH717" s="101">
        <v>30000</v>
      </c>
      <c r="AI717" s="101">
        <f t="shared" si="88"/>
        <v>24000</v>
      </c>
      <c r="AJ717" s="101">
        <f t="shared" si="89"/>
        <v>36000</v>
      </c>
    </row>
    <row r="718" spans="1:36" hidden="1" x14ac:dyDescent="0.3">
      <c r="A718" s="126" t="s">
        <v>187</v>
      </c>
      <c r="B718" s="126">
        <v>46</v>
      </c>
      <c r="C718" s="126">
        <v>32</v>
      </c>
      <c r="D718" s="126" t="str">
        <f t="shared" si="82"/>
        <v>4632</v>
      </c>
      <c r="E718" s="101">
        <v>675</v>
      </c>
      <c r="F718" s="101">
        <v>2848</v>
      </c>
      <c r="G718" s="101">
        <v>106645</v>
      </c>
      <c r="H718" s="101">
        <v>1373949.71</v>
      </c>
      <c r="I718" s="101">
        <v>704714.89299999992</v>
      </c>
      <c r="J718" s="101">
        <v>325</v>
      </c>
      <c r="K718" s="101">
        <v>1571</v>
      </c>
      <c r="L718" s="101">
        <v>54279</v>
      </c>
      <c r="M718" s="101">
        <v>728730.75000000012</v>
      </c>
      <c r="N718" s="101">
        <v>278245.62300000002</v>
      </c>
      <c r="O718" s="101">
        <v>230</v>
      </c>
      <c r="P718" s="101">
        <v>1074</v>
      </c>
      <c r="Q718" s="101">
        <v>30563</v>
      </c>
      <c r="R718" s="101">
        <v>361613</v>
      </c>
      <c r="S718" s="101">
        <v>198555</v>
      </c>
      <c r="T718" s="133">
        <v>1.02</v>
      </c>
      <c r="U718" s="101">
        <f>O718*$T$5+1</f>
        <v>235.6</v>
      </c>
      <c r="V718" s="101">
        <f>P718*$T$5+14</f>
        <v>1109.48</v>
      </c>
      <c r="W718" s="101">
        <f>Q718*$T$5+1350</f>
        <v>32524.260000000002</v>
      </c>
      <c r="X718" s="101">
        <f>R718*$T$5+8183</f>
        <v>377028.26</v>
      </c>
      <c r="Y718" s="101">
        <f>S718*$T$5+2095</f>
        <v>204621.1</v>
      </c>
      <c r="AG718" s="225"/>
      <c r="AH718" s="101">
        <v>30000</v>
      </c>
      <c r="AI718" s="101">
        <f t="shared" si="88"/>
        <v>24000</v>
      </c>
      <c r="AJ718" s="101">
        <f t="shared" si="89"/>
        <v>36000</v>
      </c>
    </row>
    <row r="719" spans="1:36" hidden="1" x14ac:dyDescent="0.3">
      <c r="A719" s="126" t="s">
        <v>187</v>
      </c>
      <c r="B719" s="126">
        <v>46</v>
      </c>
      <c r="C719" s="126">
        <v>21</v>
      </c>
      <c r="D719" s="126" t="str">
        <f t="shared" si="82"/>
        <v>4621</v>
      </c>
      <c r="E719" s="101">
        <v>956</v>
      </c>
      <c r="F719" s="101">
        <v>5891.5</v>
      </c>
      <c r="G719" s="101">
        <v>43125</v>
      </c>
      <c r="H719" s="101">
        <v>507330.53</v>
      </c>
      <c r="I719" s="101">
        <v>129843.7855</v>
      </c>
      <c r="J719" s="101">
        <v>0</v>
      </c>
      <c r="K719" s="101">
        <v>0</v>
      </c>
      <c r="L719" s="101">
        <v>0</v>
      </c>
      <c r="M719" s="101">
        <v>0</v>
      </c>
      <c r="N719" s="101">
        <v>0</v>
      </c>
      <c r="O719" s="101">
        <v>91</v>
      </c>
      <c r="P719" s="101">
        <v>527</v>
      </c>
      <c r="Q719" s="101">
        <v>6417</v>
      </c>
      <c r="R719" s="101">
        <v>66792</v>
      </c>
      <c r="S719" s="101">
        <v>23051</v>
      </c>
      <c r="T719" s="133">
        <v>1.02</v>
      </c>
      <c r="U719" s="101">
        <v>1068</v>
      </c>
      <c r="V719" s="101">
        <v>9795</v>
      </c>
      <c r="W719" s="101">
        <v>61880</v>
      </c>
      <c r="X719" s="101">
        <v>755842</v>
      </c>
      <c r="Y719" s="101">
        <v>200219</v>
      </c>
      <c r="AG719" s="225"/>
      <c r="AH719" s="101">
        <v>30000</v>
      </c>
      <c r="AI719" s="101">
        <f t="shared" si="88"/>
        <v>24000</v>
      </c>
      <c r="AJ719" s="101">
        <f t="shared" si="89"/>
        <v>36000</v>
      </c>
    </row>
    <row r="720" spans="1:36" hidden="1" x14ac:dyDescent="0.3">
      <c r="A720" s="126" t="s">
        <v>187</v>
      </c>
      <c r="B720" s="126">
        <v>46</v>
      </c>
      <c r="C720" s="126">
        <v>30</v>
      </c>
      <c r="D720" s="126" t="str">
        <f t="shared" si="82"/>
        <v>4630</v>
      </c>
      <c r="E720" s="101">
        <v>383.5</v>
      </c>
      <c r="F720" s="101">
        <v>5572</v>
      </c>
      <c r="G720" s="101">
        <v>25932</v>
      </c>
      <c r="H720" s="101">
        <v>611272.56499999994</v>
      </c>
      <c r="I720" s="101">
        <v>197787.16999999998</v>
      </c>
      <c r="J720" s="101">
        <v>609</v>
      </c>
      <c r="K720" s="101">
        <v>10459</v>
      </c>
      <c r="L720" s="101">
        <v>44391</v>
      </c>
      <c r="M720" s="101">
        <v>1048662.8400000001</v>
      </c>
      <c r="N720" s="101">
        <v>337447.16100000002</v>
      </c>
      <c r="O720" s="101">
        <v>435</v>
      </c>
      <c r="P720" s="101">
        <v>8278</v>
      </c>
      <c r="Q720" s="101">
        <v>32026</v>
      </c>
      <c r="R720" s="101">
        <v>751963</v>
      </c>
      <c r="S720" s="101">
        <v>264970</v>
      </c>
      <c r="T720" s="133">
        <v>1.02</v>
      </c>
      <c r="U720" s="101">
        <f t="shared" si="91"/>
        <v>443.7</v>
      </c>
      <c r="V720" s="101">
        <f t="shared" si="92"/>
        <v>8443.56</v>
      </c>
      <c r="W720" s="101">
        <f t="shared" si="93"/>
        <v>32666.52</v>
      </c>
      <c r="X720" s="101">
        <f t="shared" si="90"/>
        <v>767002.26</v>
      </c>
      <c r="Y720" s="101">
        <f t="shared" si="94"/>
        <v>270269.40000000002</v>
      </c>
      <c r="AG720" s="225"/>
      <c r="AH720" s="101">
        <v>30000</v>
      </c>
      <c r="AI720" s="101">
        <f t="shared" si="88"/>
        <v>24000</v>
      </c>
      <c r="AJ720" s="101">
        <f t="shared" si="89"/>
        <v>36000</v>
      </c>
    </row>
    <row r="721" spans="1:36" hidden="1" x14ac:dyDescent="0.3">
      <c r="A721" s="126" t="s">
        <v>187</v>
      </c>
      <c r="B721" s="126">
        <v>46</v>
      </c>
      <c r="C721" s="126">
        <v>71</v>
      </c>
      <c r="D721" s="126" t="str">
        <f t="shared" si="82"/>
        <v>4671</v>
      </c>
      <c r="E721" s="101">
        <v>559</v>
      </c>
      <c r="F721" s="101">
        <v>7359</v>
      </c>
      <c r="G721" s="101">
        <v>28212.5</v>
      </c>
      <c r="H721" s="101">
        <v>227813.28999999998</v>
      </c>
      <c r="I721" s="101">
        <v>109330.24400000001</v>
      </c>
      <c r="J721" s="101">
        <v>474</v>
      </c>
      <c r="K721" s="101">
        <v>7039</v>
      </c>
      <c r="L721" s="101">
        <v>20170</v>
      </c>
      <c r="M721" s="101">
        <v>170431.88</v>
      </c>
      <c r="N721" s="101">
        <v>68234.070000000007</v>
      </c>
      <c r="O721" s="101">
        <v>266</v>
      </c>
      <c r="P721" s="101">
        <v>9032</v>
      </c>
      <c r="Q721" s="101">
        <v>34797</v>
      </c>
      <c r="R721" s="101">
        <v>269898</v>
      </c>
      <c r="S721" s="101">
        <v>121229</v>
      </c>
      <c r="T721" s="133">
        <v>0.98</v>
      </c>
      <c r="AG721" s="225"/>
      <c r="AH721" s="101">
        <v>30000</v>
      </c>
      <c r="AI721" s="101">
        <f t="shared" si="88"/>
        <v>24000</v>
      </c>
      <c r="AJ721" s="101">
        <f t="shared" si="89"/>
        <v>36000</v>
      </c>
    </row>
    <row r="722" spans="1:36" hidden="1" x14ac:dyDescent="0.3">
      <c r="A722" s="126" t="s">
        <v>187</v>
      </c>
      <c r="B722" s="126">
        <v>46</v>
      </c>
      <c r="C722" s="126">
        <v>12</v>
      </c>
      <c r="D722" s="126" t="str">
        <f t="shared" si="82"/>
        <v>4612</v>
      </c>
      <c r="J722" s="101">
        <v>4</v>
      </c>
      <c r="K722" s="101">
        <v>5</v>
      </c>
      <c r="L722" s="101">
        <v>6</v>
      </c>
      <c r="M722" s="101">
        <v>237.86</v>
      </c>
      <c r="N722" s="101">
        <v>75.575999999999993</v>
      </c>
      <c r="O722" s="101">
        <v>2</v>
      </c>
      <c r="P722" s="101">
        <v>2</v>
      </c>
      <c r="Q722" s="101">
        <v>2</v>
      </c>
      <c r="R722" s="101">
        <v>20</v>
      </c>
      <c r="S722" s="101">
        <v>15</v>
      </c>
      <c r="T722" s="133">
        <v>1.02</v>
      </c>
      <c r="U722" s="101">
        <f t="shared" si="91"/>
        <v>2.04</v>
      </c>
      <c r="V722" s="101">
        <f t="shared" si="92"/>
        <v>2.04</v>
      </c>
      <c r="W722" s="101">
        <f t="shared" si="93"/>
        <v>2.04</v>
      </c>
      <c r="X722" s="101">
        <f t="shared" si="90"/>
        <v>20.399999999999999</v>
      </c>
      <c r="Y722" s="101">
        <f t="shared" si="94"/>
        <v>15.3</v>
      </c>
      <c r="AG722" s="225"/>
      <c r="AH722" s="101"/>
      <c r="AI722" s="101"/>
      <c r="AJ722" s="101"/>
    </row>
    <row r="723" spans="1:36" hidden="1" x14ac:dyDescent="0.3">
      <c r="A723" s="126" t="s">
        <v>187</v>
      </c>
      <c r="B723" s="126">
        <v>46</v>
      </c>
      <c r="C723" s="126">
        <v>28</v>
      </c>
      <c r="D723" s="126" t="str">
        <f t="shared" si="82"/>
        <v>4628</v>
      </c>
      <c r="J723" s="101">
        <v>67</v>
      </c>
      <c r="K723" s="101">
        <v>85</v>
      </c>
      <c r="L723" s="101">
        <v>2466</v>
      </c>
      <c r="M723" s="101">
        <v>96517.53</v>
      </c>
      <c r="N723" s="101">
        <v>32250.14</v>
      </c>
      <c r="O723" s="101">
        <v>68</v>
      </c>
      <c r="P723" s="101">
        <v>513</v>
      </c>
      <c r="Q723" s="101">
        <v>20856</v>
      </c>
      <c r="R723" s="101">
        <v>272601</v>
      </c>
      <c r="S723" s="101">
        <v>79294</v>
      </c>
      <c r="T723" s="133">
        <v>1.02</v>
      </c>
      <c r="U723" s="101">
        <v>238</v>
      </c>
      <c r="V723" s="101">
        <v>3938</v>
      </c>
      <c r="W723" s="101">
        <v>60090</v>
      </c>
      <c r="X723" s="144">
        <f t="shared" si="90"/>
        <v>278053.02</v>
      </c>
      <c r="Y723" s="101">
        <v>328656</v>
      </c>
      <c r="AG723" s="225"/>
      <c r="AH723" s="101"/>
      <c r="AI723" s="101"/>
      <c r="AJ723" s="101"/>
    </row>
    <row r="724" spans="1:36" hidden="1" x14ac:dyDescent="0.3">
      <c r="A724" s="126" t="s">
        <v>187</v>
      </c>
      <c r="B724" s="126">
        <v>46</v>
      </c>
      <c r="C724" s="126">
        <v>41</v>
      </c>
      <c r="D724" s="126" t="str">
        <f t="shared" si="82"/>
        <v>4641</v>
      </c>
      <c r="J724" s="101">
        <v>9</v>
      </c>
      <c r="K724" s="101">
        <v>40</v>
      </c>
      <c r="L724" s="101">
        <v>470</v>
      </c>
      <c r="M724" s="101">
        <v>2656.6800000000003</v>
      </c>
      <c r="N724" s="101">
        <v>625.428</v>
      </c>
      <c r="O724" s="101">
        <v>2</v>
      </c>
      <c r="P724" s="101">
        <v>6</v>
      </c>
      <c r="Q724" s="101">
        <v>13</v>
      </c>
      <c r="R724" s="101">
        <v>267</v>
      </c>
      <c r="S724" s="101">
        <v>65</v>
      </c>
      <c r="T724" s="133">
        <v>1.02</v>
      </c>
      <c r="U724" s="101">
        <f t="shared" si="91"/>
        <v>2.04</v>
      </c>
      <c r="V724" s="101">
        <f t="shared" si="92"/>
        <v>6.12</v>
      </c>
      <c r="W724" s="101">
        <f t="shared" si="93"/>
        <v>13.26</v>
      </c>
      <c r="X724" s="101">
        <f t="shared" si="90"/>
        <v>272.34000000000003</v>
      </c>
      <c r="Y724" s="101">
        <f t="shared" si="94"/>
        <v>66.3</v>
      </c>
      <c r="AG724" s="225"/>
      <c r="AH724" s="101"/>
      <c r="AI724" s="101"/>
      <c r="AJ724" s="101"/>
    </row>
    <row r="725" spans="1:36" hidden="1" x14ac:dyDescent="0.3">
      <c r="A725" s="126" t="s">
        <v>187</v>
      </c>
      <c r="B725" s="126">
        <v>46</v>
      </c>
      <c r="C725" s="126">
        <v>46</v>
      </c>
      <c r="D725" s="126" t="str">
        <f t="shared" si="82"/>
        <v>4646</v>
      </c>
      <c r="J725" s="101">
        <v>22</v>
      </c>
      <c r="K725" s="101">
        <v>26</v>
      </c>
      <c r="L725" s="101">
        <v>64</v>
      </c>
      <c r="M725" s="101">
        <v>4305.7800000000007</v>
      </c>
      <c r="N725" s="101">
        <v>762.39600000000007</v>
      </c>
      <c r="O725" s="101">
        <v>23</v>
      </c>
      <c r="P725" s="101">
        <v>27</v>
      </c>
      <c r="Q725" s="101">
        <v>1756</v>
      </c>
      <c r="R725" s="101">
        <v>36587</v>
      </c>
      <c r="S725" s="101">
        <v>14473</v>
      </c>
      <c r="T725" s="133">
        <v>1.02</v>
      </c>
      <c r="U725" s="101">
        <f t="shared" si="91"/>
        <v>23.46</v>
      </c>
      <c r="V725" s="101">
        <f t="shared" si="92"/>
        <v>27.54</v>
      </c>
      <c r="W725" s="101">
        <f t="shared" si="93"/>
        <v>1791.1200000000001</v>
      </c>
      <c r="X725" s="101">
        <f t="shared" si="90"/>
        <v>37318.74</v>
      </c>
      <c r="Y725" s="101">
        <f t="shared" si="94"/>
        <v>14762.460000000001</v>
      </c>
      <c r="AG725" s="225"/>
      <c r="AH725" s="101"/>
      <c r="AI725" s="101"/>
      <c r="AJ725" s="101"/>
    </row>
    <row r="726" spans="1:36" hidden="1" x14ac:dyDescent="0.3">
      <c r="A726" s="126" t="s">
        <v>187</v>
      </c>
      <c r="B726" s="126">
        <v>46</v>
      </c>
      <c r="C726" s="126">
        <v>66</v>
      </c>
      <c r="D726" s="126" t="str">
        <f t="shared" si="82"/>
        <v>4666</v>
      </c>
      <c r="J726" s="101">
        <v>19</v>
      </c>
      <c r="K726" s="101">
        <v>41</v>
      </c>
      <c r="L726" s="101">
        <v>2809</v>
      </c>
      <c r="M726" s="101">
        <v>30517.600000000002</v>
      </c>
      <c r="N726" s="101">
        <v>18202.048000000003</v>
      </c>
      <c r="O726" s="101">
        <v>44</v>
      </c>
      <c r="P726" s="101">
        <v>91</v>
      </c>
      <c r="Q726" s="101">
        <v>3820</v>
      </c>
      <c r="R726" s="101">
        <v>27360</v>
      </c>
      <c r="S726" s="101">
        <v>14887</v>
      </c>
      <c r="T726" s="133">
        <v>1.02</v>
      </c>
      <c r="U726" s="101">
        <f t="shared" si="91"/>
        <v>44.88</v>
      </c>
      <c r="V726" s="101">
        <f t="shared" si="92"/>
        <v>92.820000000000007</v>
      </c>
      <c r="W726" s="101">
        <f t="shared" si="93"/>
        <v>3896.4</v>
      </c>
      <c r="X726" s="101">
        <f t="shared" si="90"/>
        <v>27907.200000000001</v>
      </c>
      <c r="Y726" s="101">
        <f t="shared" si="94"/>
        <v>15184.74</v>
      </c>
      <c r="AG726" s="225"/>
      <c r="AH726" s="101"/>
      <c r="AI726" s="101"/>
      <c r="AJ726" s="101"/>
    </row>
    <row r="727" spans="1:36" x14ac:dyDescent="0.3">
      <c r="A727" s="126" t="s">
        <v>187</v>
      </c>
      <c r="B727" s="126">
        <v>46</v>
      </c>
      <c r="C727" s="126">
        <v>91</v>
      </c>
      <c r="D727" s="126" t="str">
        <f t="shared" si="82"/>
        <v>4691</v>
      </c>
      <c r="J727" s="101">
        <v>11</v>
      </c>
      <c r="K727" s="101">
        <v>21</v>
      </c>
      <c r="L727" s="101">
        <v>67</v>
      </c>
      <c r="M727" s="101">
        <v>459.85</v>
      </c>
      <c r="N727" s="101">
        <v>204.24099999999999</v>
      </c>
      <c r="O727" s="101">
        <v>8</v>
      </c>
      <c r="P727" s="101">
        <v>38</v>
      </c>
      <c r="Q727" s="101">
        <v>178</v>
      </c>
      <c r="R727" s="101">
        <v>668</v>
      </c>
      <c r="S727" s="101">
        <v>545</v>
      </c>
      <c r="T727" s="133">
        <v>1.02</v>
      </c>
      <c r="U727" s="101">
        <f t="shared" si="91"/>
        <v>8.16</v>
      </c>
      <c r="V727" s="101">
        <f t="shared" si="92"/>
        <v>38.76</v>
      </c>
      <c r="W727" s="101">
        <f t="shared" si="93"/>
        <v>181.56</v>
      </c>
      <c r="X727" s="101">
        <f t="shared" si="90"/>
        <v>681.36</v>
      </c>
      <c r="Y727" s="101">
        <f t="shared" si="94"/>
        <v>555.9</v>
      </c>
      <c r="AG727" s="225"/>
      <c r="AH727" s="101"/>
      <c r="AI727" s="101"/>
      <c r="AJ727" s="101"/>
    </row>
    <row r="728" spans="1:36" hidden="1" x14ac:dyDescent="0.3">
      <c r="A728" s="126" t="s">
        <v>187</v>
      </c>
      <c r="B728" s="126">
        <v>46</v>
      </c>
      <c r="C728" s="126">
        <v>1</v>
      </c>
      <c r="D728" s="126" t="str">
        <f t="shared" si="82"/>
        <v>461</v>
      </c>
      <c r="J728" s="101">
        <v>126</v>
      </c>
      <c r="K728" s="101">
        <v>126</v>
      </c>
      <c r="L728" s="101">
        <v>41832</v>
      </c>
      <c r="N728" s="101">
        <v>199824</v>
      </c>
      <c r="O728" s="101">
        <v>119</v>
      </c>
      <c r="P728" s="101">
        <v>119</v>
      </c>
      <c r="Q728" s="101">
        <v>59487</v>
      </c>
      <c r="S728" s="101">
        <v>182623</v>
      </c>
      <c r="T728" s="133">
        <v>1.02</v>
      </c>
      <c r="U728" s="101">
        <f t="shared" si="91"/>
        <v>121.38</v>
      </c>
      <c r="V728" s="101">
        <f t="shared" si="92"/>
        <v>121.38</v>
      </c>
      <c r="W728" s="101">
        <f t="shared" si="93"/>
        <v>60676.74</v>
      </c>
      <c r="X728" s="101">
        <f t="shared" si="90"/>
        <v>0</v>
      </c>
      <c r="Y728" s="101">
        <f t="shared" si="94"/>
        <v>186275.46</v>
      </c>
      <c r="AG728" s="225"/>
      <c r="AH728" s="101"/>
      <c r="AI728" s="101"/>
      <c r="AJ728" s="101"/>
    </row>
    <row r="729" spans="1:36" hidden="1" x14ac:dyDescent="0.3">
      <c r="A729" s="126" t="s">
        <v>187</v>
      </c>
      <c r="B729" s="126">
        <v>46</v>
      </c>
      <c r="C729" s="126">
        <v>37</v>
      </c>
      <c r="D729" s="126" t="str">
        <f t="shared" si="82"/>
        <v>4637</v>
      </c>
      <c r="E729" s="101">
        <v>13</v>
      </c>
      <c r="F729" s="101">
        <v>66.75</v>
      </c>
      <c r="G729" s="101">
        <v>2604.5</v>
      </c>
      <c r="H729" s="101">
        <v>6141.3525</v>
      </c>
      <c r="I729" s="101">
        <v>6505.2387499999995</v>
      </c>
      <c r="J729" s="101">
        <v>2</v>
      </c>
      <c r="K729" s="101">
        <v>2</v>
      </c>
      <c r="L729" s="101">
        <v>605</v>
      </c>
      <c r="M729" s="101">
        <v>826.1</v>
      </c>
      <c r="N729" s="101">
        <v>141.97499999999999</v>
      </c>
      <c r="O729" s="101">
        <v>4</v>
      </c>
      <c r="P729" s="101">
        <v>16</v>
      </c>
      <c r="Q729" s="101">
        <v>9777</v>
      </c>
      <c r="R729" s="101">
        <v>10327</v>
      </c>
      <c r="S729" s="101">
        <v>3908</v>
      </c>
      <c r="T729" s="133">
        <v>1.02</v>
      </c>
      <c r="U729" s="101">
        <f t="shared" si="91"/>
        <v>4.08</v>
      </c>
      <c r="V729" s="101">
        <f t="shared" si="92"/>
        <v>16.32</v>
      </c>
      <c r="W729" s="101">
        <f t="shared" si="93"/>
        <v>9972.5400000000009</v>
      </c>
      <c r="X729" s="101">
        <f t="shared" si="90"/>
        <v>10533.54</v>
      </c>
      <c r="Y729" s="101">
        <f t="shared" si="94"/>
        <v>3986.16</v>
      </c>
      <c r="AG729" s="225"/>
      <c r="AH729" s="101">
        <v>30000</v>
      </c>
      <c r="AI729" s="101">
        <f t="shared" si="88"/>
        <v>24000</v>
      </c>
      <c r="AJ729" s="101">
        <f t="shared" si="89"/>
        <v>36000</v>
      </c>
    </row>
    <row r="730" spans="1:36" hidden="1" x14ac:dyDescent="0.3">
      <c r="A730" s="126" t="s">
        <v>187</v>
      </c>
      <c r="B730" s="126">
        <v>47</v>
      </c>
      <c r="C730" s="126">
        <v>22</v>
      </c>
      <c r="D730" s="126" t="str">
        <f t="shared" si="82"/>
        <v>4722</v>
      </c>
      <c r="E730" s="101">
        <v>545</v>
      </c>
      <c r="F730" s="101">
        <v>3801</v>
      </c>
      <c r="G730" s="101">
        <v>37511</v>
      </c>
      <c r="H730" s="101">
        <v>180010.22999999998</v>
      </c>
      <c r="I730" s="101">
        <v>127519.06400000001</v>
      </c>
      <c r="J730" s="101">
        <v>1208</v>
      </c>
      <c r="K730" s="101">
        <v>9530</v>
      </c>
      <c r="L730" s="101">
        <v>98272</v>
      </c>
      <c r="M730" s="101">
        <v>986455.59</v>
      </c>
      <c r="N730" s="101">
        <v>550824.90500000003</v>
      </c>
      <c r="O730" s="101">
        <v>866</v>
      </c>
      <c r="P730" s="101">
        <v>6984</v>
      </c>
      <c r="Q730" s="101">
        <v>42212</v>
      </c>
      <c r="R730" s="101">
        <v>504666.29</v>
      </c>
      <c r="S730" s="101">
        <v>358270.83100000001</v>
      </c>
      <c r="T730" s="133">
        <v>1.02</v>
      </c>
      <c r="U730" s="101">
        <f t="shared" si="91"/>
        <v>883.32</v>
      </c>
      <c r="V730" s="101">
        <f t="shared" si="92"/>
        <v>7123.68</v>
      </c>
      <c r="W730" s="101">
        <f t="shared" si="93"/>
        <v>43056.24</v>
      </c>
      <c r="X730" s="101">
        <f t="shared" si="90"/>
        <v>514759.61579999997</v>
      </c>
      <c r="Y730" s="101">
        <f t="shared" si="94"/>
        <v>365436.24762000004</v>
      </c>
      <c r="AG730" s="225">
        <f>SUM(V730:V745)</f>
        <v>39183.659999999996</v>
      </c>
      <c r="AH730" s="101">
        <v>30000</v>
      </c>
      <c r="AI730" s="101">
        <f t="shared" si="88"/>
        <v>24000</v>
      </c>
      <c r="AJ730" s="101">
        <f t="shared" si="89"/>
        <v>36000</v>
      </c>
    </row>
    <row r="731" spans="1:36" hidden="1" x14ac:dyDescent="0.3">
      <c r="A731" s="126" t="s">
        <v>187</v>
      </c>
      <c r="B731" s="126">
        <v>47</v>
      </c>
      <c r="C731" s="126">
        <v>25</v>
      </c>
      <c r="D731" s="126" t="str">
        <f t="shared" si="82"/>
        <v>4725</v>
      </c>
      <c r="E731" s="101">
        <v>187</v>
      </c>
      <c r="F731" s="101">
        <v>1579</v>
      </c>
      <c r="G731" s="101">
        <v>45416</v>
      </c>
      <c r="H731" s="101">
        <v>483533.58999999997</v>
      </c>
      <c r="I731" s="101">
        <v>245532.27699999997</v>
      </c>
      <c r="J731" s="101">
        <v>210</v>
      </c>
      <c r="K731" s="101">
        <v>2353</v>
      </c>
      <c r="L731" s="101">
        <v>59657</v>
      </c>
      <c r="M731" s="101">
        <v>744898.59</v>
      </c>
      <c r="N731" s="101">
        <v>325832.01799999998</v>
      </c>
      <c r="O731" s="101">
        <v>460</v>
      </c>
      <c r="P731" s="101">
        <v>5114</v>
      </c>
      <c r="Q731" s="101">
        <v>92355</v>
      </c>
      <c r="R731" s="101">
        <v>1422521.93</v>
      </c>
      <c r="S731" s="101">
        <v>870808.59600000002</v>
      </c>
      <c r="T731" s="133">
        <v>1.02</v>
      </c>
      <c r="U731" s="101">
        <f t="shared" si="91"/>
        <v>469.2</v>
      </c>
      <c r="V731" s="101">
        <f t="shared" si="92"/>
        <v>5216.28</v>
      </c>
      <c r="W731" s="101">
        <f t="shared" si="93"/>
        <v>94202.1</v>
      </c>
      <c r="X731" s="101">
        <f t="shared" si="90"/>
        <v>1450972.3685999999</v>
      </c>
      <c r="Y731" s="101">
        <f t="shared" si="94"/>
        <v>888224.76792000001</v>
      </c>
      <c r="AG731" s="225"/>
      <c r="AH731" s="101">
        <v>30000</v>
      </c>
      <c r="AI731" s="101">
        <f t="shared" si="88"/>
        <v>24000</v>
      </c>
      <c r="AJ731" s="101">
        <f t="shared" si="89"/>
        <v>36000</v>
      </c>
    </row>
    <row r="732" spans="1:36" hidden="1" x14ac:dyDescent="0.3">
      <c r="A732" s="126" t="s">
        <v>187</v>
      </c>
      <c r="B732" s="126">
        <v>47</v>
      </c>
      <c r="C732" s="126">
        <v>27</v>
      </c>
      <c r="D732" s="126" t="str">
        <f t="shared" si="82"/>
        <v>4727</v>
      </c>
      <c r="E732" s="101">
        <v>12</v>
      </c>
      <c r="F732" s="101">
        <v>522</v>
      </c>
      <c r="G732" s="101">
        <v>5047</v>
      </c>
      <c r="H732" s="101">
        <v>71433.27</v>
      </c>
      <c r="I732" s="101">
        <v>23549.690999999999</v>
      </c>
      <c r="J732" s="101">
        <v>11</v>
      </c>
      <c r="K732" s="101">
        <v>48</v>
      </c>
      <c r="L732" s="101">
        <v>401</v>
      </c>
      <c r="M732" s="101">
        <v>6665.29</v>
      </c>
      <c r="N732" s="101">
        <v>2934.06</v>
      </c>
      <c r="O732" s="101">
        <v>25</v>
      </c>
      <c r="P732" s="101">
        <v>71</v>
      </c>
      <c r="Q732" s="101">
        <v>1773</v>
      </c>
      <c r="R732" s="101">
        <v>14395.85</v>
      </c>
      <c r="S732" s="101">
        <v>14144.831</v>
      </c>
      <c r="T732" s="133">
        <v>1.02</v>
      </c>
      <c r="U732" s="101">
        <f t="shared" si="91"/>
        <v>25.5</v>
      </c>
      <c r="V732" s="101">
        <f t="shared" si="92"/>
        <v>72.42</v>
      </c>
      <c r="W732" s="101">
        <f t="shared" si="93"/>
        <v>1808.46</v>
      </c>
      <c r="X732" s="101">
        <f t="shared" si="90"/>
        <v>14683.767</v>
      </c>
      <c r="Y732" s="101">
        <f t="shared" si="94"/>
        <v>14427.72762</v>
      </c>
      <c r="AG732" s="225"/>
      <c r="AH732" s="101">
        <v>30000</v>
      </c>
      <c r="AI732" s="101">
        <f t="shared" si="88"/>
        <v>24000</v>
      </c>
      <c r="AJ732" s="101">
        <f t="shared" si="89"/>
        <v>36000</v>
      </c>
    </row>
    <row r="733" spans="1:36" hidden="1" x14ac:dyDescent="0.3">
      <c r="A733" s="126" t="s">
        <v>187</v>
      </c>
      <c r="B733" s="126">
        <v>47</v>
      </c>
      <c r="C733" s="126">
        <v>26</v>
      </c>
      <c r="D733" s="126" t="str">
        <f t="shared" si="82"/>
        <v>4726</v>
      </c>
      <c r="E733" s="101">
        <v>106</v>
      </c>
      <c r="F733" s="101">
        <v>3728</v>
      </c>
      <c r="G733" s="101">
        <v>52732</v>
      </c>
      <c r="H733" s="101">
        <v>540618.94999999995</v>
      </c>
      <c r="I733" s="101">
        <v>226867.54399999999</v>
      </c>
      <c r="J733" s="101">
        <v>102</v>
      </c>
      <c r="K733" s="101">
        <v>3720</v>
      </c>
      <c r="L733" s="101">
        <v>58688</v>
      </c>
      <c r="M733" s="101">
        <v>928525.79</v>
      </c>
      <c r="N733" s="101">
        <v>282365.50799999997</v>
      </c>
      <c r="O733" s="101">
        <v>28</v>
      </c>
      <c r="P733" s="101">
        <v>431</v>
      </c>
      <c r="Q733" s="101">
        <v>17545</v>
      </c>
      <c r="R733" s="101">
        <v>250924.11</v>
      </c>
      <c r="S733" s="101">
        <v>133514.701</v>
      </c>
      <c r="T733" s="133">
        <v>1.02</v>
      </c>
      <c r="U733" s="101">
        <f t="shared" si="91"/>
        <v>28.560000000000002</v>
      </c>
      <c r="V733" s="101">
        <f t="shared" si="92"/>
        <v>439.62</v>
      </c>
      <c r="W733" s="101">
        <f t="shared" si="93"/>
        <v>17895.900000000001</v>
      </c>
      <c r="X733" s="101">
        <f t="shared" si="90"/>
        <v>255942.59219999998</v>
      </c>
      <c r="Y733" s="101">
        <f t="shared" si="94"/>
        <v>136184.99502</v>
      </c>
      <c r="AG733" s="225"/>
      <c r="AH733" s="101">
        <v>30000</v>
      </c>
      <c r="AI733" s="101">
        <f t="shared" si="88"/>
        <v>24000</v>
      </c>
      <c r="AJ733" s="101">
        <f t="shared" si="89"/>
        <v>36000</v>
      </c>
    </row>
    <row r="734" spans="1:36" hidden="1" x14ac:dyDescent="0.3">
      <c r="A734" s="126" t="s">
        <v>187</v>
      </c>
      <c r="B734" s="126">
        <v>47</v>
      </c>
      <c r="C734" s="126">
        <v>32</v>
      </c>
      <c r="D734" s="126" t="str">
        <f t="shared" si="82"/>
        <v>4732</v>
      </c>
      <c r="E734" s="101">
        <v>619</v>
      </c>
      <c r="F734" s="101">
        <v>2352</v>
      </c>
      <c r="G734" s="101">
        <v>73799</v>
      </c>
      <c r="H734" s="101">
        <v>678840.98</v>
      </c>
      <c r="I734" s="101">
        <v>508465.20999999996</v>
      </c>
      <c r="J734" s="101">
        <v>165</v>
      </c>
      <c r="K734" s="101">
        <v>887</v>
      </c>
      <c r="L734" s="101">
        <v>29850</v>
      </c>
      <c r="M734" s="101">
        <v>59325.09</v>
      </c>
      <c r="N734" s="101">
        <v>303103.16899999999</v>
      </c>
      <c r="O734" s="101">
        <v>341</v>
      </c>
      <c r="P734" s="101">
        <v>1377</v>
      </c>
      <c r="Q734" s="101">
        <v>47496</v>
      </c>
      <c r="R734" s="101">
        <v>244865.48</v>
      </c>
      <c r="S734" s="101">
        <v>189373.12599999999</v>
      </c>
      <c r="T734" s="133">
        <v>1.02</v>
      </c>
      <c r="U734" s="101">
        <f>O734*$T$5+3</f>
        <v>350.82</v>
      </c>
      <c r="V734" s="101">
        <f>P734*$T$5+21</f>
        <v>1425.54</v>
      </c>
      <c r="W734" s="101">
        <f>Q734*$T$5+2615</f>
        <v>51060.92</v>
      </c>
      <c r="X734" s="101">
        <f>R734*$T$5+11624</f>
        <v>261386.78960000002</v>
      </c>
      <c r="Y734" s="101">
        <f>S734*$T$5+2589</f>
        <v>195749.58851999999</v>
      </c>
      <c r="AG734" s="225"/>
      <c r="AH734" s="101">
        <v>30000</v>
      </c>
      <c r="AI734" s="101">
        <f t="shared" si="88"/>
        <v>24000</v>
      </c>
      <c r="AJ734" s="101">
        <f t="shared" si="89"/>
        <v>36000</v>
      </c>
    </row>
    <row r="735" spans="1:36" hidden="1" x14ac:dyDescent="0.3">
      <c r="A735" s="126" t="s">
        <v>187</v>
      </c>
      <c r="B735" s="126">
        <v>47</v>
      </c>
      <c r="C735" s="126">
        <v>21</v>
      </c>
      <c r="D735" s="126" t="str">
        <f t="shared" si="82"/>
        <v>4721</v>
      </c>
      <c r="E735" s="101">
        <v>1864</v>
      </c>
      <c r="F735" s="101">
        <v>7051.5</v>
      </c>
      <c r="G735" s="101">
        <v>37724.5</v>
      </c>
      <c r="H735" s="101">
        <v>496868.20999999996</v>
      </c>
      <c r="I735" s="101">
        <v>126584.128</v>
      </c>
      <c r="J735" s="101">
        <v>0</v>
      </c>
      <c r="K735" s="101">
        <v>0</v>
      </c>
      <c r="L735" s="101">
        <v>0</v>
      </c>
      <c r="M735" s="101">
        <v>0</v>
      </c>
      <c r="N735" s="101">
        <v>0</v>
      </c>
      <c r="O735" s="101">
        <v>121</v>
      </c>
      <c r="P735" s="101">
        <v>403</v>
      </c>
      <c r="Q735" s="101">
        <v>5295</v>
      </c>
      <c r="R735" s="101">
        <v>47421.06</v>
      </c>
      <c r="S735" s="101">
        <v>20898.717000000001</v>
      </c>
      <c r="T735" s="133">
        <v>1.02</v>
      </c>
      <c r="U735" s="101">
        <v>1232</v>
      </c>
      <c r="V735" s="101">
        <v>9868</v>
      </c>
      <c r="W735" s="101">
        <v>54440</v>
      </c>
      <c r="X735" s="101">
        <v>689302</v>
      </c>
      <c r="Y735" s="101">
        <v>203884</v>
      </c>
      <c r="AG735" s="225"/>
      <c r="AH735" s="101">
        <v>30000</v>
      </c>
      <c r="AI735" s="101">
        <f t="shared" si="88"/>
        <v>24000</v>
      </c>
      <c r="AJ735" s="101">
        <f t="shared" si="89"/>
        <v>36000</v>
      </c>
    </row>
    <row r="736" spans="1:36" hidden="1" x14ac:dyDescent="0.3">
      <c r="A736" s="126" t="s">
        <v>187</v>
      </c>
      <c r="B736" s="126">
        <v>47</v>
      </c>
      <c r="C736" s="126">
        <v>30</v>
      </c>
      <c r="D736" s="126" t="str">
        <f t="shared" si="82"/>
        <v>4730</v>
      </c>
      <c r="E736" s="101">
        <v>851.5</v>
      </c>
      <c r="F736" s="101">
        <v>5670.5</v>
      </c>
      <c r="G736" s="101">
        <v>31110.5</v>
      </c>
      <c r="H736" s="101">
        <v>941245.81</v>
      </c>
      <c r="I736" s="101">
        <v>376628.37750000006</v>
      </c>
      <c r="J736" s="101">
        <v>560</v>
      </c>
      <c r="K736" s="101">
        <v>11450</v>
      </c>
      <c r="L736" s="101">
        <v>48261</v>
      </c>
      <c r="M736" s="101">
        <v>1522412.73</v>
      </c>
      <c r="N736" s="101">
        <v>504284.34399999998</v>
      </c>
      <c r="O736" s="101">
        <v>470</v>
      </c>
      <c r="P736" s="101">
        <v>10148</v>
      </c>
      <c r="Q736" s="101">
        <v>37859</v>
      </c>
      <c r="R736" s="101">
        <v>1169834.47</v>
      </c>
      <c r="S736" s="101">
        <v>426935.88400000002</v>
      </c>
      <c r="T736" s="133">
        <v>1.02</v>
      </c>
      <c r="U736" s="101">
        <f t="shared" si="91"/>
        <v>479.40000000000003</v>
      </c>
      <c r="V736" s="101">
        <f t="shared" si="92"/>
        <v>10350.960000000001</v>
      </c>
      <c r="W736" s="101">
        <f t="shared" si="93"/>
        <v>38616.18</v>
      </c>
      <c r="X736" s="101">
        <f t="shared" si="90"/>
        <v>1193231.1594</v>
      </c>
      <c r="Y736" s="101">
        <f t="shared" si="94"/>
        <v>435474.60168000002</v>
      </c>
      <c r="AG736" s="225"/>
      <c r="AH736" s="101">
        <v>30000</v>
      </c>
      <c r="AI736" s="101">
        <f t="shared" si="88"/>
        <v>24000</v>
      </c>
      <c r="AJ736" s="101">
        <f t="shared" si="89"/>
        <v>36000</v>
      </c>
    </row>
    <row r="737" spans="1:36" hidden="1" x14ac:dyDescent="0.3">
      <c r="A737" s="126" t="s">
        <v>187</v>
      </c>
      <c r="B737" s="126">
        <v>47</v>
      </c>
      <c r="C737" s="126">
        <v>71</v>
      </c>
      <c r="D737" s="126" t="str">
        <f t="shared" ref="D737:D830" si="95">CONCATENATE(B737,C737)</f>
        <v>4771</v>
      </c>
      <c r="E737" s="101">
        <v>635.5</v>
      </c>
      <c r="F737" s="101">
        <v>7966</v>
      </c>
      <c r="G737" s="101">
        <v>23509.5</v>
      </c>
      <c r="H737" s="101">
        <v>210954.48500000002</v>
      </c>
      <c r="I737" s="101">
        <v>98609.83600000001</v>
      </c>
      <c r="J737" s="101">
        <v>681</v>
      </c>
      <c r="K737" s="101">
        <v>8868</v>
      </c>
      <c r="L737" s="101">
        <v>25155</v>
      </c>
      <c r="M737" s="101">
        <v>233792.41</v>
      </c>
      <c r="N737" s="101">
        <v>130420.02499999999</v>
      </c>
      <c r="O737" s="101">
        <v>287</v>
      </c>
      <c r="P737" s="101">
        <v>10179</v>
      </c>
      <c r="Q737" s="101">
        <v>39959</v>
      </c>
      <c r="R737" s="101">
        <v>271557.86</v>
      </c>
      <c r="S737" s="101">
        <v>161159.84099999999</v>
      </c>
      <c r="T737" s="133">
        <v>0.98</v>
      </c>
      <c r="AG737" s="225"/>
      <c r="AH737" s="101">
        <v>30000</v>
      </c>
      <c r="AI737" s="101">
        <f t="shared" si="88"/>
        <v>24000</v>
      </c>
      <c r="AJ737" s="101">
        <f t="shared" si="89"/>
        <v>36000</v>
      </c>
    </row>
    <row r="738" spans="1:36" hidden="1" x14ac:dyDescent="0.3">
      <c r="A738" s="126" t="s">
        <v>187</v>
      </c>
      <c r="B738" s="126">
        <v>47</v>
      </c>
      <c r="C738" s="126">
        <v>28</v>
      </c>
      <c r="D738" s="126" t="str">
        <f t="shared" si="95"/>
        <v>4728</v>
      </c>
      <c r="J738" s="101">
        <v>69</v>
      </c>
      <c r="K738" s="101">
        <v>99</v>
      </c>
      <c r="L738" s="101">
        <v>2084</v>
      </c>
      <c r="M738" s="101">
        <v>67671.350000000006</v>
      </c>
      <c r="N738" s="101">
        <v>29919.120999999999</v>
      </c>
      <c r="O738" s="101">
        <v>81</v>
      </c>
      <c r="P738" s="101">
        <v>373</v>
      </c>
      <c r="Q738" s="101">
        <v>11775</v>
      </c>
      <c r="R738" s="101">
        <v>354694.87</v>
      </c>
      <c r="S738" s="101">
        <v>95270.615000000005</v>
      </c>
      <c r="T738" s="133">
        <v>1.02</v>
      </c>
      <c r="U738" s="101">
        <v>364</v>
      </c>
      <c r="V738" s="101">
        <v>4475</v>
      </c>
      <c r="W738" s="101">
        <v>160728</v>
      </c>
      <c r="X738" s="144">
        <f t="shared" si="90"/>
        <v>361788.76740000001</v>
      </c>
      <c r="Y738" s="101">
        <v>707199</v>
      </c>
      <c r="AG738" s="225"/>
      <c r="AH738" s="101"/>
      <c r="AI738" s="101"/>
      <c r="AJ738" s="101"/>
    </row>
    <row r="739" spans="1:36" hidden="1" x14ac:dyDescent="0.3">
      <c r="A739" s="126" t="s">
        <v>187</v>
      </c>
      <c r="B739" s="126">
        <v>47</v>
      </c>
      <c r="C739" s="126">
        <v>41</v>
      </c>
      <c r="D739" s="126" t="str">
        <f t="shared" si="95"/>
        <v>4741</v>
      </c>
      <c r="J739" s="101">
        <v>5</v>
      </c>
      <c r="K739" s="101">
        <v>61</v>
      </c>
      <c r="L739" s="101">
        <v>160</v>
      </c>
      <c r="M739" s="101">
        <v>2510.7600000000002</v>
      </c>
      <c r="N739" s="101">
        <v>945.76300000000003</v>
      </c>
      <c r="O739" s="101">
        <v>3</v>
      </c>
      <c r="P739" s="101">
        <v>3</v>
      </c>
      <c r="Q739" s="101">
        <v>19</v>
      </c>
      <c r="R739" s="101">
        <v>691.95</v>
      </c>
      <c r="S739" s="101">
        <v>241.709</v>
      </c>
      <c r="T739" s="133">
        <v>1.02</v>
      </c>
      <c r="U739" s="101">
        <f t="shared" si="91"/>
        <v>3.06</v>
      </c>
      <c r="V739" s="101">
        <f t="shared" si="92"/>
        <v>3.06</v>
      </c>
      <c r="W739" s="101">
        <f t="shared" si="93"/>
        <v>19.38</v>
      </c>
      <c r="X739" s="101">
        <f t="shared" si="90"/>
        <v>705.7890000000001</v>
      </c>
      <c r="Y739" s="101">
        <f t="shared" si="94"/>
        <v>246.54318000000001</v>
      </c>
      <c r="AG739" s="225"/>
      <c r="AH739" s="101"/>
      <c r="AI739" s="101"/>
      <c r="AJ739" s="101"/>
    </row>
    <row r="740" spans="1:36" hidden="1" x14ac:dyDescent="0.3">
      <c r="A740" s="126" t="s">
        <v>187</v>
      </c>
      <c r="B740" s="126">
        <v>47</v>
      </c>
      <c r="C740" s="126">
        <v>46</v>
      </c>
      <c r="D740" s="126" t="str">
        <f t="shared" si="95"/>
        <v>4746</v>
      </c>
      <c r="J740" s="101">
        <v>16</v>
      </c>
      <c r="K740" s="101">
        <v>18</v>
      </c>
      <c r="L740" s="101">
        <v>104</v>
      </c>
      <c r="M740" s="101">
        <v>2545.17</v>
      </c>
      <c r="N740" s="101">
        <v>863.572</v>
      </c>
      <c r="O740" s="101">
        <v>22</v>
      </c>
      <c r="P740" s="101">
        <v>22</v>
      </c>
      <c r="Q740" s="101">
        <v>941</v>
      </c>
      <c r="R740" s="101">
        <v>26727.759999999998</v>
      </c>
      <c r="S740" s="101">
        <v>8517.7180000000008</v>
      </c>
      <c r="T740" s="133">
        <v>1.02</v>
      </c>
      <c r="U740" s="101">
        <f t="shared" si="91"/>
        <v>22.44</v>
      </c>
      <c r="V740" s="101">
        <f t="shared" si="92"/>
        <v>22.44</v>
      </c>
      <c r="W740" s="101">
        <f t="shared" si="93"/>
        <v>959.82</v>
      </c>
      <c r="X740" s="101">
        <f t="shared" si="90"/>
        <v>27262.315199999997</v>
      </c>
      <c r="Y740" s="101">
        <f t="shared" si="94"/>
        <v>8688.0723600000001</v>
      </c>
      <c r="AG740" s="225"/>
      <c r="AH740" s="101"/>
      <c r="AI740" s="101"/>
      <c r="AJ740" s="101"/>
    </row>
    <row r="741" spans="1:36" hidden="1" x14ac:dyDescent="0.3">
      <c r="A741" s="126" t="s">
        <v>187</v>
      </c>
      <c r="B741" s="126">
        <v>47</v>
      </c>
      <c r="C741" s="126">
        <v>48</v>
      </c>
      <c r="D741" s="126" t="str">
        <f t="shared" si="95"/>
        <v>4748</v>
      </c>
      <c r="J741" s="101">
        <v>1</v>
      </c>
      <c r="K741" s="101">
        <v>2</v>
      </c>
      <c r="L741" s="101">
        <v>20</v>
      </c>
      <c r="M741" s="101">
        <v>111.8</v>
      </c>
      <c r="N741" s="101">
        <v>49.521999999999998</v>
      </c>
      <c r="O741" s="101">
        <v>0</v>
      </c>
      <c r="P741" s="101">
        <v>0</v>
      </c>
      <c r="Q741" s="101">
        <v>0</v>
      </c>
      <c r="R741" s="101">
        <v>0</v>
      </c>
      <c r="S741" s="101">
        <v>0</v>
      </c>
      <c r="T741" s="133">
        <v>1.02</v>
      </c>
      <c r="U741" s="101">
        <f t="shared" si="91"/>
        <v>0</v>
      </c>
      <c r="V741" s="101">
        <f t="shared" si="92"/>
        <v>0</v>
      </c>
      <c r="W741" s="101">
        <f t="shared" si="93"/>
        <v>0</v>
      </c>
      <c r="X741" s="101">
        <f t="shared" si="90"/>
        <v>0</v>
      </c>
      <c r="Y741" s="101">
        <f t="shared" si="94"/>
        <v>0</v>
      </c>
      <c r="AG741" s="225"/>
      <c r="AH741" s="101"/>
      <c r="AI741" s="101"/>
      <c r="AJ741" s="101"/>
    </row>
    <row r="742" spans="1:36" hidden="1" x14ac:dyDescent="0.3">
      <c r="A742" s="126" t="s">
        <v>187</v>
      </c>
      <c r="B742" s="126">
        <v>47</v>
      </c>
      <c r="C742" s="126">
        <v>66</v>
      </c>
      <c r="D742" s="126" t="str">
        <f t="shared" si="95"/>
        <v>4766</v>
      </c>
      <c r="J742" s="101">
        <v>31</v>
      </c>
      <c r="K742" s="101">
        <v>33</v>
      </c>
      <c r="L742" s="101">
        <v>889</v>
      </c>
      <c r="M742" s="101">
        <v>9003.7800000000007</v>
      </c>
      <c r="N742" s="101">
        <v>7331.0349999999999</v>
      </c>
      <c r="O742" s="101">
        <v>31</v>
      </c>
      <c r="P742" s="101">
        <v>48</v>
      </c>
      <c r="Q742" s="101">
        <v>2313</v>
      </c>
      <c r="R742" s="101">
        <v>11441.36</v>
      </c>
      <c r="S742" s="101">
        <v>6033.0780000000004</v>
      </c>
      <c r="T742" s="133">
        <v>1.02</v>
      </c>
      <c r="U742" s="101">
        <f t="shared" si="91"/>
        <v>31.62</v>
      </c>
      <c r="V742" s="101">
        <f t="shared" si="92"/>
        <v>48.96</v>
      </c>
      <c r="W742" s="101">
        <f t="shared" si="93"/>
        <v>2359.2600000000002</v>
      </c>
      <c r="X742" s="101">
        <f t="shared" si="90"/>
        <v>11670.1872</v>
      </c>
      <c r="Y742" s="101">
        <f t="shared" si="94"/>
        <v>6153.7395600000009</v>
      </c>
      <c r="AG742" s="225"/>
      <c r="AH742" s="101"/>
      <c r="AI742" s="101"/>
      <c r="AJ742" s="101"/>
    </row>
    <row r="743" spans="1:36" x14ac:dyDescent="0.3">
      <c r="A743" s="126" t="s">
        <v>187</v>
      </c>
      <c r="B743" s="126">
        <v>47</v>
      </c>
      <c r="C743" s="126">
        <v>91</v>
      </c>
      <c r="D743" s="126" t="str">
        <f t="shared" si="95"/>
        <v>4791</v>
      </c>
      <c r="J743" s="101">
        <v>10</v>
      </c>
      <c r="K743" s="101">
        <v>15</v>
      </c>
      <c r="L743" s="101">
        <v>25</v>
      </c>
      <c r="M743" s="101">
        <v>275.61</v>
      </c>
      <c r="N743" s="101">
        <v>66.747</v>
      </c>
      <c r="O743" s="101">
        <v>6</v>
      </c>
      <c r="P743" s="101">
        <v>9</v>
      </c>
      <c r="Q743" s="101">
        <v>8996</v>
      </c>
      <c r="R743" s="101">
        <v>1421.9</v>
      </c>
      <c r="S743" s="101">
        <v>556.62</v>
      </c>
      <c r="T743" s="133">
        <v>1.02</v>
      </c>
      <c r="U743" s="101">
        <f t="shared" si="91"/>
        <v>6.12</v>
      </c>
      <c r="V743" s="101">
        <f t="shared" si="92"/>
        <v>9.18</v>
      </c>
      <c r="W743" s="101">
        <f t="shared" si="93"/>
        <v>9175.92</v>
      </c>
      <c r="X743" s="101">
        <f t="shared" si="90"/>
        <v>1450.3380000000002</v>
      </c>
      <c r="Y743" s="101">
        <f t="shared" si="94"/>
        <v>567.75239999999997</v>
      </c>
      <c r="AG743" s="225"/>
      <c r="AH743" s="101"/>
      <c r="AI743" s="101"/>
      <c r="AJ743" s="101"/>
    </row>
    <row r="744" spans="1:36" hidden="1" x14ac:dyDescent="0.3">
      <c r="A744" s="126" t="s">
        <v>187</v>
      </c>
      <c r="B744" s="126">
        <v>47</v>
      </c>
      <c r="C744" s="126">
        <v>1</v>
      </c>
      <c r="D744" s="126" t="str">
        <f t="shared" si="95"/>
        <v>471</v>
      </c>
      <c r="J744" s="101">
        <v>226</v>
      </c>
      <c r="K744" s="101">
        <v>226</v>
      </c>
      <c r="L744" s="101">
        <v>86707</v>
      </c>
      <c r="N744" s="101">
        <v>503853</v>
      </c>
      <c r="O744" s="101">
        <v>121</v>
      </c>
      <c r="P744" s="101">
        <v>121</v>
      </c>
      <c r="Q744" s="101">
        <v>37080</v>
      </c>
      <c r="S744" s="101">
        <v>162966.59400000001</v>
      </c>
      <c r="T744" s="133">
        <v>1.02</v>
      </c>
      <c r="U744" s="101">
        <f t="shared" si="91"/>
        <v>123.42</v>
      </c>
      <c r="V744" s="101">
        <f t="shared" si="92"/>
        <v>123.42</v>
      </c>
      <c r="W744" s="101">
        <f t="shared" si="93"/>
        <v>37821.599999999999</v>
      </c>
      <c r="X744" s="101">
        <f t="shared" si="90"/>
        <v>0</v>
      </c>
      <c r="Y744" s="101">
        <f t="shared" si="94"/>
        <v>166225.92588000002</v>
      </c>
      <c r="AG744" s="225"/>
      <c r="AH744" s="101"/>
      <c r="AI744" s="101"/>
      <c r="AJ744" s="101"/>
    </row>
    <row r="745" spans="1:36" hidden="1" x14ac:dyDescent="0.3">
      <c r="A745" s="126" t="s">
        <v>187</v>
      </c>
      <c r="B745" s="126">
        <v>47</v>
      </c>
      <c r="C745" s="126">
        <v>37</v>
      </c>
      <c r="D745" s="126" t="str">
        <f t="shared" si="95"/>
        <v>4737</v>
      </c>
      <c r="E745" s="101">
        <v>8.25</v>
      </c>
      <c r="F745" s="101">
        <v>25.5</v>
      </c>
      <c r="G745" s="101">
        <v>475.75</v>
      </c>
      <c r="H745" s="101">
        <v>2321.1525000000001</v>
      </c>
      <c r="I745" s="101">
        <v>963.20525000000009</v>
      </c>
      <c r="J745" s="101">
        <v>3</v>
      </c>
      <c r="K745" s="101">
        <v>5</v>
      </c>
      <c r="L745" s="101">
        <v>16500</v>
      </c>
      <c r="M745" s="101">
        <v>9390</v>
      </c>
      <c r="N745" s="101">
        <v>972.5</v>
      </c>
      <c r="O745" s="101">
        <v>1</v>
      </c>
      <c r="P745" s="101">
        <v>5</v>
      </c>
      <c r="Q745" s="101">
        <v>10000</v>
      </c>
      <c r="R745" s="101">
        <v>4400</v>
      </c>
      <c r="S745" s="101">
        <v>268.10000000000002</v>
      </c>
      <c r="T745" s="133">
        <v>1.02</v>
      </c>
      <c r="U745" s="101">
        <f t="shared" si="91"/>
        <v>1.02</v>
      </c>
      <c r="V745" s="101">
        <f t="shared" si="92"/>
        <v>5.0999999999999996</v>
      </c>
      <c r="W745" s="101">
        <f t="shared" si="93"/>
        <v>10200</v>
      </c>
      <c r="X745" s="101">
        <f t="shared" si="90"/>
        <v>4488</v>
      </c>
      <c r="Y745" s="101">
        <f t="shared" si="94"/>
        <v>273.46200000000005</v>
      </c>
      <c r="AG745" s="225"/>
      <c r="AH745" s="101">
        <v>30000</v>
      </c>
      <c r="AI745" s="101">
        <f t="shared" si="88"/>
        <v>24000</v>
      </c>
      <c r="AJ745" s="101">
        <f t="shared" si="89"/>
        <v>36000</v>
      </c>
    </row>
    <row r="746" spans="1:36" hidden="1" x14ac:dyDescent="0.3">
      <c r="A746" s="126" t="s">
        <v>187</v>
      </c>
      <c r="B746" s="126">
        <v>48</v>
      </c>
      <c r="C746" s="126">
        <v>22</v>
      </c>
      <c r="D746" s="126" t="str">
        <f t="shared" si="95"/>
        <v>4822</v>
      </c>
      <c r="E746" s="101">
        <v>843</v>
      </c>
      <c r="F746" s="101">
        <v>7607</v>
      </c>
      <c r="G746" s="101">
        <v>66864</v>
      </c>
      <c r="H746" s="101">
        <v>707311.4</v>
      </c>
      <c r="I746" s="101">
        <v>487779.47899999999</v>
      </c>
      <c r="J746" s="101">
        <v>1077</v>
      </c>
      <c r="K746" s="101">
        <v>5529</v>
      </c>
      <c r="L746" s="101">
        <v>42299</v>
      </c>
      <c r="M746" s="101">
        <v>424913.39</v>
      </c>
      <c r="N746" s="101">
        <v>197064.658</v>
      </c>
      <c r="O746" s="101">
        <v>838</v>
      </c>
      <c r="P746" s="101">
        <v>4159</v>
      </c>
      <c r="Q746" s="101">
        <v>41982</v>
      </c>
      <c r="R746" s="101">
        <v>296171.95</v>
      </c>
      <c r="S746" s="101">
        <v>182192.18700000001</v>
      </c>
      <c r="T746" s="133">
        <v>1.02</v>
      </c>
      <c r="U746" s="101">
        <f t="shared" si="91"/>
        <v>854.76</v>
      </c>
      <c r="V746" s="101">
        <f t="shared" si="92"/>
        <v>4242.18</v>
      </c>
      <c r="W746" s="101">
        <f t="shared" si="93"/>
        <v>42821.64</v>
      </c>
      <c r="X746" s="101">
        <f t="shared" si="90"/>
        <v>302095.38900000002</v>
      </c>
      <c r="Y746" s="101">
        <f t="shared" si="94"/>
        <v>185836.03074000002</v>
      </c>
      <c r="AG746" s="225">
        <f>SUM(V746:V760)</f>
        <v>40898.659999999996</v>
      </c>
      <c r="AH746" s="101">
        <v>30000</v>
      </c>
      <c r="AI746" s="101">
        <f t="shared" si="88"/>
        <v>24000</v>
      </c>
      <c r="AJ746" s="101">
        <f t="shared" si="89"/>
        <v>36000</v>
      </c>
    </row>
    <row r="747" spans="1:36" hidden="1" x14ac:dyDescent="0.3">
      <c r="A747" s="126" t="s">
        <v>187</v>
      </c>
      <c r="B747" s="126">
        <v>48</v>
      </c>
      <c r="C747" s="126">
        <v>25</v>
      </c>
      <c r="D747" s="126" t="str">
        <f t="shared" si="95"/>
        <v>4825</v>
      </c>
      <c r="E747" s="101">
        <v>154</v>
      </c>
      <c r="F747" s="101">
        <v>1828</v>
      </c>
      <c r="G747" s="101">
        <v>38915</v>
      </c>
      <c r="H747" s="101">
        <v>529796.88</v>
      </c>
      <c r="I747" s="101">
        <v>256845</v>
      </c>
      <c r="J747" s="101">
        <v>224</v>
      </c>
      <c r="K747" s="101">
        <v>2556</v>
      </c>
      <c r="L747" s="101">
        <v>53611</v>
      </c>
      <c r="M747" s="101">
        <v>755164.71</v>
      </c>
      <c r="N747" s="101">
        <v>312898.83299999998</v>
      </c>
      <c r="O747" s="101">
        <v>392</v>
      </c>
      <c r="P747" s="101">
        <v>2987</v>
      </c>
      <c r="Q747" s="101">
        <v>41558</v>
      </c>
      <c r="R747" s="101">
        <v>665397.9</v>
      </c>
      <c r="S747" s="101">
        <v>277597.26299999998</v>
      </c>
      <c r="T747" s="133">
        <v>1.02</v>
      </c>
      <c r="U747" s="101">
        <f t="shared" si="91"/>
        <v>399.84000000000003</v>
      </c>
      <c r="V747" s="101">
        <f t="shared" si="92"/>
        <v>3046.7400000000002</v>
      </c>
      <c r="W747" s="101">
        <f t="shared" si="93"/>
        <v>42389.16</v>
      </c>
      <c r="X747" s="101">
        <f t="shared" si="90"/>
        <v>678705.85800000001</v>
      </c>
      <c r="Y747" s="101">
        <f t="shared" si="94"/>
        <v>283149.20825999998</v>
      </c>
      <c r="AG747" s="225"/>
      <c r="AH747" s="101">
        <v>30000</v>
      </c>
      <c r="AI747" s="101">
        <f t="shared" si="88"/>
        <v>24000</v>
      </c>
      <c r="AJ747" s="101">
        <f t="shared" si="89"/>
        <v>36000</v>
      </c>
    </row>
    <row r="748" spans="1:36" hidden="1" x14ac:dyDescent="0.3">
      <c r="A748" s="126" t="s">
        <v>187</v>
      </c>
      <c r="B748" s="126">
        <v>48</v>
      </c>
      <c r="C748" s="126">
        <v>27</v>
      </c>
      <c r="D748" s="126" t="str">
        <f t="shared" si="95"/>
        <v>4827</v>
      </c>
      <c r="E748" s="101">
        <v>14</v>
      </c>
      <c r="F748" s="101">
        <v>542</v>
      </c>
      <c r="G748" s="101">
        <v>6056</v>
      </c>
      <c r="H748" s="101">
        <v>82770.84</v>
      </c>
      <c r="I748" s="101">
        <v>22952.99</v>
      </c>
      <c r="J748" s="101">
        <v>3</v>
      </c>
      <c r="K748" s="101">
        <v>29</v>
      </c>
      <c r="L748" s="101">
        <v>433</v>
      </c>
      <c r="M748" s="101">
        <v>11421.99</v>
      </c>
      <c r="N748" s="101">
        <v>6255.7190000000001</v>
      </c>
      <c r="O748" s="101">
        <v>30</v>
      </c>
      <c r="P748" s="101">
        <v>174</v>
      </c>
      <c r="Q748" s="101">
        <v>2243</v>
      </c>
      <c r="R748" s="101">
        <v>27158.73</v>
      </c>
      <c r="S748" s="101">
        <v>14449.923000000001</v>
      </c>
      <c r="T748" s="133">
        <v>1.02</v>
      </c>
      <c r="U748" s="101">
        <f t="shared" si="91"/>
        <v>30.6</v>
      </c>
      <c r="V748" s="101">
        <f t="shared" si="92"/>
        <v>177.48</v>
      </c>
      <c r="W748" s="101">
        <f t="shared" si="93"/>
        <v>2287.86</v>
      </c>
      <c r="X748" s="101">
        <f t="shared" si="90"/>
        <v>27701.904600000002</v>
      </c>
      <c r="Y748" s="101">
        <f t="shared" si="94"/>
        <v>14738.921460000001</v>
      </c>
      <c r="AG748" s="225"/>
      <c r="AH748" s="101">
        <v>30000</v>
      </c>
      <c r="AI748" s="101">
        <f t="shared" si="88"/>
        <v>24000</v>
      </c>
      <c r="AJ748" s="101">
        <f t="shared" si="89"/>
        <v>36000</v>
      </c>
    </row>
    <row r="749" spans="1:36" hidden="1" x14ac:dyDescent="0.3">
      <c r="A749" s="126" t="s">
        <v>187</v>
      </c>
      <c r="B749" s="126">
        <v>48</v>
      </c>
      <c r="C749" s="126">
        <v>26</v>
      </c>
      <c r="D749" s="126" t="str">
        <f t="shared" si="95"/>
        <v>4826</v>
      </c>
      <c r="E749" s="101">
        <v>110</v>
      </c>
      <c r="F749" s="101">
        <v>3408</v>
      </c>
      <c r="G749" s="101">
        <v>75286</v>
      </c>
      <c r="H749" s="101">
        <v>926610.46000000008</v>
      </c>
      <c r="I749" s="101">
        <v>411963</v>
      </c>
      <c r="J749" s="101">
        <v>103</v>
      </c>
      <c r="K749" s="101">
        <v>2623</v>
      </c>
      <c r="L749" s="101">
        <v>42834</v>
      </c>
      <c r="M749" s="101">
        <v>632779.31999999995</v>
      </c>
      <c r="N749" s="101">
        <v>240245.951</v>
      </c>
      <c r="O749" s="101">
        <v>15</v>
      </c>
      <c r="P749" s="101">
        <v>572</v>
      </c>
      <c r="Q749" s="101">
        <v>13691</v>
      </c>
      <c r="R749" s="101">
        <v>232084.55</v>
      </c>
      <c r="S749" s="101">
        <v>80591.764999999999</v>
      </c>
      <c r="T749" s="133">
        <v>1.02</v>
      </c>
      <c r="U749" s="101">
        <f t="shared" si="91"/>
        <v>15.3</v>
      </c>
      <c r="V749" s="101">
        <f t="shared" si="92"/>
        <v>583.44000000000005</v>
      </c>
      <c r="W749" s="101">
        <f t="shared" si="93"/>
        <v>13964.82</v>
      </c>
      <c r="X749" s="101">
        <f t="shared" si="90"/>
        <v>236726.24099999998</v>
      </c>
      <c r="Y749" s="101">
        <f t="shared" si="94"/>
        <v>82203.600300000006</v>
      </c>
      <c r="AG749" s="225"/>
      <c r="AH749" s="101">
        <v>30000</v>
      </c>
      <c r="AI749" s="101">
        <f t="shared" si="88"/>
        <v>24000</v>
      </c>
      <c r="AJ749" s="101">
        <f t="shared" si="89"/>
        <v>36000</v>
      </c>
    </row>
    <row r="750" spans="1:36" hidden="1" x14ac:dyDescent="0.3">
      <c r="A750" s="126" t="s">
        <v>187</v>
      </c>
      <c r="B750" s="126">
        <v>48</v>
      </c>
      <c r="C750" s="126">
        <v>32</v>
      </c>
      <c r="D750" s="126" t="str">
        <f t="shared" si="95"/>
        <v>4832</v>
      </c>
      <c r="E750" s="101">
        <v>821</v>
      </c>
      <c r="F750" s="101">
        <v>2628</v>
      </c>
      <c r="G750" s="101">
        <v>79090</v>
      </c>
      <c r="H750" s="101">
        <v>1164577.6800000002</v>
      </c>
      <c r="I750" s="101">
        <v>592581.23400000005</v>
      </c>
      <c r="J750" s="101">
        <v>533</v>
      </c>
      <c r="K750" s="101">
        <v>2302</v>
      </c>
      <c r="L750" s="101">
        <v>58864</v>
      </c>
      <c r="M750" s="101">
        <v>853109.97</v>
      </c>
      <c r="N750" s="101">
        <v>297956.10200000001</v>
      </c>
      <c r="O750" s="101">
        <v>382</v>
      </c>
      <c r="P750" s="101">
        <v>1411</v>
      </c>
      <c r="Q750" s="101">
        <v>31061</v>
      </c>
      <c r="R750" s="101">
        <v>250659.05</v>
      </c>
      <c r="S750" s="101">
        <v>119401.348</v>
      </c>
      <c r="T750" s="133">
        <v>1.02</v>
      </c>
      <c r="U750" s="101">
        <f>O750*$T$5+9</f>
        <v>398.64</v>
      </c>
      <c r="V750" s="101">
        <f>P750*$T$5+30</f>
        <v>1469.22</v>
      </c>
      <c r="W750" s="101">
        <f>Q750*$T$5+3444</f>
        <v>35126.22</v>
      </c>
      <c r="X750" s="101">
        <f>R750*$T$5+23192</f>
        <v>278864.23100000003</v>
      </c>
      <c r="Y750" s="101">
        <f>S750*$T$5+7560</f>
        <v>129349.37496</v>
      </c>
      <c r="AG750" s="225"/>
      <c r="AH750" s="101">
        <v>30000</v>
      </c>
      <c r="AI750" s="101">
        <f t="shared" si="88"/>
        <v>24000</v>
      </c>
      <c r="AJ750" s="101">
        <f t="shared" si="89"/>
        <v>36000</v>
      </c>
    </row>
    <row r="751" spans="1:36" hidden="1" x14ac:dyDescent="0.3">
      <c r="A751" s="126" t="s">
        <v>187</v>
      </c>
      <c r="B751" s="126">
        <v>48</v>
      </c>
      <c r="C751" s="126">
        <v>21</v>
      </c>
      <c r="D751" s="126" t="str">
        <f t="shared" si="95"/>
        <v>4821</v>
      </c>
      <c r="E751" s="101">
        <v>2078</v>
      </c>
      <c r="F751" s="101">
        <v>9710.5</v>
      </c>
      <c r="G751" s="101">
        <v>50415</v>
      </c>
      <c r="H751" s="101">
        <v>951230.70499999996</v>
      </c>
      <c r="I751" s="101">
        <v>282273.45549999998</v>
      </c>
      <c r="J751" s="101">
        <v>0</v>
      </c>
      <c r="K751" s="101">
        <v>0</v>
      </c>
      <c r="L751" s="101">
        <v>0</v>
      </c>
      <c r="M751" s="101">
        <v>0</v>
      </c>
      <c r="N751" s="101">
        <v>0</v>
      </c>
      <c r="O751" s="101">
        <v>152</v>
      </c>
      <c r="P751" s="101">
        <v>661</v>
      </c>
      <c r="Q751" s="101">
        <v>17512</v>
      </c>
      <c r="R751" s="101">
        <v>84990.35</v>
      </c>
      <c r="S751" s="101">
        <v>33861.627999999997</v>
      </c>
      <c r="T751" s="133">
        <v>1.02</v>
      </c>
      <c r="U751" s="101">
        <v>1578</v>
      </c>
      <c r="V751" s="101">
        <v>14264</v>
      </c>
      <c r="W751" s="101">
        <v>96955</v>
      </c>
      <c r="X751" s="101">
        <v>1269253</v>
      </c>
      <c r="Y751" s="101">
        <v>361245</v>
      </c>
      <c r="AG751" s="225"/>
      <c r="AH751" s="101">
        <v>30000</v>
      </c>
      <c r="AI751" s="101">
        <f t="shared" si="88"/>
        <v>24000</v>
      </c>
      <c r="AJ751" s="101">
        <f t="shared" si="89"/>
        <v>36000</v>
      </c>
    </row>
    <row r="752" spans="1:36" hidden="1" x14ac:dyDescent="0.3">
      <c r="A752" s="126" t="s">
        <v>187</v>
      </c>
      <c r="B752" s="126">
        <v>48</v>
      </c>
      <c r="C752" s="126">
        <v>30</v>
      </c>
      <c r="D752" s="126" t="str">
        <f t="shared" si="95"/>
        <v>4830</v>
      </c>
      <c r="E752" s="101">
        <v>924</v>
      </c>
      <c r="F752" s="101">
        <v>6478</v>
      </c>
      <c r="G752" s="101">
        <v>32797.5</v>
      </c>
      <c r="H752" s="101">
        <v>1242560.3</v>
      </c>
      <c r="I752" s="101">
        <v>428954.359</v>
      </c>
      <c r="J752" s="101">
        <v>899</v>
      </c>
      <c r="K752" s="101">
        <v>12022</v>
      </c>
      <c r="L752" s="101">
        <v>64220</v>
      </c>
      <c r="M752" s="101">
        <v>2372701.15</v>
      </c>
      <c r="N752" s="101">
        <v>938137.951</v>
      </c>
      <c r="O752" s="101">
        <v>593</v>
      </c>
      <c r="P752" s="101">
        <v>11554</v>
      </c>
      <c r="Q752" s="101">
        <v>53423</v>
      </c>
      <c r="R752" s="101">
        <v>1746389.02</v>
      </c>
      <c r="S752" s="101">
        <v>629802.53399999999</v>
      </c>
      <c r="T752" s="133">
        <v>1.02</v>
      </c>
      <c r="U752" s="101">
        <f t="shared" si="91"/>
        <v>604.86</v>
      </c>
      <c r="V752" s="101">
        <f t="shared" si="92"/>
        <v>11785.08</v>
      </c>
      <c r="W752" s="101">
        <f t="shared" si="93"/>
        <v>54491.46</v>
      </c>
      <c r="X752" s="101">
        <f t="shared" si="90"/>
        <v>1781316.8004000001</v>
      </c>
      <c r="Y752" s="101">
        <f t="shared" si="94"/>
        <v>642398.58467999997</v>
      </c>
      <c r="AG752" s="225"/>
      <c r="AH752" s="101">
        <v>30000</v>
      </c>
      <c r="AI752" s="101">
        <f t="shared" si="88"/>
        <v>24000</v>
      </c>
      <c r="AJ752" s="101">
        <f t="shared" si="89"/>
        <v>36000</v>
      </c>
    </row>
    <row r="753" spans="1:36" hidden="1" x14ac:dyDescent="0.3">
      <c r="A753" s="126" t="s">
        <v>187</v>
      </c>
      <c r="B753" s="126">
        <v>48</v>
      </c>
      <c r="C753" s="126">
        <v>71</v>
      </c>
      <c r="D753" s="126" t="str">
        <f t="shared" si="95"/>
        <v>4871</v>
      </c>
      <c r="E753" s="101">
        <v>505</v>
      </c>
      <c r="F753" s="101">
        <v>9333</v>
      </c>
      <c r="G753" s="101">
        <v>28733.5</v>
      </c>
      <c r="H753" s="101">
        <v>239485.07</v>
      </c>
      <c r="I753" s="101">
        <v>104460.933</v>
      </c>
      <c r="J753" s="101">
        <v>532</v>
      </c>
      <c r="K753" s="101">
        <v>9444</v>
      </c>
      <c r="L753" s="101">
        <v>24174</v>
      </c>
      <c r="M753" s="101">
        <v>210475.99</v>
      </c>
      <c r="N753" s="101">
        <v>92227.957999999999</v>
      </c>
      <c r="O753" s="101">
        <v>387</v>
      </c>
      <c r="P753" s="101">
        <v>10528</v>
      </c>
      <c r="Q753" s="101">
        <v>43351</v>
      </c>
      <c r="R753" s="101">
        <v>429130.97</v>
      </c>
      <c r="S753" s="101">
        <v>202988.39799999999</v>
      </c>
      <c r="T753" s="133">
        <v>0.98</v>
      </c>
      <c r="AG753" s="225"/>
      <c r="AH753" s="101">
        <v>30000</v>
      </c>
      <c r="AI753" s="101">
        <f t="shared" si="88"/>
        <v>24000</v>
      </c>
      <c r="AJ753" s="101">
        <f t="shared" si="89"/>
        <v>36000</v>
      </c>
    </row>
    <row r="754" spans="1:36" hidden="1" x14ac:dyDescent="0.3">
      <c r="A754" s="126" t="s">
        <v>187</v>
      </c>
      <c r="B754" s="126">
        <v>48</v>
      </c>
      <c r="C754" s="126">
        <v>28</v>
      </c>
      <c r="D754" s="126" t="str">
        <f t="shared" si="95"/>
        <v>4828</v>
      </c>
      <c r="J754" s="101">
        <v>75</v>
      </c>
      <c r="K754" s="101">
        <v>89</v>
      </c>
      <c r="L754" s="101">
        <v>1936</v>
      </c>
      <c r="M754" s="101">
        <v>95707.23</v>
      </c>
      <c r="N754" s="101">
        <v>23233.235000000001</v>
      </c>
      <c r="O754" s="101">
        <v>78</v>
      </c>
      <c r="P754" s="101">
        <v>380</v>
      </c>
      <c r="Q754" s="101">
        <v>5905</v>
      </c>
      <c r="R754" s="101">
        <v>139115.04</v>
      </c>
      <c r="S754" s="101">
        <v>38333.468000000001</v>
      </c>
      <c r="T754" s="133">
        <v>1.02</v>
      </c>
      <c r="U754" s="101">
        <v>269</v>
      </c>
      <c r="V754" s="101">
        <v>4998</v>
      </c>
      <c r="W754" s="101">
        <v>64966</v>
      </c>
      <c r="X754" s="144">
        <f t="shared" si="90"/>
        <v>141897.34080000001</v>
      </c>
      <c r="Y754" s="101">
        <v>377597</v>
      </c>
      <c r="AG754" s="225"/>
      <c r="AH754" s="101"/>
      <c r="AI754" s="101"/>
      <c r="AJ754" s="101"/>
    </row>
    <row r="755" spans="1:36" hidden="1" x14ac:dyDescent="0.3">
      <c r="A755" s="126" t="s">
        <v>187</v>
      </c>
      <c r="B755" s="126">
        <v>48</v>
      </c>
      <c r="C755" s="126">
        <v>41</v>
      </c>
      <c r="D755" s="126" t="str">
        <f t="shared" si="95"/>
        <v>4841</v>
      </c>
      <c r="J755" s="101">
        <v>11</v>
      </c>
      <c r="K755" s="101">
        <v>40</v>
      </c>
      <c r="L755" s="101">
        <v>361</v>
      </c>
      <c r="M755" s="101">
        <v>3920.32</v>
      </c>
      <c r="N755" s="101">
        <v>1393.8340000000001</v>
      </c>
      <c r="O755" s="101">
        <v>1</v>
      </c>
      <c r="P755" s="101">
        <v>1</v>
      </c>
      <c r="Q755" s="101">
        <v>1</v>
      </c>
      <c r="R755" s="101">
        <v>22.58</v>
      </c>
      <c r="S755" s="101">
        <v>9.8000000000000007</v>
      </c>
      <c r="T755" s="133">
        <v>1.02</v>
      </c>
      <c r="U755" s="101">
        <f t="shared" si="91"/>
        <v>1.02</v>
      </c>
      <c r="V755" s="101">
        <f t="shared" si="92"/>
        <v>1.02</v>
      </c>
      <c r="W755" s="101">
        <f t="shared" si="93"/>
        <v>1.02</v>
      </c>
      <c r="X755" s="101">
        <f t="shared" si="90"/>
        <v>23.031599999999997</v>
      </c>
      <c r="Y755" s="101">
        <f t="shared" si="94"/>
        <v>9.9960000000000004</v>
      </c>
      <c r="AG755" s="225"/>
      <c r="AH755" s="101"/>
      <c r="AI755" s="101"/>
      <c r="AJ755" s="101"/>
    </row>
    <row r="756" spans="1:36" hidden="1" x14ac:dyDescent="0.3">
      <c r="A756" s="126" t="s">
        <v>187</v>
      </c>
      <c r="B756" s="126">
        <v>48</v>
      </c>
      <c r="C756" s="126">
        <v>46</v>
      </c>
      <c r="D756" s="126" t="str">
        <f t="shared" si="95"/>
        <v>4846</v>
      </c>
      <c r="J756" s="101">
        <v>35</v>
      </c>
      <c r="K756" s="101">
        <v>44</v>
      </c>
      <c r="L756" s="101">
        <v>363</v>
      </c>
      <c r="M756" s="101">
        <v>21903.72</v>
      </c>
      <c r="N756" s="101">
        <v>6717.5609999999997</v>
      </c>
      <c r="O756" s="101">
        <v>11</v>
      </c>
      <c r="P756" s="101">
        <v>12</v>
      </c>
      <c r="Q756" s="101">
        <v>218</v>
      </c>
      <c r="R756" s="101">
        <v>13320.39</v>
      </c>
      <c r="S756" s="101">
        <v>6899.2160000000003</v>
      </c>
      <c r="T756" s="133">
        <v>1.02</v>
      </c>
      <c r="U756" s="101">
        <f t="shared" si="91"/>
        <v>11.22</v>
      </c>
      <c r="V756" s="101">
        <f t="shared" si="92"/>
        <v>12.24</v>
      </c>
      <c r="W756" s="101">
        <f t="shared" si="93"/>
        <v>222.36</v>
      </c>
      <c r="X756" s="101">
        <f t="shared" si="90"/>
        <v>13586.7978</v>
      </c>
      <c r="Y756" s="101">
        <f t="shared" si="94"/>
        <v>7037.2003200000008</v>
      </c>
      <c r="AG756" s="225"/>
      <c r="AH756" s="101"/>
      <c r="AI756" s="101"/>
      <c r="AJ756" s="101"/>
    </row>
    <row r="757" spans="1:36" hidden="1" x14ac:dyDescent="0.3">
      <c r="A757" s="126" t="s">
        <v>187</v>
      </c>
      <c r="B757" s="126">
        <v>48</v>
      </c>
      <c r="C757" s="126">
        <v>66</v>
      </c>
      <c r="D757" s="126" t="str">
        <f t="shared" si="95"/>
        <v>4866</v>
      </c>
      <c r="J757" s="101">
        <v>19</v>
      </c>
      <c r="K757" s="101">
        <v>22</v>
      </c>
      <c r="L757" s="101">
        <v>1103</v>
      </c>
      <c r="M757" s="101">
        <v>29695.09</v>
      </c>
      <c r="N757" s="101">
        <v>23092.417000000001</v>
      </c>
      <c r="O757" s="101">
        <v>38</v>
      </c>
      <c r="P757" s="101">
        <v>59</v>
      </c>
      <c r="Q757" s="101">
        <v>2662</v>
      </c>
      <c r="R757" s="101">
        <v>28102.02</v>
      </c>
      <c r="S757" s="101">
        <v>13267.462</v>
      </c>
      <c r="T757" s="133">
        <v>1.02</v>
      </c>
      <c r="U757" s="101">
        <f t="shared" si="91"/>
        <v>38.76</v>
      </c>
      <c r="V757" s="101">
        <f t="shared" si="92"/>
        <v>60.18</v>
      </c>
      <c r="W757" s="101">
        <f t="shared" si="93"/>
        <v>2715.2400000000002</v>
      </c>
      <c r="X757" s="101">
        <f t="shared" si="90"/>
        <v>28664.060400000002</v>
      </c>
      <c r="Y757" s="101">
        <f t="shared" si="94"/>
        <v>13532.811239999999</v>
      </c>
      <c r="AG757" s="225"/>
      <c r="AH757" s="101"/>
      <c r="AI757" s="101"/>
      <c r="AJ757" s="101"/>
    </row>
    <row r="758" spans="1:36" x14ac:dyDescent="0.3">
      <c r="A758" s="126" t="s">
        <v>187</v>
      </c>
      <c r="B758" s="126">
        <v>48</v>
      </c>
      <c r="C758" s="126">
        <v>91</v>
      </c>
      <c r="D758" s="126" t="str">
        <f t="shared" si="95"/>
        <v>4891</v>
      </c>
      <c r="J758" s="101">
        <v>3</v>
      </c>
      <c r="K758" s="101">
        <v>3</v>
      </c>
      <c r="L758" s="101">
        <v>10</v>
      </c>
      <c r="M758" s="101">
        <v>97.08</v>
      </c>
      <c r="N758" s="101">
        <v>91.686000000000007</v>
      </c>
      <c r="O758" s="101">
        <v>15</v>
      </c>
      <c r="P758" s="101">
        <v>22</v>
      </c>
      <c r="Q758" s="101">
        <v>115</v>
      </c>
      <c r="R758" s="101">
        <v>1335.82</v>
      </c>
      <c r="S758" s="101">
        <v>459.33</v>
      </c>
      <c r="T758" s="133">
        <v>1.02</v>
      </c>
      <c r="U758" s="101">
        <f t="shared" si="91"/>
        <v>15.3</v>
      </c>
      <c r="V758" s="101">
        <f t="shared" si="92"/>
        <v>22.44</v>
      </c>
      <c r="W758" s="101">
        <f t="shared" si="93"/>
        <v>117.3</v>
      </c>
      <c r="X758" s="101">
        <f t="shared" si="90"/>
        <v>1362.5364</v>
      </c>
      <c r="Y758" s="101">
        <f t="shared" si="94"/>
        <v>468.51659999999998</v>
      </c>
      <c r="AG758" s="225"/>
      <c r="AH758" s="101"/>
      <c r="AI758" s="101"/>
      <c r="AJ758" s="101"/>
    </row>
    <row r="759" spans="1:36" hidden="1" x14ac:dyDescent="0.3">
      <c r="A759" s="126" t="s">
        <v>187</v>
      </c>
      <c r="B759" s="126">
        <v>48</v>
      </c>
      <c r="C759" s="126">
        <v>1</v>
      </c>
      <c r="D759" s="126" t="str">
        <f t="shared" si="95"/>
        <v>481</v>
      </c>
      <c r="J759" s="101">
        <v>101</v>
      </c>
      <c r="K759" s="101">
        <v>101</v>
      </c>
      <c r="L759" s="101">
        <v>55722</v>
      </c>
      <c r="N759" s="101">
        <v>332287</v>
      </c>
      <c r="O759" s="101">
        <v>230</v>
      </c>
      <c r="P759" s="101">
        <v>230</v>
      </c>
      <c r="Q759" s="101">
        <v>101711</v>
      </c>
      <c r="S759" s="101">
        <v>422127.20500000002</v>
      </c>
      <c r="T759" s="133">
        <v>1.02</v>
      </c>
      <c r="U759" s="101">
        <f t="shared" si="91"/>
        <v>234.6</v>
      </c>
      <c r="V759" s="101">
        <f t="shared" si="92"/>
        <v>234.6</v>
      </c>
      <c r="W759" s="101">
        <f t="shared" si="93"/>
        <v>103745.22</v>
      </c>
      <c r="X759" s="101">
        <f t="shared" si="90"/>
        <v>0</v>
      </c>
      <c r="Y759" s="101">
        <f t="shared" si="94"/>
        <v>430569.74910000002</v>
      </c>
      <c r="AG759" s="225"/>
      <c r="AH759" s="101"/>
      <c r="AI759" s="101"/>
      <c r="AJ759" s="101"/>
    </row>
    <row r="760" spans="1:36" hidden="1" x14ac:dyDescent="0.3">
      <c r="A760" s="126" t="s">
        <v>187</v>
      </c>
      <c r="B760" s="126">
        <v>48</v>
      </c>
      <c r="C760" s="126">
        <v>37</v>
      </c>
      <c r="D760" s="126" t="str">
        <f t="shared" si="95"/>
        <v>4837</v>
      </c>
      <c r="E760" s="101">
        <v>9.5</v>
      </c>
      <c r="F760" s="101">
        <v>31.25</v>
      </c>
      <c r="G760" s="101">
        <v>428.25</v>
      </c>
      <c r="H760" s="101">
        <v>2503.4725000000003</v>
      </c>
      <c r="I760" s="101">
        <v>885.68975</v>
      </c>
      <c r="J760" s="101">
        <v>0</v>
      </c>
      <c r="K760" s="101">
        <v>0</v>
      </c>
      <c r="L760" s="101">
        <v>0</v>
      </c>
      <c r="M760" s="101">
        <v>0</v>
      </c>
      <c r="N760" s="101">
        <v>0</v>
      </c>
      <c r="O760" s="101">
        <v>1</v>
      </c>
      <c r="P760" s="101">
        <v>2</v>
      </c>
      <c r="Q760" s="101">
        <v>8000</v>
      </c>
      <c r="R760" s="101">
        <v>3920</v>
      </c>
      <c r="S760" s="101">
        <v>360</v>
      </c>
      <c r="T760" s="133">
        <v>1.02</v>
      </c>
      <c r="U760" s="101">
        <f t="shared" si="91"/>
        <v>1.02</v>
      </c>
      <c r="V760" s="101">
        <f t="shared" si="92"/>
        <v>2.04</v>
      </c>
      <c r="W760" s="101">
        <f t="shared" si="93"/>
        <v>8160</v>
      </c>
      <c r="X760" s="101">
        <f t="shared" si="90"/>
        <v>3998.4</v>
      </c>
      <c r="Y760" s="101">
        <f t="shared" si="94"/>
        <v>367.2</v>
      </c>
      <c r="AG760" s="225"/>
      <c r="AH760" s="101">
        <v>30000</v>
      </c>
      <c r="AI760" s="101">
        <f t="shared" si="88"/>
        <v>24000</v>
      </c>
      <c r="AJ760" s="101">
        <f t="shared" si="89"/>
        <v>36000</v>
      </c>
    </row>
    <row r="761" spans="1:36" hidden="1" x14ac:dyDescent="0.3">
      <c r="A761" s="126" t="s">
        <v>188</v>
      </c>
      <c r="B761" s="126">
        <v>49</v>
      </c>
      <c r="C761" s="126">
        <v>22</v>
      </c>
      <c r="D761" s="126" t="str">
        <f t="shared" si="95"/>
        <v>4922</v>
      </c>
      <c r="E761" s="101">
        <v>677</v>
      </c>
      <c r="F761" s="101">
        <v>11919</v>
      </c>
      <c r="G761" s="101">
        <v>77371</v>
      </c>
      <c r="H761" s="101">
        <v>266354</v>
      </c>
      <c r="I761" s="101">
        <v>187952.27100000001</v>
      </c>
      <c r="J761" s="101">
        <v>731</v>
      </c>
      <c r="K761" s="101">
        <v>7686</v>
      </c>
      <c r="L761" s="101">
        <v>56945</v>
      </c>
      <c r="M761" s="101">
        <v>427641.53</v>
      </c>
      <c r="N761" s="101">
        <v>200575.21299999999</v>
      </c>
      <c r="O761" s="101">
        <v>868</v>
      </c>
      <c r="P761" s="101">
        <v>5073</v>
      </c>
      <c r="Q761" s="101">
        <v>52613</v>
      </c>
      <c r="R761" s="101">
        <v>438380</v>
      </c>
      <c r="S761" s="101">
        <v>307633</v>
      </c>
      <c r="T761" s="133">
        <v>1.02</v>
      </c>
      <c r="U761" s="101">
        <f t="shared" si="91"/>
        <v>885.36</v>
      </c>
      <c r="V761" s="101">
        <f t="shared" si="92"/>
        <v>5174.46</v>
      </c>
      <c r="W761" s="101">
        <f t="shared" si="93"/>
        <v>53665.26</v>
      </c>
      <c r="X761" s="101">
        <f t="shared" si="90"/>
        <v>447147.60000000003</v>
      </c>
      <c r="Y761" s="101">
        <f t="shared" si="94"/>
        <v>313785.66000000003</v>
      </c>
      <c r="AG761" s="225">
        <f>SUM(V761:V776)</f>
        <v>45892.039999999986</v>
      </c>
      <c r="AH761" s="101">
        <v>30000</v>
      </c>
      <c r="AI761" s="101">
        <f t="shared" si="88"/>
        <v>24000</v>
      </c>
      <c r="AJ761" s="101">
        <f t="shared" si="89"/>
        <v>36000</v>
      </c>
    </row>
    <row r="762" spans="1:36" hidden="1" x14ac:dyDescent="0.3">
      <c r="A762" s="126" t="s">
        <v>188</v>
      </c>
      <c r="B762" s="126">
        <v>49</v>
      </c>
      <c r="C762" s="126">
        <v>25</v>
      </c>
      <c r="D762" s="126" t="str">
        <f t="shared" si="95"/>
        <v>4925</v>
      </c>
      <c r="E762" s="101">
        <v>252</v>
      </c>
      <c r="F762" s="101">
        <v>1569</v>
      </c>
      <c r="G762" s="101">
        <v>56624</v>
      </c>
      <c r="H762" s="101">
        <v>548965.03999999992</v>
      </c>
      <c r="I762" s="101">
        <v>267738.07300000003</v>
      </c>
      <c r="J762" s="101">
        <v>446</v>
      </c>
      <c r="K762" s="101">
        <v>3148</v>
      </c>
      <c r="L762" s="101">
        <v>37069</v>
      </c>
      <c r="M762" s="101">
        <v>471359.14</v>
      </c>
      <c r="N762" s="101">
        <v>216775.519</v>
      </c>
      <c r="O762" s="101">
        <v>318</v>
      </c>
      <c r="P762" s="101">
        <v>3332</v>
      </c>
      <c r="Q762" s="101">
        <v>46117</v>
      </c>
      <c r="R762" s="101">
        <v>605375</v>
      </c>
      <c r="S762" s="101">
        <v>322771</v>
      </c>
      <c r="T762" s="133">
        <v>1.02</v>
      </c>
      <c r="U762" s="101">
        <f t="shared" si="91"/>
        <v>324.36</v>
      </c>
      <c r="V762" s="101">
        <f t="shared" si="92"/>
        <v>3398.64</v>
      </c>
      <c r="W762" s="101">
        <f t="shared" si="93"/>
        <v>47039.340000000004</v>
      </c>
      <c r="X762" s="101">
        <f t="shared" si="90"/>
        <v>617482.5</v>
      </c>
      <c r="Y762" s="101">
        <f t="shared" si="94"/>
        <v>329226.42</v>
      </c>
      <c r="AG762" s="225"/>
      <c r="AH762" s="101">
        <v>30000</v>
      </c>
      <c r="AI762" s="101">
        <f t="shared" ref="AI762:AI822" si="96">(AH762/100)*80</f>
        <v>24000</v>
      </c>
      <c r="AJ762" s="101">
        <f t="shared" ref="AJ762:AJ822" si="97">(AH762/100)*120</f>
        <v>36000</v>
      </c>
    </row>
    <row r="763" spans="1:36" hidden="1" x14ac:dyDescent="0.3">
      <c r="A763" s="126" t="s">
        <v>188</v>
      </c>
      <c r="B763" s="126">
        <v>49</v>
      </c>
      <c r="C763" s="126">
        <v>27</v>
      </c>
      <c r="D763" s="126" t="str">
        <f t="shared" si="95"/>
        <v>4927</v>
      </c>
      <c r="E763" s="101">
        <v>10</v>
      </c>
      <c r="F763" s="101">
        <v>345</v>
      </c>
      <c r="G763" s="101">
        <v>2352</v>
      </c>
      <c r="H763" s="101">
        <v>27823.98</v>
      </c>
      <c r="I763" s="101">
        <v>11148.716</v>
      </c>
      <c r="J763" s="101">
        <v>7</v>
      </c>
      <c r="K763" s="101">
        <v>57</v>
      </c>
      <c r="L763" s="101">
        <v>459</v>
      </c>
      <c r="M763" s="101">
        <v>6898.76</v>
      </c>
      <c r="N763" s="101">
        <v>2904.971</v>
      </c>
      <c r="O763" s="101">
        <v>24</v>
      </c>
      <c r="P763" s="101">
        <v>45</v>
      </c>
      <c r="Q763" s="101">
        <v>1829</v>
      </c>
      <c r="R763" s="101">
        <v>9103</v>
      </c>
      <c r="S763" s="101">
        <v>7181</v>
      </c>
      <c r="T763" s="133">
        <v>1.02</v>
      </c>
      <c r="U763" s="101">
        <f t="shared" si="91"/>
        <v>24.48</v>
      </c>
      <c r="V763" s="101">
        <f t="shared" si="92"/>
        <v>45.9</v>
      </c>
      <c r="W763" s="101">
        <f t="shared" si="93"/>
        <v>1865.58</v>
      </c>
      <c r="X763" s="101">
        <f t="shared" si="90"/>
        <v>9285.06</v>
      </c>
      <c r="Y763" s="101">
        <f t="shared" si="94"/>
        <v>7324.62</v>
      </c>
      <c r="AG763" s="225"/>
      <c r="AH763" s="101">
        <v>30000</v>
      </c>
      <c r="AI763" s="101">
        <f t="shared" si="96"/>
        <v>24000</v>
      </c>
      <c r="AJ763" s="101">
        <f t="shared" si="97"/>
        <v>36000</v>
      </c>
    </row>
    <row r="764" spans="1:36" hidden="1" x14ac:dyDescent="0.3">
      <c r="A764" s="126" t="s">
        <v>188</v>
      </c>
      <c r="B764" s="126">
        <v>49</v>
      </c>
      <c r="C764" s="126">
        <v>26</v>
      </c>
      <c r="D764" s="126" t="str">
        <f t="shared" si="95"/>
        <v>4926</v>
      </c>
      <c r="E764" s="101">
        <v>115</v>
      </c>
      <c r="F764" s="101">
        <v>2430</v>
      </c>
      <c r="G764" s="101">
        <v>58031</v>
      </c>
      <c r="H764" s="101">
        <v>588360.85000000009</v>
      </c>
      <c r="I764" s="101">
        <v>363504.41199999995</v>
      </c>
      <c r="J764" s="101">
        <v>64</v>
      </c>
      <c r="K764" s="101">
        <v>1778</v>
      </c>
      <c r="L764" s="101">
        <v>18166</v>
      </c>
      <c r="M764" s="101">
        <v>296468.76</v>
      </c>
      <c r="N764" s="101">
        <v>100341.609</v>
      </c>
      <c r="O764" s="101">
        <v>13</v>
      </c>
      <c r="P764" s="101">
        <v>1168</v>
      </c>
      <c r="Q764" s="101">
        <v>17975</v>
      </c>
      <c r="R764" s="101">
        <v>180497</v>
      </c>
      <c r="S764" s="101">
        <v>78587</v>
      </c>
      <c r="T764" s="133">
        <v>1.02</v>
      </c>
      <c r="U764" s="101">
        <f t="shared" si="91"/>
        <v>13.26</v>
      </c>
      <c r="V764" s="101">
        <f t="shared" si="92"/>
        <v>1191.3600000000001</v>
      </c>
      <c r="W764" s="101">
        <f t="shared" si="93"/>
        <v>18334.5</v>
      </c>
      <c r="X764" s="101">
        <f t="shared" si="90"/>
        <v>184106.94</v>
      </c>
      <c r="Y764" s="101">
        <f t="shared" si="94"/>
        <v>80158.740000000005</v>
      </c>
      <c r="AG764" s="225"/>
      <c r="AH764" s="101">
        <v>30000</v>
      </c>
      <c r="AI764" s="101">
        <f t="shared" si="96"/>
        <v>24000</v>
      </c>
      <c r="AJ764" s="101">
        <f t="shared" si="97"/>
        <v>36000</v>
      </c>
    </row>
    <row r="765" spans="1:36" hidden="1" x14ac:dyDescent="0.3">
      <c r="A765" s="126" t="s">
        <v>188</v>
      </c>
      <c r="B765" s="126">
        <v>49</v>
      </c>
      <c r="C765" s="126">
        <v>32</v>
      </c>
      <c r="D765" s="126" t="str">
        <f t="shared" si="95"/>
        <v>4932</v>
      </c>
      <c r="E765" s="101">
        <v>659</v>
      </c>
      <c r="F765" s="101">
        <v>2103</v>
      </c>
      <c r="G765" s="101">
        <v>30125</v>
      </c>
      <c r="H765" s="101">
        <v>341248.36</v>
      </c>
      <c r="I765" s="101">
        <v>181400.215</v>
      </c>
      <c r="J765" s="101">
        <v>341</v>
      </c>
      <c r="K765" s="101">
        <v>1071</v>
      </c>
      <c r="L765" s="101">
        <v>22990</v>
      </c>
      <c r="M765" s="101">
        <v>122764.55</v>
      </c>
      <c r="N765" s="101">
        <v>71280.922999999995</v>
      </c>
      <c r="O765" s="101">
        <v>353</v>
      </c>
      <c r="P765" s="101">
        <v>1428</v>
      </c>
      <c r="Q765" s="101">
        <v>27337</v>
      </c>
      <c r="R765" s="101">
        <v>153294</v>
      </c>
      <c r="S765" s="101">
        <v>181099</v>
      </c>
      <c r="T765" s="133">
        <v>1.02</v>
      </c>
      <c r="U765" s="101">
        <f t="shared" si="91"/>
        <v>360.06</v>
      </c>
      <c r="V765" s="101">
        <f t="shared" si="92"/>
        <v>1456.56</v>
      </c>
      <c r="W765" s="101">
        <f t="shared" si="93"/>
        <v>27883.74</v>
      </c>
      <c r="X765" s="101">
        <f t="shared" si="90"/>
        <v>156359.88</v>
      </c>
      <c r="Y765" s="101">
        <f t="shared" si="94"/>
        <v>184720.98</v>
      </c>
      <c r="AG765" s="225"/>
      <c r="AH765" s="101">
        <v>30000</v>
      </c>
      <c r="AI765" s="101">
        <f t="shared" si="96"/>
        <v>24000</v>
      </c>
      <c r="AJ765" s="101">
        <f t="shared" si="97"/>
        <v>36000</v>
      </c>
    </row>
    <row r="766" spans="1:36" hidden="1" x14ac:dyDescent="0.3">
      <c r="A766" s="126" t="s">
        <v>188</v>
      </c>
      <c r="B766" s="126">
        <v>49</v>
      </c>
      <c r="C766" s="126">
        <v>21</v>
      </c>
      <c r="D766" s="126" t="str">
        <f t="shared" si="95"/>
        <v>4921</v>
      </c>
      <c r="E766" s="101">
        <v>1615.5</v>
      </c>
      <c r="F766" s="101">
        <v>7545</v>
      </c>
      <c r="G766" s="101">
        <v>32565.5</v>
      </c>
      <c r="H766" s="101">
        <v>558688.67499999993</v>
      </c>
      <c r="I766" s="101">
        <v>134370.1605</v>
      </c>
      <c r="J766" s="101">
        <v>0</v>
      </c>
      <c r="K766" s="101">
        <v>0</v>
      </c>
      <c r="L766" s="101">
        <v>0</v>
      </c>
      <c r="M766" s="101">
        <v>0</v>
      </c>
      <c r="N766" s="101">
        <v>0</v>
      </c>
      <c r="O766" s="101">
        <v>111</v>
      </c>
      <c r="P766" s="101">
        <v>437</v>
      </c>
      <c r="Q766" s="101">
        <v>11521</v>
      </c>
      <c r="R766" s="101">
        <v>115683</v>
      </c>
      <c r="S766" s="101">
        <v>80386</v>
      </c>
      <c r="T766" s="133">
        <v>1.02</v>
      </c>
      <c r="U766" s="101">
        <v>2004</v>
      </c>
      <c r="V766" s="101">
        <v>15475</v>
      </c>
      <c r="W766" s="101">
        <v>84658</v>
      </c>
      <c r="X766" s="101">
        <v>1235591</v>
      </c>
      <c r="Y766" s="101">
        <v>460312</v>
      </c>
      <c r="AG766" s="225"/>
      <c r="AH766" s="101">
        <v>30000</v>
      </c>
      <c r="AI766" s="101">
        <f t="shared" si="96"/>
        <v>24000</v>
      </c>
      <c r="AJ766" s="101">
        <f t="shared" si="97"/>
        <v>36000</v>
      </c>
    </row>
    <row r="767" spans="1:36" hidden="1" x14ac:dyDescent="0.3">
      <c r="A767" s="126" t="s">
        <v>188</v>
      </c>
      <c r="B767" s="126">
        <v>49</v>
      </c>
      <c r="C767" s="126">
        <v>30</v>
      </c>
      <c r="D767" s="126" t="str">
        <f t="shared" si="95"/>
        <v>4930</v>
      </c>
      <c r="E767" s="101">
        <v>667.5</v>
      </c>
      <c r="F767" s="101">
        <v>6311</v>
      </c>
      <c r="G767" s="101">
        <v>27395</v>
      </c>
      <c r="H767" s="101">
        <v>962919.255</v>
      </c>
      <c r="I767" s="101">
        <v>324340.81550000003</v>
      </c>
      <c r="J767" s="101">
        <v>1243</v>
      </c>
      <c r="K767" s="101">
        <v>14545</v>
      </c>
      <c r="L767" s="101">
        <v>53764</v>
      </c>
      <c r="M767" s="101">
        <v>1493720.88</v>
      </c>
      <c r="N767" s="101">
        <v>525133.55900000001</v>
      </c>
      <c r="O767" s="101">
        <v>691</v>
      </c>
      <c r="P767" s="101">
        <v>11799</v>
      </c>
      <c r="Q767" s="101">
        <v>37524</v>
      </c>
      <c r="R767" s="101">
        <v>1097545</v>
      </c>
      <c r="S767" s="101">
        <v>373845</v>
      </c>
      <c r="T767" s="133">
        <v>1.02</v>
      </c>
      <c r="U767" s="101">
        <f t="shared" si="91"/>
        <v>704.82</v>
      </c>
      <c r="V767" s="101">
        <f t="shared" si="92"/>
        <v>12034.98</v>
      </c>
      <c r="W767" s="101">
        <f t="shared" si="93"/>
        <v>38274.480000000003</v>
      </c>
      <c r="X767" s="101">
        <f t="shared" si="90"/>
        <v>1119495.8999999999</v>
      </c>
      <c r="Y767" s="101">
        <f t="shared" si="94"/>
        <v>381321.9</v>
      </c>
      <c r="AG767" s="225"/>
      <c r="AH767" s="101">
        <v>30000</v>
      </c>
      <c r="AI767" s="101">
        <f t="shared" si="96"/>
        <v>24000</v>
      </c>
      <c r="AJ767" s="101">
        <f t="shared" si="97"/>
        <v>36000</v>
      </c>
    </row>
    <row r="768" spans="1:36" hidden="1" x14ac:dyDescent="0.3">
      <c r="A768" s="126" t="s">
        <v>188</v>
      </c>
      <c r="B768" s="126">
        <v>49</v>
      </c>
      <c r="C768" s="126">
        <v>71</v>
      </c>
      <c r="D768" s="126" t="str">
        <f t="shared" si="95"/>
        <v>4971</v>
      </c>
      <c r="E768" s="101">
        <v>554.5</v>
      </c>
      <c r="F768" s="101">
        <v>10328</v>
      </c>
      <c r="G768" s="101">
        <v>33875</v>
      </c>
      <c r="H768" s="101">
        <v>257106.25</v>
      </c>
      <c r="I768" s="101">
        <v>129491.349</v>
      </c>
      <c r="J768" s="101">
        <v>634</v>
      </c>
      <c r="K768" s="101">
        <v>14308</v>
      </c>
      <c r="L768" s="101">
        <v>57889</v>
      </c>
      <c r="M768" s="101">
        <v>445359.65</v>
      </c>
      <c r="N768" s="101">
        <v>245732.19200000001</v>
      </c>
      <c r="O768" s="101">
        <v>311</v>
      </c>
      <c r="P768" s="101">
        <v>11221</v>
      </c>
      <c r="Q768" s="101">
        <v>112455</v>
      </c>
      <c r="R768" s="101">
        <v>399881</v>
      </c>
      <c r="S768" s="101">
        <v>183511</v>
      </c>
      <c r="T768" s="133">
        <v>0.98</v>
      </c>
      <c r="AG768" s="225"/>
      <c r="AH768" s="101">
        <v>30000</v>
      </c>
      <c r="AI768" s="101">
        <f t="shared" si="96"/>
        <v>24000</v>
      </c>
      <c r="AJ768" s="101">
        <f t="shared" si="97"/>
        <v>36000</v>
      </c>
    </row>
    <row r="769" spans="1:36" hidden="1" x14ac:dyDescent="0.3">
      <c r="A769" s="126" t="s">
        <v>188</v>
      </c>
      <c r="B769" s="126">
        <v>49</v>
      </c>
      <c r="C769" s="126">
        <v>12</v>
      </c>
      <c r="D769" s="126" t="str">
        <f t="shared" si="95"/>
        <v>4912</v>
      </c>
      <c r="J769" s="101">
        <v>4</v>
      </c>
      <c r="K769" s="101">
        <v>4</v>
      </c>
      <c r="L769" s="101">
        <v>4</v>
      </c>
      <c r="M769" s="101">
        <v>562.33000000000004</v>
      </c>
      <c r="N769" s="101">
        <v>48.786000000000001</v>
      </c>
      <c r="O769" s="101">
        <v>0</v>
      </c>
      <c r="P769" s="101">
        <v>0</v>
      </c>
      <c r="Q769" s="101">
        <v>0</v>
      </c>
      <c r="R769" s="101">
        <v>0</v>
      </c>
      <c r="S769" s="101">
        <v>0</v>
      </c>
      <c r="T769" s="133">
        <v>1.02</v>
      </c>
      <c r="U769" s="101">
        <f t="shared" si="91"/>
        <v>0</v>
      </c>
      <c r="V769" s="101">
        <f t="shared" si="92"/>
        <v>0</v>
      </c>
      <c r="W769" s="101">
        <f t="shared" si="93"/>
        <v>0</v>
      </c>
      <c r="X769" s="101">
        <f t="shared" si="90"/>
        <v>0</v>
      </c>
      <c r="Y769" s="101">
        <f t="shared" si="94"/>
        <v>0</v>
      </c>
      <c r="AG769" s="225"/>
      <c r="AH769" s="101"/>
      <c r="AI769" s="101"/>
      <c r="AJ769" s="101"/>
    </row>
    <row r="770" spans="1:36" hidden="1" x14ac:dyDescent="0.3">
      <c r="A770" s="126" t="s">
        <v>188</v>
      </c>
      <c r="B770" s="126">
        <v>49</v>
      </c>
      <c r="C770" s="126">
        <v>28</v>
      </c>
      <c r="D770" s="126" t="str">
        <f t="shared" si="95"/>
        <v>4928</v>
      </c>
      <c r="J770" s="101">
        <v>114</v>
      </c>
      <c r="K770" s="101">
        <v>241</v>
      </c>
      <c r="L770" s="101">
        <v>3936</v>
      </c>
      <c r="M770" s="101">
        <v>138663.84</v>
      </c>
      <c r="N770" s="101">
        <v>54725.678</v>
      </c>
      <c r="O770" s="101">
        <v>57</v>
      </c>
      <c r="P770" s="101">
        <v>310</v>
      </c>
      <c r="Q770" s="101">
        <v>2455</v>
      </c>
      <c r="R770" s="101">
        <v>118810</v>
      </c>
      <c r="S770" s="101">
        <v>29065</v>
      </c>
      <c r="T770" s="133">
        <v>1.02</v>
      </c>
      <c r="U770" s="101">
        <v>264</v>
      </c>
      <c r="V770" s="101">
        <v>6853</v>
      </c>
      <c r="W770" s="101">
        <v>60057</v>
      </c>
      <c r="X770" s="144">
        <f t="shared" si="90"/>
        <v>121186.2</v>
      </c>
      <c r="Y770" s="101">
        <v>357060</v>
      </c>
      <c r="AG770" s="225"/>
      <c r="AH770" s="101"/>
      <c r="AI770" s="101"/>
      <c r="AJ770" s="101"/>
    </row>
    <row r="771" spans="1:36" hidden="1" x14ac:dyDescent="0.3">
      <c r="A771" s="126" t="s">
        <v>188</v>
      </c>
      <c r="B771" s="126">
        <v>49</v>
      </c>
      <c r="C771" s="126">
        <v>41</v>
      </c>
      <c r="D771" s="126" t="str">
        <f t="shared" si="95"/>
        <v>4941</v>
      </c>
      <c r="J771" s="101">
        <v>18</v>
      </c>
      <c r="K771" s="101">
        <v>43</v>
      </c>
      <c r="L771" s="101">
        <v>1171</v>
      </c>
      <c r="M771" s="101">
        <v>5672.47</v>
      </c>
      <c r="N771" s="101">
        <v>2110.2429999999999</v>
      </c>
      <c r="O771" s="101">
        <v>5</v>
      </c>
      <c r="P771" s="101">
        <v>10</v>
      </c>
      <c r="Q771" s="101">
        <v>134</v>
      </c>
      <c r="R771" s="101">
        <v>2197</v>
      </c>
      <c r="S771" s="101">
        <v>316</v>
      </c>
      <c r="T771" s="133">
        <v>1.02</v>
      </c>
      <c r="U771" s="101">
        <f t="shared" si="91"/>
        <v>5.0999999999999996</v>
      </c>
      <c r="V771" s="101">
        <f t="shared" si="92"/>
        <v>10.199999999999999</v>
      </c>
      <c r="W771" s="101">
        <f t="shared" si="93"/>
        <v>136.68</v>
      </c>
      <c r="X771" s="101">
        <f t="shared" si="90"/>
        <v>2240.94</v>
      </c>
      <c r="Y771" s="101">
        <f t="shared" si="94"/>
        <v>322.32</v>
      </c>
      <c r="AG771" s="225"/>
      <c r="AH771" s="101"/>
      <c r="AI771" s="101"/>
      <c r="AJ771" s="101"/>
    </row>
    <row r="772" spans="1:36" hidden="1" x14ac:dyDescent="0.3">
      <c r="A772" s="126" t="s">
        <v>188</v>
      </c>
      <c r="B772" s="126">
        <v>49</v>
      </c>
      <c r="C772" s="126">
        <v>46</v>
      </c>
      <c r="D772" s="126" t="str">
        <f t="shared" si="95"/>
        <v>4946</v>
      </c>
      <c r="J772" s="101">
        <v>50</v>
      </c>
      <c r="K772" s="101">
        <v>97</v>
      </c>
      <c r="L772" s="101">
        <v>1017</v>
      </c>
      <c r="M772" s="101">
        <v>40296.93</v>
      </c>
      <c r="N772" s="101">
        <v>13535.855</v>
      </c>
      <c r="O772" s="101">
        <v>15</v>
      </c>
      <c r="P772" s="101">
        <v>17</v>
      </c>
      <c r="Q772" s="101">
        <v>518</v>
      </c>
      <c r="R772" s="101">
        <v>12509</v>
      </c>
      <c r="S772" s="101">
        <v>5705</v>
      </c>
      <c r="T772" s="133">
        <v>1.02</v>
      </c>
      <c r="U772" s="101">
        <f t="shared" si="91"/>
        <v>15.3</v>
      </c>
      <c r="V772" s="101">
        <f t="shared" si="92"/>
        <v>17.34</v>
      </c>
      <c r="W772" s="101">
        <f t="shared" si="93"/>
        <v>528.36</v>
      </c>
      <c r="X772" s="101">
        <f t="shared" si="90"/>
        <v>12759.18</v>
      </c>
      <c r="Y772" s="101">
        <f t="shared" si="94"/>
        <v>5819.1</v>
      </c>
      <c r="AG772" s="225"/>
      <c r="AH772" s="101"/>
      <c r="AI772" s="101"/>
      <c r="AJ772" s="101"/>
    </row>
    <row r="773" spans="1:36" hidden="1" x14ac:dyDescent="0.3">
      <c r="A773" s="126" t="s">
        <v>188</v>
      </c>
      <c r="B773" s="126">
        <v>49</v>
      </c>
      <c r="C773" s="126">
        <v>66</v>
      </c>
      <c r="D773" s="126" t="str">
        <f t="shared" si="95"/>
        <v>4966</v>
      </c>
      <c r="J773" s="101">
        <v>13</v>
      </c>
      <c r="K773" s="101">
        <v>19</v>
      </c>
      <c r="L773" s="101">
        <v>605</v>
      </c>
      <c r="M773" s="101">
        <v>6246.94</v>
      </c>
      <c r="N773" s="101">
        <v>4588.2190000000001</v>
      </c>
      <c r="O773" s="101">
        <v>22</v>
      </c>
      <c r="P773" s="101">
        <v>58</v>
      </c>
      <c r="Q773" s="101">
        <v>2729</v>
      </c>
      <c r="R773" s="101">
        <v>19308</v>
      </c>
      <c r="S773" s="101">
        <v>14469</v>
      </c>
      <c r="T773" s="133">
        <v>1.02</v>
      </c>
      <c r="U773" s="101">
        <f t="shared" si="91"/>
        <v>22.44</v>
      </c>
      <c r="V773" s="101">
        <f t="shared" si="92"/>
        <v>59.160000000000004</v>
      </c>
      <c r="W773" s="101">
        <f t="shared" si="93"/>
        <v>2783.58</v>
      </c>
      <c r="X773" s="101">
        <f t="shared" si="90"/>
        <v>19694.16</v>
      </c>
      <c r="Y773" s="101">
        <f t="shared" si="94"/>
        <v>14758.380000000001</v>
      </c>
      <c r="AG773" s="225"/>
      <c r="AH773" s="101"/>
      <c r="AI773" s="101"/>
      <c r="AJ773" s="101"/>
    </row>
    <row r="774" spans="1:36" x14ac:dyDescent="0.3">
      <c r="A774" s="126" t="s">
        <v>188</v>
      </c>
      <c r="B774" s="126">
        <v>49</v>
      </c>
      <c r="C774" s="126">
        <v>91</v>
      </c>
      <c r="D774" s="126" t="str">
        <f t="shared" si="95"/>
        <v>4991</v>
      </c>
      <c r="J774" s="101">
        <v>4</v>
      </c>
      <c r="K774" s="101">
        <v>7</v>
      </c>
      <c r="L774" s="101">
        <v>171</v>
      </c>
      <c r="M774" s="101">
        <v>227.93</v>
      </c>
      <c r="N774" s="101">
        <v>203.375</v>
      </c>
      <c r="O774" s="101">
        <v>4</v>
      </c>
      <c r="P774" s="101">
        <v>5</v>
      </c>
      <c r="Q774" s="101">
        <v>37</v>
      </c>
      <c r="R774" s="101">
        <v>608</v>
      </c>
      <c r="S774" s="101">
        <v>210</v>
      </c>
      <c r="T774" s="133">
        <v>1.02</v>
      </c>
      <c r="U774" s="101">
        <f t="shared" si="91"/>
        <v>4.08</v>
      </c>
      <c r="V774" s="101">
        <f t="shared" si="92"/>
        <v>5.0999999999999996</v>
      </c>
      <c r="W774" s="101">
        <f t="shared" si="93"/>
        <v>37.74</v>
      </c>
      <c r="X774" s="101">
        <f t="shared" ref="X774:X830" si="98">R774*T774</f>
        <v>620.16</v>
      </c>
      <c r="Y774" s="101">
        <f t="shared" si="94"/>
        <v>214.20000000000002</v>
      </c>
      <c r="AG774" s="225"/>
      <c r="AH774" s="101"/>
      <c r="AI774" s="101"/>
      <c r="AJ774" s="101"/>
    </row>
    <row r="775" spans="1:36" hidden="1" x14ac:dyDescent="0.3">
      <c r="A775" s="126" t="s">
        <v>188</v>
      </c>
      <c r="B775" s="126">
        <v>49</v>
      </c>
      <c r="C775" s="126">
        <v>1</v>
      </c>
      <c r="D775" s="126" t="str">
        <f t="shared" si="95"/>
        <v>491</v>
      </c>
      <c r="J775" s="101">
        <v>125</v>
      </c>
      <c r="K775" s="101">
        <v>125</v>
      </c>
      <c r="L775" s="101">
        <v>39249</v>
      </c>
      <c r="N775" s="101">
        <v>230195</v>
      </c>
      <c r="O775" s="101">
        <v>150</v>
      </c>
      <c r="P775" s="101">
        <v>150</v>
      </c>
      <c r="Q775" s="101">
        <v>23817</v>
      </c>
      <c r="S775" s="101">
        <v>167769.38800000001</v>
      </c>
      <c r="T775" s="133">
        <v>1.02</v>
      </c>
      <c r="U775" s="101">
        <f t="shared" ref="U775:U830" si="99">O775*T775</f>
        <v>153</v>
      </c>
      <c r="V775" s="101">
        <f t="shared" ref="V775:V830" si="100">P775*T775</f>
        <v>153</v>
      </c>
      <c r="W775" s="101">
        <f t="shared" ref="W775:W830" si="101">Q775*T775</f>
        <v>24293.34</v>
      </c>
      <c r="X775" s="101">
        <f t="shared" si="98"/>
        <v>0</v>
      </c>
      <c r="Y775" s="101">
        <f t="shared" ref="Y775:Y830" si="102">S775*T775</f>
        <v>171124.77576000002</v>
      </c>
      <c r="AG775" s="225"/>
      <c r="AH775" s="101"/>
      <c r="AI775" s="101"/>
      <c r="AJ775" s="101"/>
    </row>
    <row r="776" spans="1:36" hidden="1" x14ac:dyDescent="0.3">
      <c r="A776" s="126" t="s">
        <v>188</v>
      </c>
      <c r="B776" s="126">
        <v>49</v>
      </c>
      <c r="C776" s="126">
        <v>37</v>
      </c>
      <c r="D776" s="126" t="str">
        <f t="shared" si="95"/>
        <v>4937</v>
      </c>
      <c r="E776" s="101">
        <v>10.25</v>
      </c>
      <c r="F776" s="101">
        <v>46.5</v>
      </c>
      <c r="G776" s="101">
        <v>918</v>
      </c>
      <c r="H776" s="101">
        <v>3899.8</v>
      </c>
      <c r="I776" s="101">
        <v>1756.64625</v>
      </c>
      <c r="J776" s="101">
        <v>2</v>
      </c>
      <c r="K776" s="101">
        <v>4</v>
      </c>
      <c r="L776" s="101">
        <v>550</v>
      </c>
      <c r="M776" s="101">
        <v>1078.5</v>
      </c>
      <c r="N776" s="101">
        <v>653.34</v>
      </c>
      <c r="O776" s="101">
        <v>2</v>
      </c>
      <c r="P776" s="101">
        <v>17</v>
      </c>
      <c r="Q776" s="101">
        <v>24115</v>
      </c>
      <c r="R776" s="101">
        <v>14144</v>
      </c>
      <c r="S776" s="101">
        <v>5657</v>
      </c>
      <c r="T776" s="133">
        <v>1.02</v>
      </c>
      <c r="U776" s="101">
        <f t="shared" si="99"/>
        <v>2.04</v>
      </c>
      <c r="V776" s="101">
        <f t="shared" si="100"/>
        <v>17.34</v>
      </c>
      <c r="W776" s="101">
        <f t="shared" si="101"/>
        <v>24597.3</v>
      </c>
      <c r="X776" s="101">
        <f t="shared" si="98"/>
        <v>14426.880000000001</v>
      </c>
      <c r="Y776" s="101">
        <f t="shared" si="102"/>
        <v>5770.14</v>
      </c>
      <c r="AG776" s="225"/>
      <c r="AH776" s="101">
        <v>30000</v>
      </c>
      <c r="AI776" s="101">
        <f t="shared" si="96"/>
        <v>24000</v>
      </c>
      <c r="AJ776" s="101">
        <f t="shared" si="97"/>
        <v>36000</v>
      </c>
    </row>
    <row r="777" spans="1:36" hidden="1" x14ac:dyDescent="0.3">
      <c r="A777" s="126" t="s">
        <v>188</v>
      </c>
      <c r="B777" s="126">
        <v>50</v>
      </c>
      <c r="C777" s="126">
        <v>22</v>
      </c>
      <c r="D777" s="126" t="str">
        <f t="shared" si="95"/>
        <v>5022</v>
      </c>
      <c r="E777" s="101">
        <v>554</v>
      </c>
      <c r="F777" s="101">
        <v>4971</v>
      </c>
      <c r="G777" s="101">
        <v>54301</v>
      </c>
      <c r="H777" s="101">
        <v>222114.19</v>
      </c>
      <c r="I777" s="101">
        <v>138288.35200000001</v>
      </c>
      <c r="J777" s="101">
        <v>730</v>
      </c>
      <c r="K777" s="101">
        <v>5697</v>
      </c>
      <c r="L777" s="101">
        <v>45962</v>
      </c>
      <c r="M777" s="101">
        <v>377763.67</v>
      </c>
      <c r="N777" s="101">
        <v>147917.08199999999</v>
      </c>
      <c r="O777" s="127">
        <v>487</v>
      </c>
      <c r="P777" s="127">
        <v>4361</v>
      </c>
      <c r="Q777" s="127">
        <v>38318</v>
      </c>
      <c r="R777" s="127">
        <v>162042</v>
      </c>
      <c r="S777" s="127">
        <v>123032</v>
      </c>
      <c r="T777" s="133">
        <v>1.02</v>
      </c>
      <c r="U777" s="101">
        <f t="shared" si="99"/>
        <v>496.74</v>
      </c>
      <c r="V777" s="101">
        <f t="shared" si="100"/>
        <v>4448.22</v>
      </c>
      <c r="W777" s="101">
        <f t="shared" si="101"/>
        <v>39084.36</v>
      </c>
      <c r="X777" s="101">
        <f t="shared" si="98"/>
        <v>165282.84</v>
      </c>
      <c r="Y777" s="101">
        <f t="shared" si="102"/>
        <v>125492.64</v>
      </c>
      <c r="AG777" s="225">
        <f>SUM(V777:V792)</f>
        <v>42136.28</v>
      </c>
      <c r="AH777" s="101">
        <v>30000</v>
      </c>
      <c r="AI777" s="101">
        <f t="shared" si="96"/>
        <v>24000</v>
      </c>
      <c r="AJ777" s="101">
        <f t="shared" si="97"/>
        <v>36000</v>
      </c>
    </row>
    <row r="778" spans="1:36" hidden="1" x14ac:dyDescent="0.3">
      <c r="A778" s="126" t="s">
        <v>188</v>
      </c>
      <c r="B778" s="126">
        <v>50</v>
      </c>
      <c r="C778" s="126">
        <v>25</v>
      </c>
      <c r="D778" s="126" t="str">
        <f t="shared" si="95"/>
        <v>5025</v>
      </c>
      <c r="E778" s="101">
        <v>188</v>
      </c>
      <c r="F778" s="101">
        <v>2476</v>
      </c>
      <c r="G778" s="101">
        <v>98490</v>
      </c>
      <c r="H778" s="101">
        <v>445425.79000000004</v>
      </c>
      <c r="I778" s="101">
        <v>336868.07899999997</v>
      </c>
      <c r="J778" s="101">
        <v>316</v>
      </c>
      <c r="K778" s="101">
        <v>2525</v>
      </c>
      <c r="L778" s="101">
        <v>26330</v>
      </c>
      <c r="M778" s="101">
        <v>376923.81</v>
      </c>
      <c r="N778" s="101">
        <v>163150.68</v>
      </c>
      <c r="O778" s="127">
        <v>418</v>
      </c>
      <c r="P778" s="127">
        <v>4064</v>
      </c>
      <c r="Q778" s="127">
        <v>28551</v>
      </c>
      <c r="R778" s="127">
        <v>406444</v>
      </c>
      <c r="S778" s="127">
        <v>164943</v>
      </c>
      <c r="T778" s="133">
        <v>1.02</v>
      </c>
      <c r="U778" s="101">
        <f>O778*T778</f>
        <v>426.36</v>
      </c>
      <c r="V778" s="101">
        <f t="shared" si="100"/>
        <v>4145.28</v>
      </c>
      <c r="W778" s="101">
        <f t="shared" si="101"/>
        <v>29122.02</v>
      </c>
      <c r="X778" s="101">
        <f t="shared" si="98"/>
        <v>414572.88</v>
      </c>
      <c r="Y778" s="101">
        <f t="shared" si="102"/>
        <v>168241.86000000002</v>
      </c>
      <c r="AG778" s="225"/>
      <c r="AH778" s="101">
        <v>30000</v>
      </c>
      <c r="AI778" s="101">
        <f t="shared" si="96"/>
        <v>24000</v>
      </c>
      <c r="AJ778" s="101">
        <f t="shared" si="97"/>
        <v>36000</v>
      </c>
    </row>
    <row r="779" spans="1:36" hidden="1" x14ac:dyDescent="0.3">
      <c r="A779" s="126" t="s">
        <v>188</v>
      </c>
      <c r="B779" s="126">
        <v>50</v>
      </c>
      <c r="C779" s="126">
        <v>27</v>
      </c>
      <c r="D779" s="126" t="str">
        <f t="shared" si="95"/>
        <v>5027</v>
      </c>
      <c r="E779" s="101">
        <v>17</v>
      </c>
      <c r="F779" s="101">
        <v>846</v>
      </c>
      <c r="G779" s="101">
        <v>10655</v>
      </c>
      <c r="H779" s="101">
        <v>161398.78</v>
      </c>
      <c r="I779" s="101">
        <v>60019.754000000001</v>
      </c>
      <c r="J779" s="101">
        <v>6</v>
      </c>
      <c r="K779" s="101">
        <v>64</v>
      </c>
      <c r="L779" s="101">
        <v>628</v>
      </c>
      <c r="M779" s="101">
        <v>13921.94</v>
      </c>
      <c r="N779" s="101">
        <v>4363.1009999999997</v>
      </c>
      <c r="O779" s="127">
        <v>9</v>
      </c>
      <c r="P779" s="127">
        <v>135</v>
      </c>
      <c r="Q779" s="127">
        <v>946</v>
      </c>
      <c r="R779" s="127">
        <v>13507</v>
      </c>
      <c r="S779" s="127">
        <v>8568</v>
      </c>
      <c r="T779" s="133">
        <v>1.02</v>
      </c>
      <c r="U779" s="101">
        <f t="shared" si="99"/>
        <v>9.18</v>
      </c>
      <c r="V779" s="101">
        <f t="shared" si="100"/>
        <v>137.69999999999999</v>
      </c>
      <c r="W779" s="101">
        <f t="shared" si="101"/>
        <v>964.92000000000007</v>
      </c>
      <c r="X779" s="101">
        <f t="shared" si="98"/>
        <v>13777.14</v>
      </c>
      <c r="Y779" s="101">
        <f t="shared" si="102"/>
        <v>8739.36</v>
      </c>
      <c r="AG779" s="225"/>
      <c r="AH779" s="101">
        <v>30000</v>
      </c>
      <c r="AI779" s="101">
        <f t="shared" si="96"/>
        <v>24000</v>
      </c>
      <c r="AJ779" s="101">
        <f t="shared" si="97"/>
        <v>36000</v>
      </c>
    </row>
    <row r="780" spans="1:36" hidden="1" x14ac:dyDescent="0.3">
      <c r="A780" s="126" t="s">
        <v>188</v>
      </c>
      <c r="B780" s="126">
        <v>50</v>
      </c>
      <c r="C780" s="126">
        <v>26</v>
      </c>
      <c r="D780" s="126" t="str">
        <f t="shared" si="95"/>
        <v>5026</v>
      </c>
      <c r="E780" s="101">
        <v>65</v>
      </c>
      <c r="F780" s="101">
        <v>1611</v>
      </c>
      <c r="G780" s="101">
        <v>28145</v>
      </c>
      <c r="H780" s="101">
        <v>344644.79000000004</v>
      </c>
      <c r="I780" s="101">
        <v>240517.851</v>
      </c>
      <c r="J780" s="101">
        <v>49</v>
      </c>
      <c r="K780" s="101">
        <v>1877</v>
      </c>
      <c r="L780" s="101">
        <v>17996</v>
      </c>
      <c r="M780" s="101">
        <v>303752.87</v>
      </c>
      <c r="N780" s="101">
        <v>92785.066999999995</v>
      </c>
      <c r="O780" s="127">
        <v>9</v>
      </c>
      <c r="P780" s="127">
        <v>140</v>
      </c>
      <c r="Q780" s="127">
        <v>5561</v>
      </c>
      <c r="R780" s="127">
        <v>28853</v>
      </c>
      <c r="S780" s="127">
        <v>17663</v>
      </c>
      <c r="T780" s="133">
        <v>1.02</v>
      </c>
      <c r="U780" s="101">
        <f t="shared" si="99"/>
        <v>9.18</v>
      </c>
      <c r="V780" s="101">
        <f t="shared" si="100"/>
        <v>142.80000000000001</v>
      </c>
      <c r="W780" s="101">
        <f t="shared" si="101"/>
        <v>5672.22</v>
      </c>
      <c r="X780" s="101">
        <f t="shared" si="98"/>
        <v>29430.06</v>
      </c>
      <c r="Y780" s="101">
        <f t="shared" si="102"/>
        <v>18016.260000000002</v>
      </c>
      <c r="AG780" s="225"/>
      <c r="AH780" s="101">
        <v>30000</v>
      </c>
      <c r="AI780" s="101">
        <f t="shared" si="96"/>
        <v>24000</v>
      </c>
      <c r="AJ780" s="101">
        <f t="shared" si="97"/>
        <v>36000</v>
      </c>
    </row>
    <row r="781" spans="1:36" hidden="1" x14ac:dyDescent="0.3">
      <c r="A781" s="126" t="s">
        <v>188</v>
      </c>
      <c r="B781" s="126">
        <v>50</v>
      </c>
      <c r="C781" s="126">
        <v>32</v>
      </c>
      <c r="D781" s="126" t="str">
        <f t="shared" si="95"/>
        <v>5032</v>
      </c>
      <c r="E781" s="101">
        <v>707</v>
      </c>
      <c r="F781" s="101">
        <v>2837</v>
      </c>
      <c r="G781" s="101">
        <v>99675</v>
      </c>
      <c r="H781" s="101">
        <v>1078023.4099999999</v>
      </c>
      <c r="I781" s="101">
        <v>508605.63099999999</v>
      </c>
      <c r="J781" s="101">
        <v>264</v>
      </c>
      <c r="K781" s="101">
        <v>997</v>
      </c>
      <c r="L781" s="101">
        <v>20521</v>
      </c>
      <c r="M781" s="101">
        <v>145753.03</v>
      </c>
      <c r="N781" s="101">
        <v>109971.02</v>
      </c>
      <c r="O781" s="127">
        <v>259</v>
      </c>
      <c r="P781" s="127">
        <v>1314</v>
      </c>
      <c r="Q781" s="127">
        <v>21816</v>
      </c>
      <c r="R781" s="127">
        <v>192751</v>
      </c>
      <c r="S781" s="127">
        <v>105974</v>
      </c>
      <c r="T781" s="133">
        <v>1.02</v>
      </c>
      <c r="U781" s="101">
        <f t="shared" si="99"/>
        <v>264.18</v>
      </c>
      <c r="V781" s="101">
        <f t="shared" si="100"/>
        <v>1340.28</v>
      </c>
      <c r="W781" s="101">
        <f t="shared" si="101"/>
        <v>22252.32</v>
      </c>
      <c r="X781" s="101">
        <f t="shared" si="98"/>
        <v>196606.02</v>
      </c>
      <c r="Y781" s="101">
        <f t="shared" si="102"/>
        <v>108093.48</v>
      </c>
      <c r="AG781" s="225"/>
      <c r="AH781" s="101">
        <v>30000</v>
      </c>
      <c r="AI781" s="101">
        <f t="shared" si="96"/>
        <v>24000</v>
      </c>
      <c r="AJ781" s="101">
        <f t="shared" si="97"/>
        <v>36000</v>
      </c>
    </row>
    <row r="782" spans="1:36" hidden="1" x14ac:dyDescent="0.3">
      <c r="A782" s="126" t="s">
        <v>188</v>
      </c>
      <c r="B782" s="126">
        <v>50</v>
      </c>
      <c r="C782" s="126">
        <v>21</v>
      </c>
      <c r="D782" s="126" t="str">
        <f t="shared" si="95"/>
        <v>5021</v>
      </c>
      <c r="E782" s="101">
        <v>1867</v>
      </c>
      <c r="F782" s="101">
        <v>7896</v>
      </c>
      <c r="G782" s="101">
        <v>38626</v>
      </c>
      <c r="H782" s="101">
        <v>662975.47499999998</v>
      </c>
      <c r="I782" s="101">
        <v>180282.88499999998</v>
      </c>
      <c r="J782" s="101">
        <v>0</v>
      </c>
      <c r="K782" s="101">
        <v>0</v>
      </c>
      <c r="L782" s="101">
        <v>0</v>
      </c>
      <c r="M782" s="101">
        <v>0</v>
      </c>
      <c r="N782" s="101">
        <v>0</v>
      </c>
      <c r="O782" s="127">
        <v>120</v>
      </c>
      <c r="P782" s="127">
        <v>529</v>
      </c>
      <c r="Q782" s="127">
        <v>4306</v>
      </c>
      <c r="R782" s="127">
        <v>66314</v>
      </c>
      <c r="S782" s="127">
        <v>21569</v>
      </c>
      <c r="T782" s="133">
        <v>1.02</v>
      </c>
      <c r="U782" s="101">
        <v>2125</v>
      </c>
      <c r="V782" s="101">
        <v>13368</v>
      </c>
      <c r="W782" s="101">
        <v>56495</v>
      </c>
      <c r="X782" s="101">
        <v>830027</v>
      </c>
      <c r="Y782" s="101">
        <v>238500</v>
      </c>
      <c r="AG782" s="225"/>
      <c r="AH782" s="101">
        <v>30000</v>
      </c>
      <c r="AI782" s="101">
        <f t="shared" si="96"/>
        <v>24000</v>
      </c>
      <c r="AJ782" s="101">
        <f t="shared" si="97"/>
        <v>36000</v>
      </c>
    </row>
    <row r="783" spans="1:36" hidden="1" x14ac:dyDescent="0.3">
      <c r="A783" s="126" t="s">
        <v>188</v>
      </c>
      <c r="B783" s="126">
        <v>50</v>
      </c>
      <c r="C783" s="126">
        <v>30</v>
      </c>
      <c r="D783" s="126" t="str">
        <f t="shared" si="95"/>
        <v>5030</v>
      </c>
      <c r="E783" s="101">
        <v>737</v>
      </c>
      <c r="F783" s="101">
        <v>6090</v>
      </c>
      <c r="G783" s="101">
        <v>26875</v>
      </c>
      <c r="H783" s="101">
        <v>790223.64500000002</v>
      </c>
      <c r="I783" s="101">
        <v>234942.54149999999</v>
      </c>
      <c r="J783" s="101">
        <v>807</v>
      </c>
      <c r="K783" s="101">
        <v>11366</v>
      </c>
      <c r="L783" s="101">
        <v>42651</v>
      </c>
      <c r="M783" s="101">
        <v>1013069.52</v>
      </c>
      <c r="N783" s="101">
        <v>304061.60200000001</v>
      </c>
      <c r="O783" s="127">
        <v>786</v>
      </c>
      <c r="P783" s="127">
        <v>10215</v>
      </c>
      <c r="Q783" s="127">
        <v>31195</v>
      </c>
      <c r="R783" s="127">
        <v>732182</v>
      </c>
      <c r="S783" s="127">
        <v>224094</v>
      </c>
      <c r="T783" s="133">
        <v>1.02</v>
      </c>
      <c r="U783" s="101">
        <f t="shared" si="99"/>
        <v>801.72</v>
      </c>
      <c r="V783" s="101">
        <f t="shared" si="100"/>
        <v>10419.299999999999</v>
      </c>
      <c r="W783" s="101">
        <f t="shared" si="101"/>
        <v>31818.9</v>
      </c>
      <c r="X783" s="101">
        <f t="shared" si="98"/>
        <v>746825.64</v>
      </c>
      <c r="Y783" s="101">
        <f t="shared" si="102"/>
        <v>228575.88</v>
      </c>
      <c r="AG783" s="225"/>
      <c r="AH783" s="101">
        <v>30000</v>
      </c>
      <c r="AI783" s="101">
        <f t="shared" si="96"/>
        <v>24000</v>
      </c>
      <c r="AJ783" s="101">
        <f t="shared" si="97"/>
        <v>36000</v>
      </c>
    </row>
    <row r="784" spans="1:36" hidden="1" x14ac:dyDescent="0.3">
      <c r="A784" s="126" t="s">
        <v>188</v>
      </c>
      <c r="B784" s="126">
        <v>50</v>
      </c>
      <c r="C784" s="126">
        <v>71</v>
      </c>
      <c r="D784" s="126" t="str">
        <f t="shared" si="95"/>
        <v>5071</v>
      </c>
      <c r="E784" s="101">
        <v>702.5</v>
      </c>
      <c r="F784" s="101">
        <v>12086.5</v>
      </c>
      <c r="G784" s="101">
        <v>43281</v>
      </c>
      <c r="H784" s="101">
        <v>386607.46500000003</v>
      </c>
      <c r="I784" s="101">
        <v>217053.49099999998</v>
      </c>
      <c r="J784" s="101">
        <v>511</v>
      </c>
      <c r="K784" s="101">
        <v>15520</v>
      </c>
      <c r="L784" s="101">
        <v>45956</v>
      </c>
      <c r="M784" s="101">
        <v>348638.61</v>
      </c>
      <c r="N784" s="101">
        <v>158099.39499999999</v>
      </c>
      <c r="O784" s="127">
        <v>229</v>
      </c>
      <c r="P784" s="127">
        <v>11359</v>
      </c>
      <c r="Q784" s="127">
        <v>34325</v>
      </c>
      <c r="R784" s="127">
        <v>313753</v>
      </c>
      <c r="S784" s="127">
        <v>136287</v>
      </c>
      <c r="T784" s="133">
        <v>0.98</v>
      </c>
      <c r="AG784" s="225"/>
      <c r="AH784" s="101">
        <v>30000</v>
      </c>
      <c r="AI784" s="101">
        <f t="shared" si="96"/>
        <v>24000</v>
      </c>
      <c r="AJ784" s="101">
        <f t="shared" si="97"/>
        <v>36000</v>
      </c>
    </row>
    <row r="785" spans="1:36" hidden="1" x14ac:dyDescent="0.3">
      <c r="A785" s="126" t="s">
        <v>188</v>
      </c>
      <c r="B785" s="126">
        <v>50</v>
      </c>
      <c r="C785" s="126">
        <v>12</v>
      </c>
      <c r="D785" s="126" t="str">
        <f t="shared" si="95"/>
        <v>5012</v>
      </c>
      <c r="J785" s="101">
        <v>1</v>
      </c>
      <c r="K785" s="101">
        <v>1</v>
      </c>
      <c r="L785" s="101">
        <v>3</v>
      </c>
      <c r="M785" s="101">
        <v>17.16</v>
      </c>
      <c r="N785" s="101">
        <v>0.45600000000000002</v>
      </c>
      <c r="O785" s="127">
        <v>1</v>
      </c>
      <c r="P785" s="127">
        <v>1</v>
      </c>
      <c r="Q785" s="127">
        <v>1</v>
      </c>
      <c r="R785" s="127">
        <v>0</v>
      </c>
      <c r="S785" s="127">
        <v>10</v>
      </c>
      <c r="T785" s="133">
        <v>1.02</v>
      </c>
      <c r="U785" s="101">
        <f t="shared" si="99"/>
        <v>1.02</v>
      </c>
      <c r="V785" s="101">
        <f t="shared" si="100"/>
        <v>1.02</v>
      </c>
      <c r="W785" s="101">
        <f t="shared" si="101"/>
        <v>1.02</v>
      </c>
      <c r="X785" s="101">
        <f t="shared" si="98"/>
        <v>0</v>
      </c>
      <c r="Y785" s="101">
        <f t="shared" si="102"/>
        <v>10.199999999999999</v>
      </c>
      <c r="AG785" s="225"/>
      <c r="AH785" s="101"/>
      <c r="AI785" s="101"/>
      <c r="AJ785" s="101"/>
    </row>
    <row r="786" spans="1:36" hidden="1" x14ac:dyDescent="0.3">
      <c r="A786" s="126" t="s">
        <v>188</v>
      </c>
      <c r="B786" s="126">
        <v>50</v>
      </c>
      <c r="C786" s="126">
        <v>28</v>
      </c>
      <c r="D786" s="126" t="str">
        <f t="shared" si="95"/>
        <v>5028</v>
      </c>
      <c r="J786" s="101">
        <v>129</v>
      </c>
      <c r="K786" s="101">
        <v>310</v>
      </c>
      <c r="L786" s="101">
        <v>5583</v>
      </c>
      <c r="M786" s="101">
        <v>104707.96</v>
      </c>
      <c r="N786" s="101">
        <v>39373.375999999997</v>
      </c>
      <c r="O786" s="127">
        <v>75</v>
      </c>
      <c r="P786" s="127">
        <v>527</v>
      </c>
      <c r="Q786" s="127">
        <v>5248</v>
      </c>
      <c r="R786" s="127">
        <v>122011</v>
      </c>
      <c r="S786" s="127">
        <v>33955</v>
      </c>
      <c r="T786" s="133">
        <v>1.02</v>
      </c>
      <c r="U786" s="101">
        <v>256</v>
      </c>
      <c r="V786" s="101">
        <v>7895</v>
      </c>
      <c r="W786" s="101">
        <v>62887</v>
      </c>
      <c r="X786" s="144">
        <f t="shared" si="98"/>
        <v>124451.22</v>
      </c>
      <c r="Y786" s="101">
        <v>293448</v>
      </c>
      <c r="AG786" s="225"/>
      <c r="AH786" s="101"/>
      <c r="AI786" s="101"/>
      <c r="AJ786" s="101"/>
    </row>
    <row r="787" spans="1:36" hidden="1" x14ac:dyDescent="0.3">
      <c r="A787" s="126" t="s">
        <v>188</v>
      </c>
      <c r="B787" s="126">
        <v>50</v>
      </c>
      <c r="C787" s="126">
        <v>41</v>
      </c>
      <c r="D787" s="126" t="str">
        <f t="shared" si="95"/>
        <v>5041</v>
      </c>
      <c r="J787" s="101">
        <v>22</v>
      </c>
      <c r="K787" s="101">
        <v>63</v>
      </c>
      <c r="L787" s="101">
        <v>588</v>
      </c>
      <c r="M787" s="101">
        <v>3348.23</v>
      </c>
      <c r="N787" s="101">
        <v>1069.643</v>
      </c>
      <c r="O787" s="127">
        <v>4</v>
      </c>
      <c r="P787" s="127">
        <v>5</v>
      </c>
      <c r="Q787" s="127">
        <v>8</v>
      </c>
      <c r="R787" s="127">
        <v>199</v>
      </c>
      <c r="S787" s="127">
        <v>61</v>
      </c>
      <c r="T787" s="133">
        <v>1.02</v>
      </c>
      <c r="U787" s="101">
        <f t="shared" si="99"/>
        <v>4.08</v>
      </c>
      <c r="V787" s="101">
        <f t="shared" si="100"/>
        <v>5.0999999999999996</v>
      </c>
      <c r="W787" s="101">
        <f t="shared" si="101"/>
        <v>8.16</v>
      </c>
      <c r="X787" s="101">
        <f t="shared" si="98"/>
        <v>202.98</v>
      </c>
      <c r="Y787" s="101">
        <f t="shared" si="102"/>
        <v>62.22</v>
      </c>
      <c r="AG787" s="225"/>
      <c r="AH787" s="101"/>
      <c r="AI787" s="101"/>
      <c r="AJ787" s="101"/>
    </row>
    <row r="788" spans="1:36" hidden="1" x14ac:dyDescent="0.3">
      <c r="A788" s="126" t="s">
        <v>188</v>
      </c>
      <c r="B788" s="126">
        <v>50</v>
      </c>
      <c r="C788" s="126">
        <v>46</v>
      </c>
      <c r="D788" s="126" t="str">
        <f t="shared" si="95"/>
        <v>5046</v>
      </c>
      <c r="J788" s="101">
        <v>24</v>
      </c>
      <c r="K788" s="101">
        <v>26</v>
      </c>
      <c r="L788" s="101">
        <v>95</v>
      </c>
      <c r="M788" s="101">
        <v>5474.88</v>
      </c>
      <c r="N788" s="101">
        <v>1203.7190000000001</v>
      </c>
      <c r="O788" s="127">
        <v>27</v>
      </c>
      <c r="P788" s="127">
        <v>27</v>
      </c>
      <c r="Q788" s="127">
        <v>236</v>
      </c>
      <c r="R788" s="127">
        <v>12906</v>
      </c>
      <c r="S788" s="127">
        <v>4707</v>
      </c>
      <c r="T788" s="133">
        <v>1.02</v>
      </c>
      <c r="U788" s="101">
        <f t="shared" si="99"/>
        <v>27.54</v>
      </c>
      <c r="V788" s="101">
        <f t="shared" si="100"/>
        <v>27.54</v>
      </c>
      <c r="W788" s="101">
        <f t="shared" si="101"/>
        <v>240.72</v>
      </c>
      <c r="X788" s="101">
        <f t="shared" si="98"/>
        <v>13164.12</v>
      </c>
      <c r="Y788" s="101">
        <f t="shared" si="102"/>
        <v>4801.1400000000003</v>
      </c>
      <c r="AG788" s="225"/>
      <c r="AH788" s="101"/>
      <c r="AI788" s="101"/>
      <c r="AJ788" s="101"/>
    </row>
    <row r="789" spans="1:36" hidden="1" x14ac:dyDescent="0.3">
      <c r="A789" s="126" t="s">
        <v>188</v>
      </c>
      <c r="B789" s="126">
        <v>50</v>
      </c>
      <c r="C789" s="126">
        <v>66</v>
      </c>
      <c r="D789" s="126" t="str">
        <f t="shared" si="95"/>
        <v>5066</v>
      </c>
      <c r="J789" s="101">
        <v>13</v>
      </c>
      <c r="K789" s="101">
        <v>23</v>
      </c>
      <c r="L789" s="101">
        <v>1260</v>
      </c>
      <c r="M789" s="101">
        <v>12466.64</v>
      </c>
      <c r="N789" s="101">
        <v>6278.491</v>
      </c>
      <c r="O789" s="127">
        <v>36</v>
      </c>
      <c r="P789" s="127">
        <v>73</v>
      </c>
      <c r="Q789" s="127">
        <v>3155</v>
      </c>
      <c r="R789" s="127">
        <v>34546</v>
      </c>
      <c r="S789" s="127">
        <v>20949</v>
      </c>
      <c r="T789" s="133">
        <v>1.02</v>
      </c>
      <c r="U789" s="101">
        <f t="shared" si="99"/>
        <v>36.72</v>
      </c>
      <c r="V789" s="101">
        <f t="shared" si="100"/>
        <v>74.460000000000008</v>
      </c>
      <c r="W789" s="101">
        <f t="shared" si="101"/>
        <v>3218.1</v>
      </c>
      <c r="X789" s="101">
        <f t="shared" si="98"/>
        <v>35236.92</v>
      </c>
      <c r="Y789" s="101">
        <f t="shared" si="102"/>
        <v>21367.98</v>
      </c>
      <c r="AG789" s="225"/>
      <c r="AH789" s="101"/>
      <c r="AI789" s="101"/>
      <c r="AJ789" s="101"/>
    </row>
    <row r="790" spans="1:36" x14ac:dyDescent="0.3">
      <c r="A790" s="126" t="s">
        <v>188</v>
      </c>
      <c r="B790" s="126">
        <v>50</v>
      </c>
      <c r="C790" s="126">
        <v>91</v>
      </c>
      <c r="D790" s="126" t="str">
        <f t="shared" si="95"/>
        <v>5091</v>
      </c>
      <c r="J790" s="101">
        <v>4</v>
      </c>
      <c r="K790" s="101">
        <v>16</v>
      </c>
      <c r="L790" s="101">
        <v>31</v>
      </c>
      <c r="M790" s="101">
        <v>505.13</v>
      </c>
      <c r="N790" s="101">
        <v>218.071</v>
      </c>
      <c r="O790" s="127">
        <v>7</v>
      </c>
      <c r="P790" s="127">
        <v>8</v>
      </c>
      <c r="Q790" s="127">
        <v>348</v>
      </c>
      <c r="R790" s="127">
        <v>1313</v>
      </c>
      <c r="S790" s="127">
        <v>893</v>
      </c>
      <c r="T790" s="133">
        <v>1.02</v>
      </c>
      <c r="U790" s="101">
        <f t="shared" si="99"/>
        <v>7.1400000000000006</v>
      </c>
      <c r="V790" s="101">
        <f t="shared" si="100"/>
        <v>8.16</v>
      </c>
      <c r="W790" s="101">
        <f t="shared" si="101"/>
        <v>354.96</v>
      </c>
      <c r="X790" s="101">
        <f t="shared" si="98"/>
        <v>1339.26</v>
      </c>
      <c r="Y790" s="101">
        <f t="shared" si="102"/>
        <v>910.86</v>
      </c>
      <c r="AG790" s="225"/>
      <c r="AH790" s="101"/>
      <c r="AI790" s="101"/>
      <c r="AJ790" s="101"/>
    </row>
    <row r="791" spans="1:36" hidden="1" x14ac:dyDescent="0.3">
      <c r="A791" s="126" t="s">
        <v>188</v>
      </c>
      <c r="B791" s="126">
        <v>50</v>
      </c>
      <c r="C791" s="126">
        <v>1</v>
      </c>
      <c r="D791" s="126" t="str">
        <f t="shared" si="95"/>
        <v>501</v>
      </c>
      <c r="J791" s="101">
        <v>122</v>
      </c>
      <c r="K791" s="101">
        <v>122</v>
      </c>
      <c r="L791" s="101">
        <v>53076</v>
      </c>
      <c r="N791" s="101">
        <v>196986</v>
      </c>
      <c r="O791" s="127">
        <v>121</v>
      </c>
      <c r="P791" s="127">
        <v>121</v>
      </c>
      <c r="Q791" s="127">
        <v>29653</v>
      </c>
      <c r="R791" s="127"/>
      <c r="S791" s="127">
        <v>146170</v>
      </c>
      <c r="T791" s="133">
        <v>1.02</v>
      </c>
      <c r="U791" s="101">
        <f t="shared" si="99"/>
        <v>123.42</v>
      </c>
      <c r="V791" s="101">
        <f t="shared" si="100"/>
        <v>123.42</v>
      </c>
      <c r="W791" s="101">
        <f t="shared" si="101"/>
        <v>30246.06</v>
      </c>
      <c r="X791" s="101">
        <f t="shared" si="98"/>
        <v>0</v>
      </c>
      <c r="Y791" s="101">
        <f t="shared" si="102"/>
        <v>149093.4</v>
      </c>
      <c r="AG791" s="225"/>
      <c r="AH791" s="101"/>
      <c r="AI791" s="101"/>
      <c r="AJ791" s="101"/>
    </row>
    <row r="792" spans="1:36" hidden="1" x14ac:dyDescent="0.3">
      <c r="A792" s="126" t="s">
        <v>188</v>
      </c>
      <c r="B792" s="126">
        <v>50</v>
      </c>
      <c r="C792" s="126">
        <v>37</v>
      </c>
      <c r="D792" s="126" t="str">
        <f t="shared" si="95"/>
        <v>5037</v>
      </c>
      <c r="E792" s="101">
        <v>13</v>
      </c>
      <c r="F792" s="101">
        <v>37.75</v>
      </c>
      <c r="G792" s="101">
        <v>697</v>
      </c>
      <c r="H792" s="101">
        <v>4111.1374999999998</v>
      </c>
      <c r="I792" s="101">
        <v>3017.8357499999997</v>
      </c>
      <c r="J792" s="101">
        <v>1</v>
      </c>
      <c r="K792" s="101">
        <v>1</v>
      </c>
      <c r="L792" s="101">
        <v>100</v>
      </c>
      <c r="M792" s="101">
        <v>324</v>
      </c>
      <c r="N792" s="101">
        <v>552.82500000000005</v>
      </c>
      <c r="O792" s="127">
        <v>0</v>
      </c>
      <c r="P792" s="127">
        <v>0</v>
      </c>
      <c r="Q792" s="127">
        <v>0</v>
      </c>
      <c r="R792" s="127">
        <v>0</v>
      </c>
      <c r="S792" s="127">
        <v>0</v>
      </c>
      <c r="T792" s="133">
        <v>1.02</v>
      </c>
      <c r="U792" s="101">
        <f t="shared" si="99"/>
        <v>0</v>
      </c>
      <c r="V792" s="101">
        <f t="shared" si="100"/>
        <v>0</v>
      </c>
      <c r="W792" s="101">
        <f t="shared" si="101"/>
        <v>0</v>
      </c>
      <c r="X792" s="101">
        <f t="shared" si="98"/>
        <v>0</v>
      </c>
      <c r="Y792" s="101">
        <f t="shared" si="102"/>
        <v>0</v>
      </c>
      <c r="AG792" s="225"/>
      <c r="AH792" s="101">
        <v>30000</v>
      </c>
      <c r="AI792" s="101">
        <f t="shared" si="96"/>
        <v>24000</v>
      </c>
      <c r="AJ792" s="101">
        <f t="shared" si="97"/>
        <v>36000</v>
      </c>
    </row>
    <row r="793" spans="1:36" hidden="1" x14ac:dyDescent="0.3">
      <c r="A793" s="126" t="s">
        <v>188</v>
      </c>
      <c r="B793" s="126">
        <v>51</v>
      </c>
      <c r="C793" s="126">
        <v>22</v>
      </c>
      <c r="D793" s="126" t="str">
        <f t="shared" si="95"/>
        <v>5122</v>
      </c>
      <c r="E793" s="101">
        <v>377</v>
      </c>
      <c r="F793" s="101">
        <v>2810</v>
      </c>
      <c r="G793" s="101">
        <v>18770</v>
      </c>
      <c r="H793" s="101">
        <v>132729.21</v>
      </c>
      <c r="I793" s="101">
        <v>71966.736000000004</v>
      </c>
      <c r="J793" s="101">
        <v>354</v>
      </c>
      <c r="K793" s="101">
        <v>2316</v>
      </c>
      <c r="L793" s="101">
        <v>19843</v>
      </c>
      <c r="M793" s="101">
        <v>142937.59</v>
      </c>
      <c r="N793" s="101">
        <v>78291.737999999998</v>
      </c>
      <c r="O793" s="101">
        <v>304</v>
      </c>
      <c r="P793" s="101">
        <v>1820</v>
      </c>
      <c r="Q793" s="101">
        <v>28590</v>
      </c>
      <c r="R793" s="101">
        <v>143191</v>
      </c>
      <c r="S793" s="101">
        <v>136442</v>
      </c>
      <c r="T793" s="133">
        <v>1.02</v>
      </c>
      <c r="U793" s="101">
        <f t="shared" si="99"/>
        <v>310.08</v>
      </c>
      <c r="V793" s="101">
        <f t="shared" si="100"/>
        <v>1856.4</v>
      </c>
      <c r="W793" s="101">
        <f t="shared" si="101"/>
        <v>29161.8</v>
      </c>
      <c r="X793" s="101">
        <f t="shared" si="98"/>
        <v>146054.82</v>
      </c>
      <c r="Y793" s="101">
        <f t="shared" si="102"/>
        <v>139170.84</v>
      </c>
      <c r="AG793" s="225">
        <f>SUM(V793:V808)</f>
        <v>21625.86</v>
      </c>
      <c r="AH793" s="101">
        <v>30000</v>
      </c>
      <c r="AI793" s="101">
        <f t="shared" si="96"/>
        <v>24000</v>
      </c>
      <c r="AJ793" s="101">
        <f t="shared" si="97"/>
        <v>36000</v>
      </c>
    </row>
    <row r="794" spans="1:36" hidden="1" x14ac:dyDescent="0.3">
      <c r="A794" s="126" t="s">
        <v>188</v>
      </c>
      <c r="B794" s="126">
        <v>51</v>
      </c>
      <c r="C794" s="126">
        <v>25</v>
      </c>
      <c r="D794" s="126" t="str">
        <f t="shared" si="95"/>
        <v>5125</v>
      </c>
      <c r="E794" s="101">
        <v>7</v>
      </c>
      <c r="F794" s="101">
        <v>44</v>
      </c>
      <c r="G794" s="101">
        <v>121294</v>
      </c>
      <c r="H794" s="101">
        <v>2715.23</v>
      </c>
      <c r="I794" s="101">
        <v>448.55800000000005</v>
      </c>
      <c r="J794" s="101">
        <v>116</v>
      </c>
      <c r="K794" s="101">
        <v>1013</v>
      </c>
      <c r="L794" s="101">
        <v>20031</v>
      </c>
      <c r="M794" s="101">
        <v>90045.27</v>
      </c>
      <c r="N794" s="101">
        <v>32665.169000000002</v>
      </c>
      <c r="O794" s="101">
        <v>103</v>
      </c>
      <c r="P794" s="101">
        <v>674</v>
      </c>
      <c r="Q794" s="101">
        <v>6491</v>
      </c>
      <c r="R794" s="101">
        <v>50117</v>
      </c>
      <c r="S794" s="101">
        <v>32311</v>
      </c>
      <c r="T794" s="133">
        <v>1.02</v>
      </c>
      <c r="U794" s="101">
        <f t="shared" si="99"/>
        <v>105.06</v>
      </c>
      <c r="V794" s="101">
        <f t="shared" si="100"/>
        <v>687.48</v>
      </c>
      <c r="W794" s="101">
        <f t="shared" si="101"/>
        <v>6620.82</v>
      </c>
      <c r="X794" s="101">
        <f t="shared" si="98"/>
        <v>51119.340000000004</v>
      </c>
      <c r="Y794" s="101">
        <f t="shared" si="102"/>
        <v>32957.22</v>
      </c>
      <c r="AG794" s="225"/>
      <c r="AH794" s="101">
        <v>30000</v>
      </c>
      <c r="AI794" s="101">
        <f t="shared" si="96"/>
        <v>24000</v>
      </c>
      <c r="AJ794" s="101">
        <f t="shared" si="97"/>
        <v>36000</v>
      </c>
    </row>
    <row r="795" spans="1:36" hidden="1" x14ac:dyDescent="0.3">
      <c r="A795" s="126" t="s">
        <v>188</v>
      </c>
      <c r="B795" s="126">
        <v>51</v>
      </c>
      <c r="C795" s="126">
        <v>27</v>
      </c>
      <c r="D795" s="126" t="str">
        <f t="shared" si="95"/>
        <v>5127</v>
      </c>
      <c r="E795" s="101">
        <v>0</v>
      </c>
      <c r="F795" s="101">
        <v>0</v>
      </c>
      <c r="G795" s="101">
        <v>0</v>
      </c>
      <c r="H795" s="101">
        <v>0</v>
      </c>
      <c r="I795" s="101">
        <v>0</v>
      </c>
      <c r="J795" s="101">
        <v>3</v>
      </c>
      <c r="K795" s="101">
        <v>4</v>
      </c>
      <c r="L795" s="101">
        <v>324</v>
      </c>
      <c r="M795" s="101">
        <v>8957.65</v>
      </c>
      <c r="N795" s="101">
        <v>2829.306</v>
      </c>
      <c r="O795" s="101">
        <v>6</v>
      </c>
      <c r="P795" s="101">
        <v>6</v>
      </c>
      <c r="Q795" s="101">
        <v>18</v>
      </c>
      <c r="R795" s="101">
        <v>692</v>
      </c>
      <c r="S795" s="101">
        <v>371</v>
      </c>
      <c r="T795" s="133">
        <v>1.02</v>
      </c>
      <c r="U795" s="101">
        <f t="shared" si="99"/>
        <v>6.12</v>
      </c>
      <c r="V795" s="101">
        <f t="shared" si="100"/>
        <v>6.12</v>
      </c>
      <c r="W795" s="101">
        <f t="shared" si="101"/>
        <v>18.36</v>
      </c>
      <c r="X795" s="101">
        <f t="shared" si="98"/>
        <v>705.84</v>
      </c>
      <c r="Y795" s="101">
        <f t="shared" si="102"/>
        <v>378.42</v>
      </c>
      <c r="AG795" s="225"/>
      <c r="AH795" s="101">
        <v>30000</v>
      </c>
      <c r="AI795" s="101">
        <f t="shared" si="96"/>
        <v>24000</v>
      </c>
      <c r="AJ795" s="101">
        <f t="shared" si="97"/>
        <v>36000</v>
      </c>
    </row>
    <row r="796" spans="1:36" hidden="1" x14ac:dyDescent="0.3">
      <c r="A796" s="126" t="s">
        <v>188</v>
      </c>
      <c r="B796" s="126">
        <v>51</v>
      </c>
      <c r="C796" s="126">
        <v>26</v>
      </c>
      <c r="D796" s="126" t="str">
        <f t="shared" si="95"/>
        <v>5126</v>
      </c>
      <c r="E796" s="101">
        <v>6</v>
      </c>
      <c r="F796" s="101">
        <v>74</v>
      </c>
      <c r="G796" s="101">
        <v>264</v>
      </c>
      <c r="H796" s="101">
        <v>3332.61</v>
      </c>
      <c r="I796" s="101">
        <v>710.60399999999993</v>
      </c>
      <c r="J796" s="101">
        <v>2</v>
      </c>
      <c r="K796" s="101">
        <v>27</v>
      </c>
      <c r="L796" s="101">
        <v>203</v>
      </c>
      <c r="M796" s="101">
        <v>2576.4499999999998</v>
      </c>
      <c r="N796" s="101">
        <v>745.94399999999996</v>
      </c>
      <c r="O796" s="101">
        <v>2</v>
      </c>
      <c r="P796" s="101">
        <v>7</v>
      </c>
      <c r="Q796" s="101">
        <v>480</v>
      </c>
      <c r="R796" s="101">
        <v>4417</v>
      </c>
      <c r="S796" s="101">
        <v>451</v>
      </c>
      <c r="T796" s="133">
        <v>1.02</v>
      </c>
      <c r="U796" s="101">
        <f t="shared" si="99"/>
        <v>2.04</v>
      </c>
      <c r="V796" s="101">
        <f t="shared" si="100"/>
        <v>7.1400000000000006</v>
      </c>
      <c r="W796" s="101">
        <f t="shared" si="101"/>
        <v>489.6</v>
      </c>
      <c r="X796" s="101">
        <f t="shared" si="98"/>
        <v>4505.34</v>
      </c>
      <c r="Y796" s="101">
        <f t="shared" si="102"/>
        <v>460.02</v>
      </c>
      <c r="AG796" s="225"/>
      <c r="AH796" s="101">
        <v>30000</v>
      </c>
      <c r="AI796" s="101">
        <f t="shared" si="96"/>
        <v>24000</v>
      </c>
      <c r="AJ796" s="101">
        <f t="shared" si="97"/>
        <v>36000</v>
      </c>
    </row>
    <row r="797" spans="1:36" hidden="1" x14ac:dyDescent="0.3">
      <c r="A797" s="126" t="s">
        <v>188</v>
      </c>
      <c r="B797" s="126">
        <v>51</v>
      </c>
      <c r="C797" s="126">
        <v>32</v>
      </c>
      <c r="D797" s="126" t="str">
        <f t="shared" si="95"/>
        <v>5132</v>
      </c>
      <c r="E797" s="101">
        <v>522</v>
      </c>
      <c r="F797" s="101">
        <v>1971</v>
      </c>
      <c r="G797" s="101">
        <v>62053</v>
      </c>
      <c r="H797" s="101">
        <v>1346577.4100000001</v>
      </c>
      <c r="I797" s="101">
        <v>485319.41099999996</v>
      </c>
      <c r="J797" s="101">
        <v>252</v>
      </c>
      <c r="K797" s="101">
        <v>810</v>
      </c>
      <c r="L797" s="101">
        <v>10990</v>
      </c>
      <c r="M797" s="101">
        <v>159938.16</v>
      </c>
      <c r="N797" s="101">
        <v>51713.428999999996</v>
      </c>
      <c r="O797" s="101">
        <v>129</v>
      </c>
      <c r="P797" s="101">
        <v>950</v>
      </c>
      <c r="Q797" s="101">
        <v>14744</v>
      </c>
      <c r="R797" s="101">
        <v>163925</v>
      </c>
      <c r="S797" s="101">
        <v>43864</v>
      </c>
      <c r="T797" s="133">
        <v>1.02</v>
      </c>
      <c r="U797" s="101">
        <f t="shared" si="99"/>
        <v>131.58000000000001</v>
      </c>
      <c r="V797" s="101">
        <f t="shared" si="100"/>
        <v>969</v>
      </c>
      <c r="W797" s="101">
        <f t="shared" si="101"/>
        <v>15038.880000000001</v>
      </c>
      <c r="X797" s="101">
        <f t="shared" si="98"/>
        <v>167203.5</v>
      </c>
      <c r="Y797" s="101">
        <f t="shared" si="102"/>
        <v>44741.279999999999</v>
      </c>
      <c r="AG797" s="225"/>
      <c r="AH797" s="101">
        <v>30000</v>
      </c>
      <c r="AI797" s="101">
        <f t="shared" si="96"/>
        <v>24000</v>
      </c>
      <c r="AJ797" s="101">
        <f t="shared" si="97"/>
        <v>36000</v>
      </c>
    </row>
    <row r="798" spans="1:36" hidden="1" x14ac:dyDescent="0.3">
      <c r="A798" s="126" t="s">
        <v>188</v>
      </c>
      <c r="B798" s="126">
        <v>51</v>
      </c>
      <c r="C798" s="126">
        <v>21</v>
      </c>
      <c r="D798" s="126" t="str">
        <f t="shared" si="95"/>
        <v>5121</v>
      </c>
      <c r="E798" s="101">
        <v>1123</v>
      </c>
      <c r="F798" s="101">
        <v>3853.5</v>
      </c>
      <c r="G798" s="101">
        <v>16511</v>
      </c>
      <c r="H798" s="101">
        <v>327110.20999999996</v>
      </c>
      <c r="I798" s="101">
        <v>79033.4715</v>
      </c>
      <c r="J798" s="101">
        <v>0</v>
      </c>
      <c r="K798" s="101">
        <v>0</v>
      </c>
      <c r="L798" s="101">
        <v>0</v>
      </c>
      <c r="M798" s="101">
        <v>0</v>
      </c>
      <c r="N798" s="101">
        <v>0</v>
      </c>
      <c r="O798" s="101">
        <v>95</v>
      </c>
      <c r="P798" s="101">
        <v>376</v>
      </c>
      <c r="Q798" s="101">
        <v>1451</v>
      </c>
      <c r="R798" s="101">
        <v>38823</v>
      </c>
      <c r="S798" s="101">
        <v>17424</v>
      </c>
      <c r="T798" s="133">
        <v>1.02</v>
      </c>
      <c r="U798" s="101">
        <v>1530</v>
      </c>
      <c r="V798" s="101">
        <v>5940</v>
      </c>
      <c r="W798" s="101">
        <v>24613</v>
      </c>
      <c r="X798" s="101">
        <v>420895</v>
      </c>
      <c r="Y798" s="101">
        <v>141835</v>
      </c>
      <c r="AG798" s="225"/>
      <c r="AH798" s="101">
        <v>30000</v>
      </c>
      <c r="AI798" s="101">
        <f t="shared" si="96"/>
        <v>24000</v>
      </c>
      <c r="AJ798" s="101">
        <f t="shared" si="97"/>
        <v>36000</v>
      </c>
    </row>
    <row r="799" spans="1:36" hidden="1" x14ac:dyDescent="0.3">
      <c r="A799" s="126" t="s">
        <v>188</v>
      </c>
      <c r="B799" s="126">
        <v>51</v>
      </c>
      <c r="C799" s="126">
        <v>30</v>
      </c>
      <c r="D799" s="126" t="str">
        <f t="shared" si="95"/>
        <v>5130</v>
      </c>
      <c r="E799" s="101">
        <v>481.5</v>
      </c>
      <c r="F799" s="101">
        <v>4240</v>
      </c>
      <c r="G799" s="101">
        <v>17898</v>
      </c>
      <c r="H799" s="101">
        <v>400266.23000000004</v>
      </c>
      <c r="I799" s="101">
        <v>137040.4515</v>
      </c>
      <c r="J799" s="101">
        <v>751</v>
      </c>
      <c r="K799" s="101">
        <v>5705</v>
      </c>
      <c r="L799" s="101">
        <v>29223</v>
      </c>
      <c r="M799" s="101">
        <v>620737.04</v>
      </c>
      <c r="N799" s="101">
        <v>247564.815</v>
      </c>
      <c r="O799" s="101">
        <v>562</v>
      </c>
      <c r="P799" s="101">
        <v>7534</v>
      </c>
      <c r="Q799" s="101">
        <v>29031</v>
      </c>
      <c r="R799" s="101">
        <v>776540</v>
      </c>
      <c r="S799" s="101">
        <v>243600</v>
      </c>
      <c r="T799" s="133">
        <v>1.02</v>
      </c>
      <c r="U799" s="101">
        <f t="shared" si="99"/>
        <v>573.24</v>
      </c>
      <c r="V799" s="101">
        <f t="shared" si="100"/>
        <v>7684.68</v>
      </c>
      <c r="W799" s="101">
        <f t="shared" si="101"/>
        <v>29611.62</v>
      </c>
      <c r="X799" s="101">
        <f t="shared" si="98"/>
        <v>792070.8</v>
      </c>
      <c r="Y799" s="101">
        <f t="shared" si="102"/>
        <v>248472</v>
      </c>
      <c r="AG799" s="225"/>
      <c r="AH799" s="101">
        <v>30000</v>
      </c>
      <c r="AI799" s="101">
        <f t="shared" si="96"/>
        <v>24000</v>
      </c>
      <c r="AJ799" s="101">
        <f t="shared" si="97"/>
        <v>36000</v>
      </c>
    </row>
    <row r="800" spans="1:36" hidden="1" x14ac:dyDescent="0.3">
      <c r="A800" s="126" t="s">
        <v>188</v>
      </c>
      <c r="B800" s="126">
        <v>51</v>
      </c>
      <c r="C800" s="126">
        <v>71</v>
      </c>
      <c r="D800" s="126" t="str">
        <f t="shared" si="95"/>
        <v>5171</v>
      </c>
      <c r="E800" s="101">
        <v>558</v>
      </c>
      <c r="F800" s="101">
        <v>8171.5</v>
      </c>
      <c r="G800" s="101">
        <v>20298.5</v>
      </c>
      <c r="H800" s="101">
        <v>216287.745</v>
      </c>
      <c r="I800" s="101">
        <v>102836.37950000001</v>
      </c>
      <c r="J800" s="101">
        <v>424</v>
      </c>
      <c r="K800" s="101">
        <v>15042</v>
      </c>
      <c r="L800" s="101">
        <v>35004</v>
      </c>
      <c r="M800" s="101">
        <v>312836.13</v>
      </c>
      <c r="N800" s="101">
        <v>153240.45600000001</v>
      </c>
      <c r="O800" s="101">
        <v>122</v>
      </c>
      <c r="P800" s="101">
        <v>4380</v>
      </c>
      <c r="Q800" s="101">
        <v>15748</v>
      </c>
      <c r="R800" s="101">
        <v>165079</v>
      </c>
      <c r="S800" s="101">
        <v>80808</v>
      </c>
      <c r="T800" s="133">
        <v>0.98</v>
      </c>
      <c r="AG800" s="225"/>
      <c r="AH800" s="101">
        <v>30000</v>
      </c>
      <c r="AI800" s="101">
        <f t="shared" si="96"/>
        <v>24000</v>
      </c>
      <c r="AJ800" s="101">
        <f t="shared" si="97"/>
        <v>36000</v>
      </c>
    </row>
    <row r="801" spans="1:36" hidden="1" x14ac:dyDescent="0.3">
      <c r="A801" s="126" t="s">
        <v>188</v>
      </c>
      <c r="B801" s="126">
        <v>51</v>
      </c>
      <c r="C801" s="126">
        <v>12</v>
      </c>
      <c r="D801" s="126" t="str">
        <f t="shared" si="95"/>
        <v>5112</v>
      </c>
      <c r="J801" s="101">
        <v>1</v>
      </c>
      <c r="K801" s="101">
        <v>1</v>
      </c>
      <c r="L801" s="101">
        <v>1</v>
      </c>
      <c r="M801" s="101">
        <v>0</v>
      </c>
      <c r="N801" s="101">
        <v>2.899</v>
      </c>
      <c r="O801" s="101">
        <v>0</v>
      </c>
      <c r="P801" s="101">
        <v>0</v>
      </c>
      <c r="Q801" s="101">
        <v>0</v>
      </c>
      <c r="R801" s="101">
        <v>0</v>
      </c>
      <c r="S801" s="101">
        <v>0</v>
      </c>
      <c r="T801" s="133">
        <v>1.02</v>
      </c>
      <c r="U801" s="101">
        <f t="shared" si="99"/>
        <v>0</v>
      </c>
      <c r="V801" s="101">
        <f t="shared" si="100"/>
        <v>0</v>
      </c>
      <c r="W801" s="101">
        <f t="shared" si="101"/>
        <v>0</v>
      </c>
      <c r="X801" s="101">
        <f t="shared" si="98"/>
        <v>0</v>
      </c>
      <c r="Y801" s="101">
        <f t="shared" si="102"/>
        <v>0</v>
      </c>
      <c r="AG801" s="225"/>
      <c r="AH801" s="101"/>
      <c r="AI801" s="101"/>
      <c r="AJ801" s="101"/>
    </row>
    <row r="802" spans="1:36" hidden="1" x14ac:dyDescent="0.3">
      <c r="A802" s="126" t="s">
        <v>188</v>
      </c>
      <c r="B802" s="126">
        <v>51</v>
      </c>
      <c r="C802" s="126">
        <v>28</v>
      </c>
      <c r="D802" s="126" t="str">
        <f t="shared" si="95"/>
        <v>5128</v>
      </c>
      <c r="J802" s="101">
        <v>116</v>
      </c>
      <c r="K802" s="101">
        <v>437</v>
      </c>
      <c r="L802" s="101">
        <v>141824</v>
      </c>
      <c r="M802" s="101">
        <v>90159.46</v>
      </c>
      <c r="N802" s="101">
        <v>169076.666</v>
      </c>
      <c r="O802" s="101">
        <v>41</v>
      </c>
      <c r="P802" s="101">
        <v>280</v>
      </c>
      <c r="Q802" s="101">
        <v>3458</v>
      </c>
      <c r="R802" s="101">
        <v>61869</v>
      </c>
      <c r="S802" s="101">
        <v>14124</v>
      </c>
      <c r="T802" s="133">
        <v>1.02</v>
      </c>
      <c r="U802" s="101">
        <v>117</v>
      </c>
      <c r="V802" s="101">
        <v>4218</v>
      </c>
      <c r="W802" s="101">
        <v>38915</v>
      </c>
      <c r="X802" s="144">
        <f t="shared" si="98"/>
        <v>63106.380000000005</v>
      </c>
      <c r="Y802" s="101">
        <v>179521</v>
      </c>
      <c r="AG802" s="225"/>
      <c r="AH802" s="101"/>
      <c r="AI802" s="101"/>
      <c r="AJ802" s="101"/>
    </row>
    <row r="803" spans="1:36" hidden="1" x14ac:dyDescent="0.3">
      <c r="A803" s="126" t="s">
        <v>188</v>
      </c>
      <c r="B803" s="126">
        <v>51</v>
      </c>
      <c r="C803" s="126">
        <v>41</v>
      </c>
      <c r="D803" s="126" t="str">
        <f t="shared" si="95"/>
        <v>5141</v>
      </c>
      <c r="J803" s="101">
        <v>3</v>
      </c>
      <c r="K803" s="101">
        <v>3</v>
      </c>
      <c r="L803" s="101">
        <v>18</v>
      </c>
      <c r="M803" s="101">
        <v>432.48</v>
      </c>
      <c r="N803" s="101">
        <v>157.70599999999999</v>
      </c>
      <c r="O803" s="101">
        <v>3</v>
      </c>
      <c r="P803" s="101">
        <v>4</v>
      </c>
      <c r="Q803" s="101">
        <v>34</v>
      </c>
      <c r="R803" s="101">
        <v>230</v>
      </c>
      <c r="S803" s="101">
        <v>41</v>
      </c>
      <c r="T803" s="133">
        <v>1.02</v>
      </c>
      <c r="U803" s="101">
        <f t="shared" si="99"/>
        <v>3.06</v>
      </c>
      <c r="V803" s="101">
        <f t="shared" si="100"/>
        <v>4.08</v>
      </c>
      <c r="W803" s="101">
        <f t="shared" si="101"/>
        <v>34.68</v>
      </c>
      <c r="X803" s="101">
        <f t="shared" si="98"/>
        <v>234.6</v>
      </c>
      <c r="Y803" s="101">
        <f t="shared" si="102"/>
        <v>41.82</v>
      </c>
      <c r="AG803" s="225"/>
      <c r="AH803" s="101"/>
      <c r="AI803" s="101"/>
      <c r="AJ803" s="101"/>
    </row>
    <row r="804" spans="1:36" hidden="1" x14ac:dyDescent="0.3">
      <c r="A804" s="126" t="s">
        <v>188</v>
      </c>
      <c r="B804" s="126">
        <v>51</v>
      </c>
      <c r="C804" s="126">
        <v>46</v>
      </c>
      <c r="D804" s="126" t="str">
        <f t="shared" si="95"/>
        <v>5146</v>
      </c>
      <c r="J804" s="101">
        <v>14</v>
      </c>
      <c r="K804" s="101">
        <v>17</v>
      </c>
      <c r="L804" s="101">
        <v>68</v>
      </c>
      <c r="M804" s="101">
        <v>818.48</v>
      </c>
      <c r="N804" s="101">
        <v>221.154</v>
      </c>
      <c r="O804" s="101">
        <v>13</v>
      </c>
      <c r="P804" s="101">
        <v>14</v>
      </c>
      <c r="Q804" s="101">
        <v>2485</v>
      </c>
      <c r="R804" s="101">
        <v>143769</v>
      </c>
      <c r="S804" s="101">
        <v>103722</v>
      </c>
      <c r="T804" s="133">
        <v>1.02</v>
      </c>
      <c r="U804" s="101">
        <f t="shared" si="99"/>
        <v>13.26</v>
      </c>
      <c r="V804" s="101">
        <f t="shared" si="100"/>
        <v>14.280000000000001</v>
      </c>
      <c r="W804" s="101">
        <f t="shared" si="101"/>
        <v>2534.6999999999998</v>
      </c>
      <c r="X804" s="101">
        <f t="shared" si="98"/>
        <v>146644.38</v>
      </c>
      <c r="Y804" s="101">
        <f t="shared" si="102"/>
        <v>105796.44</v>
      </c>
      <c r="AG804" s="225"/>
      <c r="AH804" s="101"/>
      <c r="AI804" s="101"/>
      <c r="AJ804" s="101"/>
    </row>
    <row r="805" spans="1:36" hidden="1" x14ac:dyDescent="0.3">
      <c r="A805" s="126" t="s">
        <v>188</v>
      </c>
      <c r="B805" s="126">
        <v>51</v>
      </c>
      <c r="C805" s="126">
        <v>66</v>
      </c>
      <c r="D805" s="126" t="str">
        <f t="shared" si="95"/>
        <v>5166</v>
      </c>
      <c r="J805" s="101">
        <v>12</v>
      </c>
      <c r="K805" s="101">
        <v>16</v>
      </c>
      <c r="L805" s="101">
        <v>1354</v>
      </c>
      <c r="M805" s="101">
        <v>11799.7</v>
      </c>
      <c r="N805" s="101">
        <v>9300.7469999999994</v>
      </c>
      <c r="O805" s="101">
        <v>26</v>
      </c>
      <c r="P805" s="101">
        <v>43</v>
      </c>
      <c r="Q805" s="101">
        <v>1576</v>
      </c>
      <c r="R805" s="101">
        <v>18840</v>
      </c>
      <c r="S805" s="101">
        <v>10571</v>
      </c>
      <c r="T805" s="133">
        <v>1.02</v>
      </c>
      <c r="U805" s="101">
        <f t="shared" si="99"/>
        <v>26.52</v>
      </c>
      <c r="V805" s="101">
        <f t="shared" si="100"/>
        <v>43.86</v>
      </c>
      <c r="W805" s="101">
        <f t="shared" si="101"/>
        <v>1607.52</v>
      </c>
      <c r="X805" s="101">
        <f t="shared" si="98"/>
        <v>19216.8</v>
      </c>
      <c r="Y805" s="101">
        <f t="shared" si="102"/>
        <v>10782.42</v>
      </c>
      <c r="AG805" s="225"/>
      <c r="AH805" s="101"/>
      <c r="AI805" s="101"/>
      <c r="AJ805" s="101"/>
    </row>
    <row r="806" spans="1:36" x14ac:dyDescent="0.3">
      <c r="A806" s="126" t="s">
        <v>188</v>
      </c>
      <c r="B806" s="126">
        <v>51</v>
      </c>
      <c r="C806" s="126">
        <v>91</v>
      </c>
      <c r="D806" s="126" t="str">
        <f t="shared" si="95"/>
        <v>5191</v>
      </c>
      <c r="J806" s="101">
        <v>2</v>
      </c>
      <c r="K806" s="101">
        <v>6</v>
      </c>
      <c r="L806" s="101">
        <v>12</v>
      </c>
      <c r="M806" s="101">
        <v>86.94</v>
      </c>
      <c r="N806" s="101">
        <v>111.756</v>
      </c>
      <c r="O806" s="101">
        <v>13</v>
      </c>
      <c r="P806" s="101">
        <v>110</v>
      </c>
      <c r="Q806" s="101">
        <v>114</v>
      </c>
      <c r="R806" s="101">
        <v>3985</v>
      </c>
      <c r="S806" s="101">
        <v>1183</v>
      </c>
      <c r="T806" s="133">
        <v>1.02</v>
      </c>
      <c r="U806" s="101">
        <f t="shared" si="99"/>
        <v>13.26</v>
      </c>
      <c r="V806" s="101">
        <f t="shared" si="100"/>
        <v>112.2</v>
      </c>
      <c r="W806" s="101">
        <f t="shared" si="101"/>
        <v>116.28</v>
      </c>
      <c r="X806" s="101">
        <f t="shared" si="98"/>
        <v>4064.7000000000003</v>
      </c>
      <c r="Y806" s="101">
        <f t="shared" si="102"/>
        <v>1206.6600000000001</v>
      </c>
      <c r="AG806" s="225"/>
      <c r="AH806" s="101"/>
      <c r="AI806" s="101"/>
      <c r="AJ806" s="101"/>
    </row>
    <row r="807" spans="1:36" hidden="1" x14ac:dyDescent="0.3">
      <c r="A807" s="126" t="s">
        <v>188</v>
      </c>
      <c r="B807" s="126">
        <v>51</v>
      </c>
      <c r="C807" s="126">
        <v>1</v>
      </c>
      <c r="D807" s="126" t="str">
        <f t="shared" si="95"/>
        <v>511</v>
      </c>
      <c r="J807" s="101">
        <v>123</v>
      </c>
      <c r="K807" s="101">
        <v>123</v>
      </c>
      <c r="L807" s="101">
        <v>39384</v>
      </c>
      <c r="N807" s="101">
        <v>146714</v>
      </c>
      <c r="O807" s="101">
        <v>81</v>
      </c>
      <c r="P807" s="101">
        <v>81</v>
      </c>
      <c r="Q807" s="101">
        <v>20372</v>
      </c>
      <c r="S807" s="101">
        <v>90065.23</v>
      </c>
      <c r="T807" s="133">
        <v>1.02</v>
      </c>
      <c r="U807" s="101">
        <f t="shared" si="99"/>
        <v>82.62</v>
      </c>
      <c r="V807" s="101">
        <f t="shared" si="100"/>
        <v>82.62</v>
      </c>
      <c r="W807" s="101">
        <f t="shared" si="101"/>
        <v>20779.439999999999</v>
      </c>
      <c r="X807" s="101">
        <f t="shared" si="98"/>
        <v>0</v>
      </c>
      <c r="Y807" s="101">
        <f t="shared" si="102"/>
        <v>91866.534599999999</v>
      </c>
      <c r="AG807" s="225"/>
      <c r="AH807" s="101"/>
      <c r="AI807" s="101"/>
      <c r="AJ807" s="101"/>
    </row>
    <row r="808" spans="1:36" hidden="1" x14ac:dyDescent="0.3">
      <c r="A808" s="126" t="s">
        <v>188</v>
      </c>
      <c r="B808" s="126">
        <v>51</v>
      </c>
      <c r="C808" s="126">
        <v>37</v>
      </c>
      <c r="D808" s="126" t="str">
        <f t="shared" si="95"/>
        <v>5137</v>
      </c>
      <c r="E808" s="101">
        <v>3.25</v>
      </c>
      <c r="F808" s="101">
        <v>13.5</v>
      </c>
      <c r="G808" s="101">
        <v>417</v>
      </c>
      <c r="H808" s="101">
        <v>10841.29</v>
      </c>
      <c r="I808" s="101">
        <v>203.60849999999999</v>
      </c>
      <c r="J808" s="101">
        <v>0</v>
      </c>
      <c r="K808" s="101">
        <v>0</v>
      </c>
      <c r="L808" s="101">
        <v>0</v>
      </c>
      <c r="M808" s="101">
        <v>0</v>
      </c>
      <c r="N808" s="101">
        <v>0</v>
      </c>
      <c r="O808" s="101">
        <v>0</v>
      </c>
      <c r="P808" s="101">
        <v>0</v>
      </c>
      <c r="Q808" s="101">
        <v>0</v>
      </c>
      <c r="R808" s="101">
        <v>0</v>
      </c>
      <c r="S808" s="101">
        <v>0</v>
      </c>
      <c r="T808" s="133">
        <v>1.02</v>
      </c>
      <c r="U808" s="101">
        <f t="shared" si="99"/>
        <v>0</v>
      </c>
      <c r="V808" s="101">
        <f t="shared" si="100"/>
        <v>0</v>
      </c>
      <c r="W808" s="101">
        <f t="shared" si="101"/>
        <v>0</v>
      </c>
      <c r="X808" s="101">
        <f t="shared" si="98"/>
        <v>0</v>
      </c>
      <c r="Y808" s="101">
        <f t="shared" si="102"/>
        <v>0</v>
      </c>
      <c r="AG808" s="225"/>
      <c r="AH808" s="101">
        <v>30000</v>
      </c>
      <c r="AI808" s="101">
        <f t="shared" si="96"/>
        <v>24000</v>
      </c>
      <c r="AJ808" s="101">
        <f t="shared" si="97"/>
        <v>36000</v>
      </c>
    </row>
    <row r="809" spans="1:36" hidden="1" x14ac:dyDescent="0.3">
      <c r="A809" s="126" t="s">
        <v>188</v>
      </c>
      <c r="B809" s="126">
        <v>52</v>
      </c>
      <c r="C809" s="126">
        <v>22</v>
      </c>
      <c r="D809" s="126" t="str">
        <f t="shared" si="95"/>
        <v>5222</v>
      </c>
      <c r="E809" s="101">
        <v>128</v>
      </c>
      <c r="F809" s="101">
        <v>901</v>
      </c>
      <c r="G809" s="101">
        <v>11984</v>
      </c>
      <c r="H809" s="101">
        <v>52927.869999999995</v>
      </c>
      <c r="I809" s="101">
        <v>48185.896000000001</v>
      </c>
      <c r="J809" s="101">
        <v>392</v>
      </c>
      <c r="K809" s="101">
        <v>2152</v>
      </c>
      <c r="L809" s="101">
        <v>17916</v>
      </c>
      <c r="M809" s="101">
        <v>122473.58</v>
      </c>
      <c r="N809" s="101">
        <v>64691.928</v>
      </c>
      <c r="O809" s="101">
        <v>266</v>
      </c>
      <c r="P809" s="101">
        <v>1832</v>
      </c>
      <c r="Q809" s="101">
        <v>11629</v>
      </c>
      <c r="R809" s="101">
        <v>77296.88</v>
      </c>
      <c r="S809" s="101">
        <v>51176.267999999996</v>
      </c>
      <c r="T809" s="133">
        <v>1.02</v>
      </c>
      <c r="U809" s="101">
        <f t="shared" si="99"/>
        <v>271.32</v>
      </c>
      <c r="V809" s="101">
        <f t="shared" si="100"/>
        <v>1868.64</v>
      </c>
      <c r="W809" s="101">
        <f t="shared" si="101"/>
        <v>11861.58</v>
      </c>
      <c r="X809" s="101">
        <f t="shared" si="98"/>
        <v>78842.817600000009</v>
      </c>
      <c r="Y809" s="101">
        <f t="shared" si="102"/>
        <v>52199.793359999996</v>
      </c>
      <c r="AG809" s="225">
        <f>SUM(V809:V824)</f>
        <v>4061.9</v>
      </c>
      <c r="AH809" s="101">
        <v>30000</v>
      </c>
      <c r="AI809" s="101">
        <f t="shared" si="96"/>
        <v>24000</v>
      </c>
      <c r="AJ809" s="101">
        <f t="shared" si="97"/>
        <v>36000</v>
      </c>
    </row>
    <row r="810" spans="1:36" hidden="1" x14ac:dyDescent="0.3">
      <c r="A810" s="126" t="s">
        <v>188</v>
      </c>
      <c r="B810" s="126">
        <v>52</v>
      </c>
      <c r="C810" s="126">
        <v>32</v>
      </c>
      <c r="D810" s="126" t="str">
        <f t="shared" si="95"/>
        <v>5232</v>
      </c>
      <c r="E810" s="101">
        <v>76</v>
      </c>
      <c r="F810" s="101">
        <v>138</v>
      </c>
      <c r="G810" s="101">
        <v>928</v>
      </c>
      <c r="H810" s="101">
        <v>26758.449999999997</v>
      </c>
      <c r="I810" s="101">
        <v>6672.6939999999995</v>
      </c>
      <c r="J810" s="101">
        <v>6</v>
      </c>
      <c r="K810" s="101">
        <v>422</v>
      </c>
      <c r="L810" s="101">
        <v>6114</v>
      </c>
      <c r="M810" s="101">
        <v>79610.100000000006</v>
      </c>
      <c r="N810" s="101">
        <v>17833.233</v>
      </c>
      <c r="O810" s="101">
        <v>129</v>
      </c>
      <c r="P810" s="101">
        <v>307</v>
      </c>
      <c r="Q810" s="101">
        <v>6989</v>
      </c>
      <c r="R810" s="101">
        <v>293963.32</v>
      </c>
      <c r="S810" s="101">
        <v>147278.606</v>
      </c>
      <c r="T810" s="133">
        <v>1.02</v>
      </c>
      <c r="U810" s="101">
        <f t="shared" si="99"/>
        <v>131.58000000000001</v>
      </c>
      <c r="V810" s="101">
        <f t="shared" si="100"/>
        <v>313.14</v>
      </c>
      <c r="W810" s="101">
        <f t="shared" si="101"/>
        <v>7128.78</v>
      </c>
      <c r="X810" s="101">
        <f t="shared" si="98"/>
        <v>299842.58640000003</v>
      </c>
      <c r="Y810" s="101">
        <f t="shared" si="102"/>
        <v>150224.17812</v>
      </c>
      <c r="AG810" s="225"/>
      <c r="AH810" s="101">
        <v>30000</v>
      </c>
      <c r="AI810" s="101">
        <f t="shared" si="96"/>
        <v>24000</v>
      </c>
      <c r="AJ810" s="101">
        <f t="shared" si="97"/>
        <v>36000</v>
      </c>
    </row>
    <row r="811" spans="1:36" hidden="1" x14ac:dyDescent="0.3">
      <c r="A811" s="126" t="s">
        <v>188</v>
      </c>
      <c r="B811" s="126">
        <v>52</v>
      </c>
      <c r="C811" s="126">
        <v>21</v>
      </c>
      <c r="D811" s="126" t="str">
        <f t="shared" si="95"/>
        <v>5221</v>
      </c>
      <c r="E811" s="101">
        <v>246</v>
      </c>
      <c r="F811" s="101">
        <v>999</v>
      </c>
      <c r="G811" s="101">
        <v>9646.5</v>
      </c>
      <c r="H811" s="101">
        <v>67762.604999999996</v>
      </c>
      <c r="I811" s="101">
        <v>18939.425499999998</v>
      </c>
      <c r="J811" s="101">
        <v>0</v>
      </c>
      <c r="K811" s="101">
        <v>0</v>
      </c>
      <c r="L811" s="101">
        <v>0</v>
      </c>
      <c r="M811" s="101">
        <v>0</v>
      </c>
      <c r="N811" s="101">
        <v>0</v>
      </c>
      <c r="O811" s="101">
        <v>9</v>
      </c>
      <c r="P811" s="101">
        <v>37</v>
      </c>
      <c r="Q811" s="101">
        <v>103</v>
      </c>
      <c r="R811" s="101">
        <v>6509.02</v>
      </c>
      <c r="S811" s="101">
        <v>3014.5340000000001</v>
      </c>
      <c r="T811" s="133">
        <v>1.02</v>
      </c>
      <c r="U811" s="101">
        <v>137</v>
      </c>
      <c r="V811" s="101">
        <v>1230</v>
      </c>
      <c r="W811" s="101">
        <v>3943</v>
      </c>
      <c r="X811" s="101">
        <v>59575</v>
      </c>
      <c r="Y811" s="101">
        <v>17125</v>
      </c>
      <c r="AG811" s="225"/>
      <c r="AH811" s="101">
        <v>30000</v>
      </c>
      <c r="AI811" s="101">
        <f t="shared" si="96"/>
        <v>24000</v>
      </c>
      <c r="AJ811" s="101">
        <f t="shared" si="97"/>
        <v>36000</v>
      </c>
    </row>
    <row r="812" spans="1:36" hidden="1" x14ac:dyDescent="0.3">
      <c r="A812" s="126" t="s">
        <v>188</v>
      </c>
      <c r="B812" s="126">
        <v>52</v>
      </c>
      <c r="C812" s="126">
        <v>25</v>
      </c>
      <c r="D812" s="126" t="str">
        <f t="shared" si="95"/>
        <v>5225</v>
      </c>
      <c r="E812" s="101">
        <v>0</v>
      </c>
      <c r="F812" s="101">
        <v>0</v>
      </c>
      <c r="G812" s="101">
        <v>0</v>
      </c>
      <c r="H812" s="101">
        <v>0</v>
      </c>
      <c r="I812" s="101">
        <v>0</v>
      </c>
      <c r="J812" s="101">
        <v>0</v>
      </c>
      <c r="K812" s="101">
        <v>0</v>
      </c>
      <c r="L812" s="101">
        <v>0</v>
      </c>
      <c r="M812" s="101">
        <v>0</v>
      </c>
      <c r="N812" s="101">
        <v>0</v>
      </c>
      <c r="O812" s="101">
        <v>0</v>
      </c>
      <c r="P812" s="101">
        <v>0</v>
      </c>
      <c r="Q812" s="101">
        <v>0</v>
      </c>
      <c r="R812" s="101">
        <v>0</v>
      </c>
      <c r="S812" s="101">
        <v>0</v>
      </c>
      <c r="T812" s="133">
        <v>1.02</v>
      </c>
      <c r="U812" s="101">
        <f t="shared" si="99"/>
        <v>0</v>
      </c>
      <c r="V812" s="101">
        <f t="shared" si="100"/>
        <v>0</v>
      </c>
      <c r="W812" s="101">
        <f t="shared" si="101"/>
        <v>0</v>
      </c>
      <c r="X812" s="101">
        <f t="shared" si="98"/>
        <v>0</v>
      </c>
      <c r="Y812" s="101">
        <f t="shared" si="102"/>
        <v>0</v>
      </c>
      <c r="AG812" s="225"/>
      <c r="AH812" s="101">
        <v>30000</v>
      </c>
      <c r="AI812" s="101">
        <f t="shared" si="96"/>
        <v>24000</v>
      </c>
      <c r="AJ812" s="101">
        <f t="shared" si="97"/>
        <v>36000</v>
      </c>
    </row>
    <row r="813" spans="1:36" hidden="1" x14ac:dyDescent="0.3">
      <c r="A813" s="126" t="s">
        <v>188</v>
      </c>
      <c r="B813" s="126">
        <v>52</v>
      </c>
      <c r="C813" s="126">
        <v>27</v>
      </c>
      <c r="D813" s="126" t="str">
        <f t="shared" si="95"/>
        <v>5227</v>
      </c>
      <c r="E813" s="101">
        <v>0</v>
      </c>
      <c r="F813" s="101">
        <v>0</v>
      </c>
      <c r="G813" s="101">
        <v>0</v>
      </c>
      <c r="H813" s="101">
        <v>0</v>
      </c>
      <c r="I813" s="101">
        <v>0</v>
      </c>
      <c r="J813" s="101">
        <v>0</v>
      </c>
      <c r="K813" s="101">
        <v>0</v>
      </c>
      <c r="L813" s="101">
        <v>0</v>
      </c>
      <c r="M813" s="101">
        <v>0</v>
      </c>
      <c r="N813" s="101">
        <v>0</v>
      </c>
      <c r="O813" s="101">
        <v>0</v>
      </c>
      <c r="P813" s="101">
        <v>0</v>
      </c>
      <c r="Q813" s="101">
        <v>0</v>
      </c>
      <c r="R813" s="101">
        <v>0</v>
      </c>
      <c r="S813" s="101">
        <v>0</v>
      </c>
      <c r="T813" s="133">
        <v>1.02</v>
      </c>
      <c r="U813" s="101">
        <f t="shared" si="99"/>
        <v>0</v>
      </c>
      <c r="V813" s="101">
        <f t="shared" si="100"/>
        <v>0</v>
      </c>
      <c r="W813" s="101">
        <f t="shared" si="101"/>
        <v>0</v>
      </c>
      <c r="X813" s="101">
        <f t="shared" si="98"/>
        <v>0</v>
      </c>
      <c r="Y813" s="101">
        <f t="shared" si="102"/>
        <v>0</v>
      </c>
      <c r="AG813" s="225"/>
      <c r="AH813" s="101">
        <v>30000</v>
      </c>
      <c r="AI813" s="101">
        <f t="shared" si="96"/>
        <v>24000</v>
      </c>
      <c r="AJ813" s="101">
        <f t="shared" si="97"/>
        <v>36000</v>
      </c>
    </row>
    <row r="814" spans="1:36" hidden="1" x14ac:dyDescent="0.3">
      <c r="A814" s="126" t="s">
        <v>188</v>
      </c>
      <c r="B814" s="126">
        <v>52</v>
      </c>
      <c r="C814" s="126">
        <v>30</v>
      </c>
      <c r="D814" s="126" t="str">
        <f t="shared" si="95"/>
        <v>5230</v>
      </c>
      <c r="E814" s="101">
        <v>153</v>
      </c>
      <c r="F814" s="101">
        <v>479.5</v>
      </c>
      <c r="G814" s="101">
        <v>4940.5</v>
      </c>
      <c r="H814" s="101">
        <v>208985.60500000001</v>
      </c>
      <c r="I814" s="101">
        <v>84412.5</v>
      </c>
      <c r="J814" s="101">
        <v>223</v>
      </c>
      <c r="K814" s="101">
        <v>2423</v>
      </c>
      <c r="L814" s="101">
        <v>21094</v>
      </c>
      <c r="M814" s="101">
        <v>1092666.03</v>
      </c>
      <c r="N814" s="101">
        <v>420899.08100000001</v>
      </c>
      <c r="O814" s="101">
        <v>53</v>
      </c>
      <c r="P814" s="101">
        <v>573</v>
      </c>
      <c r="Q814" s="101">
        <v>3005</v>
      </c>
      <c r="R814" s="101">
        <v>108016.72</v>
      </c>
      <c r="S814" s="101">
        <v>46847.137000000002</v>
      </c>
      <c r="T814" s="133">
        <v>1.02</v>
      </c>
      <c r="U814" s="101">
        <f t="shared" si="99"/>
        <v>54.06</v>
      </c>
      <c r="V814" s="101">
        <f t="shared" si="100"/>
        <v>584.46</v>
      </c>
      <c r="W814" s="101">
        <f t="shared" si="101"/>
        <v>3065.1</v>
      </c>
      <c r="X814" s="101">
        <f t="shared" si="98"/>
        <v>110177.05440000001</v>
      </c>
      <c r="Y814" s="101">
        <f t="shared" si="102"/>
        <v>47784.079740000001</v>
      </c>
      <c r="AG814" s="225"/>
      <c r="AH814" s="101">
        <v>30000</v>
      </c>
      <c r="AI814" s="101">
        <f t="shared" si="96"/>
        <v>24000</v>
      </c>
      <c r="AJ814" s="101">
        <f t="shared" si="97"/>
        <v>36000</v>
      </c>
    </row>
    <row r="815" spans="1:36" hidden="1" x14ac:dyDescent="0.3">
      <c r="A815" s="126" t="s">
        <v>188</v>
      </c>
      <c r="B815" s="126">
        <v>52</v>
      </c>
      <c r="C815" s="126">
        <v>71</v>
      </c>
      <c r="D815" s="126" t="str">
        <f t="shared" si="95"/>
        <v>5271</v>
      </c>
      <c r="E815" s="101">
        <v>193.5</v>
      </c>
      <c r="F815" s="101">
        <v>7766</v>
      </c>
      <c r="G815" s="101">
        <v>15369.5</v>
      </c>
      <c r="H815" s="101">
        <v>112384.69500000001</v>
      </c>
      <c r="I815" s="101">
        <v>50331.561999999998</v>
      </c>
      <c r="J815" s="101">
        <v>89</v>
      </c>
      <c r="K815" s="101">
        <v>8926</v>
      </c>
      <c r="L815" s="101">
        <v>16784</v>
      </c>
      <c r="M815" s="101">
        <v>169496.85</v>
      </c>
      <c r="N815" s="101">
        <v>82605.338000000003</v>
      </c>
      <c r="O815" s="101">
        <v>2</v>
      </c>
      <c r="P815" s="101">
        <v>2</v>
      </c>
      <c r="Q815" s="101">
        <v>2</v>
      </c>
      <c r="R815" s="101">
        <v>0</v>
      </c>
      <c r="S815" s="101">
        <v>20.707999999999998</v>
      </c>
      <c r="T815" s="133">
        <v>0.98</v>
      </c>
      <c r="AG815" s="225"/>
      <c r="AH815" s="101">
        <v>30000</v>
      </c>
      <c r="AI815" s="101">
        <f t="shared" si="96"/>
        <v>24000</v>
      </c>
      <c r="AJ815" s="101">
        <f t="shared" si="97"/>
        <v>36000</v>
      </c>
    </row>
    <row r="816" spans="1:36" hidden="1" x14ac:dyDescent="0.3">
      <c r="A816" s="126" t="s">
        <v>188</v>
      </c>
      <c r="B816" s="126">
        <v>52</v>
      </c>
      <c r="C816" s="126">
        <v>26</v>
      </c>
      <c r="D816" s="126" t="str">
        <f t="shared" si="95"/>
        <v>5226</v>
      </c>
      <c r="J816" s="101">
        <v>1</v>
      </c>
      <c r="K816" s="101">
        <v>1</v>
      </c>
      <c r="L816" s="101">
        <v>1</v>
      </c>
      <c r="M816" s="101">
        <v>0</v>
      </c>
      <c r="N816" s="101">
        <v>3.8250000000000002</v>
      </c>
      <c r="O816" s="101">
        <v>0</v>
      </c>
      <c r="P816" s="101">
        <v>0</v>
      </c>
      <c r="Q816" s="101">
        <v>0</v>
      </c>
      <c r="R816" s="101">
        <v>0</v>
      </c>
      <c r="S816" s="101">
        <v>0</v>
      </c>
      <c r="T816" s="133">
        <v>1.02</v>
      </c>
      <c r="U816" s="101">
        <f t="shared" si="99"/>
        <v>0</v>
      </c>
      <c r="V816" s="101">
        <f t="shared" si="100"/>
        <v>0</v>
      </c>
      <c r="W816" s="101">
        <f t="shared" si="101"/>
        <v>0</v>
      </c>
      <c r="X816" s="101">
        <f t="shared" si="98"/>
        <v>0</v>
      </c>
      <c r="Y816" s="101">
        <f t="shared" si="102"/>
        <v>0</v>
      </c>
      <c r="AG816" s="225"/>
      <c r="AH816" s="101"/>
      <c r="AI816" s="101"/>
      <c r="AJ816" s="101"/>
    </row>
    <row r="817" spans="1:36" hidden="1" x14ac:dyDescent="0.3">
      <c r="A817" s="126" t="s">
        <v>188</v>
      </c>
      <c r="B817" s="126">
        <v>52</v>
      </c>
      <c r="C817" s="126">
        <v>28</v>
      </c>
      <c r="D817" s="126" t="str">
        <f t="shared" si="95"/>
        <v>5228</v>
      </c>
      <c r="J817" s="101">
        <v>3</v>
      </c>
      <c r="K817" s="101">
        <v>3</v>
      </c>
      <c r="L817" s="101">
        <v>107</v>
      </c>
      <c r="M817" s="101">
        <v>2624.11</v>
      </c>
      <c r="N817" s="101">
        <v>1186.6870000000001</v>
      </c>
      <c r="O817" s="101">
        <v>13</v>
      </c>
      <c r="P817" s="101">
        <v>26</v>
      </c>
      <c r="Q817" s="101">
        <v>136</v>
      </c>
      <c r="R817" s="101">
        <v>3703.41</v>
      </c>
      <c r="S817" s="101">
        <v>1212.9000000000001</v>
      </c>
      <c r="T817" s="133">
        <v>1.02</v>
      </c>
      <c r="U817" s="101">
        <v>18</v>
      </c>
      <c r="V817" s="101">
        <v>32</v>
      </c>
      <c r="W817" s="101">
        <v>170</v>
      </c>
      <c r="X817" s="144">
        <f t="shared" si="98"/>
        <v>3777.4782</v>
      </c>
      <c r="Y817" s="101">
        <v>1508</v>
      </c>
      <c r="AG817" s="225"/>
      <c r="AH817" s="101"/>
      <c r="AI817" s="101"/>
      <c r="AJ817" s="101"/>
    </row>
    <row r="818" spans="1:36" hidden="1" x14ac:dyDescent="0.3">
      <c r="A818" s="126" t="s">
        <v>188</v>
      </c>
      <c r="B818" s="126">
        <v>52</v>
      </c>
      <c r="C818" s="126">
        <v>46</v>
      </c>
      <c r="D818" s="126" t="str">
        <f t="shared" si="95"/>
        <v>5246</v>
      </c>
      <c r="J818" s="101">
        <v>7</v>
      </c>
      <c r="K818" s="101">
        <v>10</v>
      </c>
      <c r="L818" s="101">
        <v>25</v>
      </c>
      <c r="M818" s="101">
        <v>1945.96</v>
      </c>
      <c r="N818" s="101">
        <v>139.09</v>
      </c>
      <c r="O818" s="101">
        <v>2</v>
      </c>
      <c r="P818" s="101">
        <v>2</v>
      </c>
      <c r="Q818" s="101">
        <v>302</v>
      </c>
      <c r="R818" s="101">
        <v>6682.42</v>
      </c>
      <c r="S818" s="101">
        <v>828.11300000000006</v>
      </c>
      <c r="T818" s="133">
        <v>1.02</v>
      </c>
      <c r="U818" s="101">
        <f t="shared" si="99"/>
        <v>2.04</v>
      </c>
      <c r="V818" s="101">
        <f t="shared" si="100"/>
        <v>2.04</v>
      </c>
      <c r="W818" s="101">
        <f t="shared" si="101"/>
        <v>308.04000000000002</v>
      </c>
      <c r="X818" s="101">
        <f t="shared" si="98"/>
        <v>6816.0684000000001</v>
      </c>
      <c r="Y818" s="101">
        <f t="shared" si="102"/>
        <v>844.67526000000009</v>
      </c>
      <c r="AG818" s="225"/>
      <c r="AH818" s="101"/>
      <c r="AI818" s="101"/>
      <c r="AJ818" s="101"/>
    </row>
    <row r="819" spans="1:36" hidden="1" x14ac:dyDescent="0.3">
      <c r="A819" s="126" t="s">
        <v>188</v>
      </c>
      <c r="B819" s="126">
        <v>52</v>
      </c>
      <c r="C819" s="126">
        <v>66</v>
      </c>
      <c r="D819" s="126" t="str">
        <f t="shared" si="95"/>
        <v>5266</v>
      </c>
      <c r="J819" s="101">
        <v>3</v>
      </c>
      <c r="K819" s="101">
        <v>3</v>
      </c>
      <c r="L819" s="101">
        <v>157</v>
      </c>
      <c r="M819" s="101">
        <v>2530.4700000000003</v>
      </c>
      <c r="N819" s="101">
        <v>2500.643</v>
      </c>
      <c r="O819" s="101">
        <v>3</v>
      </c>
      <c r="P819" s="101">
        <v>4</v>
      </c>
      <c r="Q819" s="101">
        <v>186</v>
      </c>
      <c r="R819" s="101">
        <v>447.08</v>
      </c>
      <c r="S819" s="101">
        <v>134.023</v>
      </c>
      <c r="T819" s="133">
        <v>1.02</v>
      </c>
      <c r="U819" s="101">
        <f t="shared" si="99"/>
        <v>3.06</v>
      </c>
      <c r="V819" s="101">
        <f t="shared" si="100"/>
        <v>4.08</v>
      </c>
      <c r="W819" s="101">
        <f t="shared" si="101"/>
        <v>189.72</v>
      </c>
      <c r="X819" s="101">
        <f t="shared" si="98"/>
        <v>456.02159999999998</v>
      </c>
      <c r="Y819" s="101">
        <f t="shared" si="102"/>
        <v>136.70346000000001</v>
      </c>
      <c r="AG819" s="225"/>
      <c r="AH819" s="101"/>
      <c r="AI819" s="101"/>
      <c r="AJ819" s="101"/>
    </row>
    <row r="820" spans="1:36" x14ac:dyDescent="0.3">
      <c r="A820" s="126" t="s">
        <v>188</v>
      </c>
      <c r="B820" s="126">
        <v>52</v>
      </c>
      <c r="C820" s="126">
        <v>91</v>
      </c>
      <c r="D820" s="126" t="str">
        <f t="shared" si="95"/>
        <v>5291</v>
      </c>
      <c r="J820" s="101">
        <v>1</v>
      </c>
      <c r="K820" s="101">
        <v>1</v>
      </c>
      <c r="L820" s="101">
        <v>1</v>
      </c>
      <c r="M820" s="101">
        <v>41.67</v>
      </c>
      <c r="N820" s="101">
        <v>20.675999999999998</v>
      </c>
      <c r="O820" s="101">
        <v>0</v>
      </c>
      <c r="P820" s="101">
        <v>0</v>
      </c>
      <c r="Q820" s="101">
        <v>0</v>
      </c>
      <c r="R820" s="101">
        <v>0</v>
      </c>
      <c r="S820" s="101">
        <v>0</v>
      </c>
      <c r="T820" s="133">
        <v>1.02</v>
      </c>
      <c r="U820" s="101">
        <f t="shared" si="99"/>
        <v>0</v>
      </c>
      <c r="V820" s="101">
        <f t="shared" si="100"/>
        <v>0</v>
      </c>
      <c r="W820" s="101">
        <f t="shared" si="101"/>
        <v>0</v>
      </c>
      <c r="X820" s="101">
        <f t="shared" si="98"/>
        <v>0</v>
      </c>
      <c r="Y820" s="101">
        <f t="shared" si="102"/>
        <v>0</v>
      </c>
      <c r="AG820" s="225"/>
      <c r="AH820" s="101"/>
      <c r="AI820" s="101"/>
      <c r="AJ820" s="101"/>
    </row>
    <row r="821" spans="1:36" hidden="1" x14ac:dyDescent="0.3">
      <c r="A821" s="126" t="s">
        <v>188</v>
      </c>
      <c r="B821" s="126">
        <v>52</v>
      </c>
      <c r="C821" s="126">
        <v>1</v>
      </c>
      <c r="D821" s="126" t="str">
        <f t="shared" si="95"/>
        <v>521</v>
      </c>
      <c r="J821" s="101">
        <v>4</v>
      </c>
      <c r="K821" s="101">
        <v>4</v>
      </c>
      <c r="L821" s="101">
        <v>3700</v>
      </c>
      <c r="N821" s="101">
        <v>9683</v>
      </c>
      <c r="O821" s="101">
        <v>26</v>
      </c>
      <c r="P821" s="101">
        <v>26</v>
      </c>
      <c r="Q821" s="101">
        <v>11338</v>
      </c>
      <c r="S821" s="101">
        <v>38560.540999999997</v>
      </c>
      <c r="T821" s="133">
        <v>1.02</v>
      </c>
      <c r="U821" s="101">
        <f t="shared" si="99"/>
        <v>26.52</v>
      </c>
      <c r="V821" s="101">
        <f t="shared" si="100"/>
        <v>26.52</v>
      </c>
      <c r="W821" s="101">
        <f t="shared" si="101"/>
        <v>11564.76</v>
      </c>
      <c r="X821" s="101">
        <f t="shared" si="98"/>
        <v>0</v>
      </c>
      <c r="Y821" s="101">
        <f t="shared" si="102"/>
        <v>39331.751819999998</v>
      </c>
      <c r="AG821" s="225"/>
      <c r="AH821" s="101"/>
      <c r="AI821" s="101"/>
      <c r="AJ821" s="101"/>
    </row>
    <row r="822" spans="1:36" hidden="1" x14ac:dyDescent="0.3">
      <c r="A822" s="126" t="s">
        <v>188</v>
      </c>
      <c r="B822" s="126">
        <v>52</v>
      </c>
      <c r="C822" s="126">
        <v>37</v>
      </c>
      <c r="D822" s="126" t="str">
        <f t="shared" si="95"/>
        <v>5237</v>
      </c>
      <c r="E822" s="101">
        <v>5.5</v>
      </c>
      <c r="F822" s="101">
        <v>14.5</v>
      </c>
      <c r="G822" s="101">
        <v>797.5</v>
      </c>
      <c r="H822" s="101">
        <v>1933.5449999999998</v>
      </c>
      <c r="I822" s="101">
        <v>913.76525000000004</v>
      </c>
      <c r="J822" s="101">
        <v>0</v>
      </c>
      <c r="K822" s="101">
        <v>0</v>
      </c>
      <c r="L822" s="101">
        <v>0</v>
      </c>
      <c r="M822" s="101">
        <v>0</v>
      </c>
      <c r="N822" s="101">
        <v>0</v>
      </c>
      <c r="O822" s="101">
        <v>1</v>
      </c>
      <c r="P822" s="101">
        <v>1</v>
      </c>
      <c r="Q822" s="101">
        <v>4000</v>
      </c>
      <c r="R822" s="101">
        <v>3960</v>
      </c>
      <c r="S822" s="101">
        <v>560</v>
      </c>
      <c r="T822" s="133">
        <v>1.02</v>
      </c>
      <c r="U822" s="101">
        <f t="shared" si="99"/>
        <v>1.02</v>
      </c>
      <c r="V822" s="101">
        <f t="shared" si="100"/>
        <v>1.02</v>
      </c>
      <c r="W822" s="101">
        <f t="shared" si="101"/>
        <v>4080</v>
      </c>
      <c r="X822" s="101">
        <f t="shared" si="98"/>
        <v>4039.2000000000003</v>
      </c>
      <c r="Y822" s="101">
        <f t="shared" si="102"/>
        <v>571.20000000000005</v>
      </c>
      <c r="AG822" s="225"/>
      <c r="AH822" s="101">
        <v>30000</v>
      </c>
      <c r="AI822" s="101">
        <f t="shared" si="96"/>
        <v>24000</v>
      </c>
      <c r="AJ822" s="101">
        <f t="shared" si="97"/>
        <v>36000</v>
      </c>
    </row>
    <row r="823" spans="1:36" hidden="1" x14ac:dyDescent="0.3">
      <c r="A823" s="126" t="s">
        <v>188</v>
      </c>
      <c r="B823" s="126">
        <v>53</v>
      </c>
      <c r="C823" s="126">
        <v>22</v>
      </c>
      <c r="D823" s="126" t="str">
        <f t="shared" si="95"/>
        <v>5322</v>
      </c>
      <c r="E823" s="101">
        <v>160</v>
      </c>
      <c r="F823" s="101">
        <v>1196</v>
      </c>
      <c r="G823" s="101">
        <v>7103</v>
      </c>
      <c r="H823" s="101">
        <v>30432.560000000001</v>
      </c>
      <c r="I823" s="101">
        <v>20330.814999999999</v>
      </c>
      <c r="O823" s="144">
        <v>0</v>
      </c>
      <c r="P823" s="144">
        <v>0</v>
      </c>
      <c r="Q823" s="144">
        <v>0</v>
      </c>
      <c r="R823" s="144">
        <v>0</v>
      </c>
      <c r="S823" s="144">
        <v>0</v>
      </c>
      <c r="T823" s="133">
        <v>1.02</v>
      </c>
      <c r="U823" s="101">
        <f t="shared" si="99"/>
        <v>0</v>
      </c>
      <c r="V823" s="101">
        <f t="shared" si="100"/>
        <v>0</v>
      </c>
      <c r="W823" s="101">
        <f t="shared" si="101"/>
        <v>0</v>
      </c>
      <c r="X823" s="101">
        <f t="shared" si="98"/>
        <v>0</v>
      </c>
      <c r="Y823" s="101">
        <f t="shared" si="102"/>
        <v>0</v>
      </c>
      <c r="AG823" s="225"/>
    </row>
    <row r="824" spans="1:36" hidden="1" x14ac:dyDescent="0.3">
      <c r="A824" s="126" t="s">
        <v>188</v>
      </c>
      <c r="B824" s="126">
        <v>53</v>
      </c>
      <c r="C824" s="126">
        <v>32</v>
      </c>
      <c r="D824" s="126" t="str">
        <f t="shared" si="95"/>
        <v>5332</v>
      </c>
      <c r="E824" s="101">
        <v>85</v>
      </c>
      <c r="F824" s="101">
        <v>164</v>
      </c>
      <c r="G824" s="101">
        <v>1714</v>
      </c>
      <c r="H824" s="101">
        <v>10866.34</v>
      </c>
      <c r="I824" s="101">
        <v>2652.7429999999999</v>
      </c>
      <c r="O824" s="144">
        <v>0</v>
      </c>
      <c r="P824" s="144">
        <v>0</v>
      </c>
      <c r="Q824" s="144">
        <v>0</v>
      </c>
      <c r="R824" s="144">
        <v>0</v>
      </c>
      <c r="S824" s="144">
        <v>0</v>
      </c>
      <c r="T824" s="133">
        <v>1.02</v>
      </c>
      <c r="U824" s="101">
        <f t="shared" si="99"/>
        <v>0</v>
      </c>
      <c r="V824" s="101">
        <f t="shared" si="100"/>
        <v>0</v>
      </c>
      <c r="W824" s="101">
        <f t="shared" si="101"/>
        <v>0</v>
      </c>
      <c r="X824" s="101">
        <f t="shared" si="98"/>
        <v>0</v>
      </c>
      <c r="Y824" s="101">
        <f t="shared" si="102"/>
        <v>0</v>
      </c>
      <c r="AG824" s="225"/>
    </row>
    <row r="825" spans="1:36" hidden="1" x14ac:dyDescent="0.3">
      <c r="A825" s="126" t="s">
        <v>188</v>
      </c>
      <c r="B825" s="126">
        <v>53</v>
      </c>
      <c r="C825" s="126">
        <v>21</v>
      </c>
      <c r="D825" s="126" t="str">
        <f t="shared" si="95"/>
        <v>5321</v>
      </c>
      <c r="E825" s="101">
        <v>227.5</v>
      </c>
      <c r="F825" s="101">
        <v>1936</v>
      </c>
      <c r="G825" s="101">
        <v>5792.5</v>
      </c>
      <c r="H825" s="101">
        <v>102705.005</v>
      </c>
      <c r="I825" s="101">
        <v>24149.949000000001</v>
      </c>
      <c r="J825" s="101">
        <v>0</v>
      </c>
      <c r="K825" s="101">
        <v>0</v>
      </c>
      <c r="L825" s="101">
        <v>0</v>
      </c>
      <c r="M825" s="101">
        <v>0</v>
      </c>
      <c r="N825" s="101">
        <v>0</v>
      </c>
      <c r="O825" s="144">
        <v>0</v>
      </c>
      <c r="P825" s="144">
        <v>0</v>
      </c>
      <c r="Q825" s="144">
        <v>0</v>
      </c>
      <c r="R825" s="144">
        <v>0</v>
      </c>
      <c r="S825" s="144">
        <v>0</v>
      </c>
      <c r="T825" s="133">
        <v>1.02</v>
      </c>
      <c r="U825" s="101">
        <f t="shared" si="99"/>
        <v>0</v>
      </c>
      <c r="V825" s="101">
        <f t="shared" si="100"/>
        <v>0</v>
      </c>
      <c r="W825" s="101">
        <f t="shared" si="101"/>
        <v>0</v>
      </c>
      <c r="X825" s="101">
        <f t="shared" si="98"/>
        <v>0</v>
      </c>
      <c r="Y825" s="101">
        <f t="shared" si="102"/>
        <v>0</v>
      </c>
    </row>
    <row r="826" spans="1:36" hidden="1" x14ac:dyDescent="0.3">
      <c r="A826" s="126" t="s">
        <v>188</v>
      </c>
      <c r="B826" s="126">
        <v>53</v>
      </c>
      <c r="C826" s="126">
        <v>30</v>
      </c>
      <c r="D826" s="126" t="str">
        <f t="shared" si="95"/>
        <v>5330</v>
      </c>
      <c r="E826" s="101">
        <v>105.5</v>
      </c>
      <c r="F826" s="101">
        <v>1491.5</v>
      </c>
      <c r="G826" s="101">
        <v>8153</v>
      </c>
      <c r="H826" s="101">
        <v>217571.05499999999</v>
      </c>
      <c r="I826" s="101">
        <v>67140.183499999999</v>
      </c>
      <c r="O826" s="144">
        <v>0</v>
      </c>
      <c r="P826" s="144">
        <v>0</v>
      </c>
      <c r="Q826" s="144">
        <v>0</v>
      </c>
      <c r="R826" s="144">
        <v>0</v>
      </c>
      <c r="S826" s="144">
        <v>0</v>
      </c>
      <c r="T826" s="133">
        <v>1.02</v>
      </c>
      <c r="U826" s="101">
        <f t="shared" si="99"/>
        <v>0</v>
      </c>
      <c r="V826" s="101">
        <f t="shared" si="100"/>
        <v>0</v>
      </c>
      <c r="W826" s="101">
        <f t="shared" si="101"/>
        <v>0</v>
      </c>
      <c r="X826" s="101">
        <f t="shared" si="98"/>
        <v>0</v>
      </c>
      <c r="Y826" s="101">
        <f t="shared" si="102"/>
        <v>0</v>
      </c>
    </row>
    <row r="827" spans="1:36" hidden="1" x14ac:dyDescent="0.3">
      <c r="A827" s="126" t="s">
        <v>188</v>
      </c>
      <c r="B827" s="126">
        <v>53</v>
      </c>
      <c r="C827" s="126">
        <v>71</v>
      </c>
      <c r="D827" s="126" t="str">
        <f t="shared" si="95"/>
        <v>5371</v>
      </c>
      <c r="E827" s="101">
        <v>293</v>
      </c>
      <c r="F827" s="101">
        <v>6685.5</v>
      </c>
      <c r="G827" s="101">
        <v>13167</v>
      </c>
      <c r="H827" s="101">
        <v>94989.290000000008</v>
      </c>
      <c r="I827" s="101">
        <v>42934.728500000005</v>
      </c>
      <c r="O827" s="144">
        <v>0</v>
      </c>
      <c r="P827" s="144">
        <v>0</v>
      </c>
      <c r="Q827" s="144">
        <v>0</v>
      </c>
      <c r="R827" s="144">
        <v>0</v>
      </c>
      <c r="S827" s="144">
        <v>0</v>
      </c>
      <c r="T827" s="133">
        <v>1.02</v>
      </c>
    </row>
    <row r="828" spans="1:36" hidden="1" x14ac:dyDescent="0.3">
      <c r="A828" s="126" t="s">
        <v>188</v>
      </c>
      <c r="B828" s="126">
        <v>53</v>
      </c>
      <c r="C828" s="126">
        <v>25</v>
      </c>
      <c r="D828" s="126" t="str">
        <f t="shared" si="95"/>
        <v>5325</v>
      </c>
      <c r="E828" s="101">
        <v>100</v>
      </c>
      <c r="F828" s="101">
        <v>822</v>
      </c>
      <c r="G828" s="101">
        <v>3615</v>
      </c>
      <c r="H828" s="101">
        <v>40930.21</v>
      </c>
      <c r="I828" s="101">
        <v>15600.160000000002</v>
      </c>
      <c r="O828" s="144">
        <v>0</v>
      </c>
      <c r="P828" s="144">
        <v>0</v>
      </c>
      <c r="Q828" s="144">
        <v>0</v>
      </c>
      <c r="R828" s="144">
        <v>0</v>
      </c>
      <c r="S828" s="144">
        <v>0</v>
      </c>
      <c r="T828" s="133">
        <v>1.02</v>
      </c>
      <c r="U828" s="101">
        <f t="shared" si="99"/>
        <v>0</v>
      </c>
      <c r="V828" s="101">
        <f t="shared" si="100"/>
        <v>0</v>
      </c>
      <c r="W828" s="101">
        <f t="shared" si="101"/>
        <v>0</v>
      </c>
      <c r="X828" s="101">
        <f t="shared" si="98"/>
        <v>0</v>
      </c>
      <c r="Y828" s="101">
        <f t="shared" si="102"/>
        <v>0</v>
      </c>
    </row>
    <row r="829" spans="1:36" hidden="1" x14ac:dyDescent="0.3">
      <c r="A829" s="126" t="s">
        <v>188</v>
      </c>
      <c r="B829" s="126">
        <v>53</v>
      </c>
      <c r="C829" s="126">
        <v>27</v>
      </c>
      <c r="D829" s="126" t="str">
        <f t="shared" si="95"/>
        <v>5327</v>
      </c>
      <c r="E829" s="101">
        <v>3</v>
      </c>
      <c r="F829" s="101">
        <v>190</v>
      </c>
      <c r="G829" s="101">
        <v>2396</v>
      </c>
      <c r="H829" s="101">
        <v>27621.63</v>
      </c>
      <c r="I829" s="101">
        <v>10126.282999999999</v>
      </c>
      <c r="O829" s="144">
        <v>0</v>
      </c>
      <c r="P829" s="144">
        <v>0</v>
      </c>
      <c r="Q829" s="144">
        <v>0</v>
      </c>
      <c r="R829" s="144">
        <v>0</v>
      </c>
      <c r="S829" s="144">
        <v>0</v>
      </c>
      <c r="T829" s="133">
        <v>1.02</v>
      </c>
      <c r="U829" s="101">
        <f t="shared" si="99"/>
        <v>0</v>
      </c>
      <c r="V829" s="101">
        <f t="shared" si="100"/>
        <v>0</v>
      </c>
      <c r="W829" s="101">
        <f t="shared" si="101"/>
        <v>0</v>
      </c>
      <c r="X829" s="101">
        <f t="shared" si="98"/>
        <v>0</v>
      </c>
      <c r="Y829" s="101">
        <f t="shared" si="102"/>
        <v>0</v>
      </c>
    </row>
    <row r="830" spans="1:36" hidden="1" x14ac:dyDescent="0.3">
      <c r="A830" s="126" t="s">
        <v>188</v>
      </c>
      <c r="B830" s="126">
        <v>53</v>
      </c>
      <c r="C830" s="126">
        <v>37</v>
      </c>
      <c r="D830" s="126" t="str">
        <f t="shared" si="95"/>
        <v>5337</v>
      </c>
      <c r="E830" s="101">
        <v>1.75</v>
      </c>
      <c r="F830" s="101">
        <v>2.5</v>
      </c>
      <c r="G830" s="101">
        <v>87</v>
      </c>
      <c r="H830" s="101">
        <v>322.71749999999997</v>
      </c>
      <c r="I830" s="101">
        <v>38.273249999999997</v>
      </c>
      <c r="O830" s="144">
        <v>0</v>
      </c>
      <c r="P830" s="144">
        <v>0</v>
      </c>
      <c r="Q830" s="144">
        <v>0</v>
      </c>
      <c r="R830" s="144">
        <v>0</v>
      </c>
      <c r="S830" s="144">
        <v>0</v>
      </c>
      <c r="T830" s="133">
        <v>1.02</v>
      </c>
      <c r="U830" s="101">
        <f t="shared" si="99"/>
        <v>0</v>
      </c>
      <c r="V830" s="101">
        <f t="shared" si="100"/>
        <v>0</v>
      </c>
      <c r="W830" s="101">
        <f t="shared" si="101"/>
        <v>0</v>
      </c>
      <c r="X830" s="101">
        <f t="shared" si="98"/>
        <v>0</v>
      </c>
      <c r="Y830" s="101">
        <f t="shared" si="102"/>
        <v>0</v>
      </c>
    </row>
    <row r="831" spans="1:36" hidden="1" x14ac:dyDescent="0.3">
      <c r="C831" s="126"/>
      <c r="D831" s="126"/>
      <c r="E831" s="145">
        <f>SUM(E5:E830)</f>
        <v>193634.25</v>
      </c>
      <c r="F831" s="145">
        <f>SUM(F5:F821)</f>
        <v>1426451</v>
      </c>
      <c r="G831" s="145">
        <f>SUM(G5:G830)</f>
        <v>13753307.5</v>
      </c>
      <c r="H831" s="145">
        <f>SUM(H5:H830)</f>
        <v>158317188.25749999</v>
      </c>
      <c r="I831" s="145">
        <v>56169174.668500043</v>
      </c>
      <c r="J831" s="145">
        <f>SUM(J5:J830)</f>
        <v>135372</v>
      </c>
      <c r="K831" s="145">
        <f t="shared" ref="K831:N831" si="103">SUM(K5:K822)</f>
        <v>1331709</v>
      </c>
      <c r="L831" s="145">
        <f t="shared" si="103"/>
        <v>14780765</v>
      </c>
      <c r="M831" s="145">
        <f t="shared" si="103"/>
        <v>128567198.20000008</v>
      </c>
      <c r="N831" s="145">
        <f t="shared" si="103"/>
        <v>70500575.392179012</v>
      </c>
      <c r="O831" s="145">
        <f>SUM(O5:O830)</f>
        <v>110147</v>
      </c>
      <c r="P831" s="145">
        <f t="shared" ref="P831:S831" si="104">SUM(P5:P830)</f>
        <v>1241086</v>
      </c>
      <c r="Q831" s="145">
        <f t="shared" si="104"/>
        <v>13382104</v>
      </c>
      <c r="R831" s="145">
        <f t="shared" si="104"/>
        <v>120136271.19000001</v>
      </c>
      <c r="S831" s="145">
        <f t="shared" si="104"/>
        <v>64159281.156000011</v>
      </c>
      <c r="T831" s="145"/>
      <c r="U831" s="145">
        <f t="shared" ref="U831:Y831" si="105">SUM(U5:U830)</f>
        <v>130433.31999999995</v>
      </c>
      <c r="V831" s="145">
        <f t="shared" si="105"/>
        <v>1363529.280000001</v>
      </c>
      <c r="W831" s="145">
        <f t="shared" si="105"/>
        <v>14923696.520000005</v>
      </c>
      <c r="X831" s="145">
        <f t="shared" si="105"/>
        <v>131308593.21559992</v>
      </c>
      <c r="Y831" s="145">
        <f t="shared" si="105"/>
        <v>72598547.121440008</v>
      </c>
      <c r="Z831" s="131"/>
      <c r="AA831" s="131"/>
      <c r="AB831" s="131"/>
      <c r="AC831" s="131"/>
      <c r="AD831" s="131"/>
      <c r="AE831" s="131"/>
      <c r="AF831" s="131"/>
      <c r="AG831" s="131"/>
    </row>
    <row r="832" spans="1:36" x14ac:dyDescent="0.3">
      <c r="C832" s="126"/>
      <c r="D832" s="126"/>
    </row>
    <row r="833" spans="3:36" x14ac:dyDescent="0.3">
      <c r="C833" s="126"/>
      <c r="D833" s="126"/>
    </row>
    <row r="834" spans="3:36" x14ac:dyDescent="0.3">
      <c r="C834" s="126"/>
      <c r="D834" s="126"/>
      <c r="E834" s="101" t="s">
        <v>189</v>
      </c>
      <c r="F834" s="101">
        <v>1470050.25</v>
      </c>
      <c r="G834" s="101">
        <v>14481369.5</v>
      </c>
    </row>
    <row r="835" spans="3:36" x14ac:dyDescent="0.3">
      <c r="C835" s="126"/>
      <c r="D835" s="126"/>
    </row>
    <row r="836" spans="3:36" x14ac:dyDescent="0.3">
      <c r="C836" s="126"/>
      <c r="D836" s="126"/>
    </row>
    <row r="837" spans="3:36" x14ac:dyDescent="0.3">
      <c r="C837" s="126"/>
      <c r="D837" s="126"/>
      <c r="J837" s="127"/>
      <c r="K837" s="127"/>
      <c r="L837" s="127"/>
      <c r="M837" s="127"/>
      <c r="N837" s="127"/>
    </row>
    <row r="838" spans="3:36" x14ac:dyDescent="0.3">
      <c r="C838" s="126"/>
      <c r="D838" s="126"/>
    </row>
    <row r="839" spans="3:36" x14ac:dyDescent="0.3">
      <c r="C839" s="126"/>
      <c r="D839" s="126"/>
      <c r="AJ839" s="146"/>
    </row>
    <row r="840" spans="3:36" x14ac:dyDescent="0.3">
      <c r="C840" s="126"/>
      <c r="D840" s="126"/>
      <c r="AJ840" s="146"/>
    </row>
    <row r="841" spans="3:36" x14ac:dyDescent="0.3">
      <c r="C841" s="126"/>
      <c r="D841" s="126"/>
      <c r="AI841" s="146"/>
    </row>
    <row r="842" spans="3:36" x14ac:dyDescent="0.3">
      <c r="C842" s="126"/>
      <c r="D842" s="126"/>
      <c r="AI842" s="146"/>
    </row>
    <row r="843" spans="3:36" x14ac:dyDescent="0.3">
      <c r="C843" s="126"/>
      <c r="D843" s="126"/>
      <c r="AH843" s="146"/>
    </row>
    <row r="844" spans="3:36" x14ac:dyDescent="0.3">
      <c r="C844" s="126"/>
      <c r="D844" s="126"/>
    </row>
    <row r="845" spans="3:36" x14ac:dyDescent="0.3">
      <c r="C845" s="126"/>
      <c r="D845" s="126"/>
    </row>
    <row r="846" spans="3:36" x14ac:dyDescent="0.3">
      <c r="C846" s="126"/>
      <c r="D846" s="126"/>
    </row>
    <row r="847" spans="3:36" x14ac:dyDescent="0.3">
      <c r="C847" s="126"/>
      <c r="D847" s="126"/>
    </row>
    <row r="848" spans="3:36" x14ac:dyDescent="0.3">
      <c r="C848" s="126"/>
      <c r="D848" s="126"/>
    </row>
    <row r="849" spans="3:4" x14ac:dyDescent="0.3">
      <c r="C849" s="126"/>
      <c r="D849" s="126"/>
    </row>
    <row r="850" spans="3:4" x14ac:dyDescent="0.3">
      <c r="C850" s="126"/>
      <c r="D850" s="126"/>
    </row>
    <row r="851" spans="3:4" x14ac:dyDescent="0.3">
      <c r="C851" s="126"/>
      <c r="D851" s="126"/>
    </row>
    <row r="852" spans="3:4" x14ac:dyDescent="0.3">
      <c r="C852" s="126"/>
      <c r="D852" s="126"/>
    </row>
    <row r="853" spans="3:4" x14ac:dyDescent="0.3">
      <c r="C853" s="126"/>
      <c r="D853" s="126"/>
    </row>
    <row r="854" spans="3:4" x14ac:dyDescent="0.3">
      <c r="C854" s="126"/>
      <c r="D854" s="126"/>
    </row>
    <row r="855" spans="3:4" x14ac:dyDescent="0.3">
      <c r="C855" s="126"/>
      <c r="D855" s="126"/>
    </row>
    <row r="856" spans="3:4" x14ac:dyDescent="0.3">
      <c r="C856" s="126"/>
      <c r="D856" s="126"/>
    </row>
    <row r="857" spans="3:4" x14ac:dyDescent="0.3">
      <c r="C857" s="126"/>
      <c r="D857" s="126"/>
    </row>
    <row r="858" spans="3:4" x14ac:dyDescent="0.3">
      <c r="C858" s="126"/>
      <c r="D858" s="126"/>
    </row>
    <row r="859" spans="3:4" x14ac:dyDescent="0.3">
      <c r="C859" s="126"/>
      <c r="D859" s="126"/>
    </row>
    <row r="860" spans="3:4" x14ac:dyDescent="0.3">
      <c r="C860" s="126"/>
      <c r="D860" s="126"/>
    </row>
    <row r="861" spans="3:4" x14ac:dyDescent="0.3">
      <c r="C861" s="126"/>
      <c r="D861" s="126"/>
    </row>
    <row r="862" spans="3:4" x14ac:dyDescent="0.3">
      <c r="C862" s="126"/>
      <c r="D862" s="126"/>
    </row>
    <row r="863" spans="3:4" x14ac:dyDescent="0.3">
      <c r="C863" s="126"/>
      <c r="D863" s="126"/>
    </row>
    <row r="864" spans="3:4" x14ac:dyDescent="0.3">
      <c r="C864" s="126"/>
      <c r="D864" s="126"/>
    </row>
    <row r="865" spans="3:4" x14ac:dyDescent="0.3">
      <c r="C865" s="126"/>
      <c r="D865" s="126"/>
    </row>
    <row r="866" spans="3:4" x14ac:dyDescent="0.3">
      <c r="C866" s="126"/>
      <c r="D866" s="126"/>
    </row>
    <row r="867" spans="3:4" x14ac:dyDescent="0.3">
      <c r="C867" s="126"/>
      <c r="D867" s="126"/>
    </row>
    <row r="868" spans="3:4" x14ac:dyDescent="0.3">
      <c r="C868" s="126"/>
      <c r="D868" s="126"/>
    </row>
    <row r="869" spans="3:4" x14ac:dyDescent="0.3">
      <c r="C869" s="126"/>
      <c r="D869" s="126"/>
    </row>
    <row r="870" spans="3:4" x14ac:dyDescent="0.3">
      <c r="C870" s="126"/>
      <c r="D870" s="126"/>
    </row>
    <row r="871" spans="3:4" x14ac:dyDescent="0.3">
      <c r="C871" s="126"/>
      <c r="D871" s="126"/>
    </row>
    <row r="872" spans="3:4" x14ac:dyDescent="0.3">
      <c r="C872" s="126"/>
      <c r="D872" s="126"/>
    </row>
    <row r="873" spans="3:4" x14ac:dyDescent="0.3">
      <c r="C873" s="126"/>
      <c r="D873" s="126"/>
    </row>
    <row r="874" spans="3:4" x14ac:dyDescent="0.3">
      <c r="C874" s="126"/>
      <c r="D874" s="126"/>
    </row>
    <row r="875" spans="3:4" x14ac:dyDescent="0.3">
      <c r="C875" s="126"/>
      <c r="D875" s="126"/>
    </row>
    <row r="876" spans="3:4" x14ac:dyDescent="0.3">
      <c r="C876" s="126"/>
      <c r="D876" s="126"/>
    </row>
    <row r="877" spans="3:4" x14ac:dyDescent="0.3">
      <c r="C877" s="126"/>
      <c r="D877" s="126"/>
    </row>
    <row r="878" spans="3:4" x14ac:dyDescent="0.3">
      <c r="C878" s="126"/>
      <c r="D878" s="126"/>
    </row>
    <row r="879" spans="3:4" x14ac:dyDescent="0.3">
      <c r="C879" s="126"/>
      <c r="D879" s="126"/>
    </row>
    <row r="880" spans="3:4" x14ac:dyDescent="0.3">
      <c r="C880" s="126"/>
      <c r="D880" s="126"/>
    </row>
    <row r="881" spans="3:4" x14ac:dyDescent="0.3">
      <c r="C881" s="126"/>
      <c r="D881" s="126"/>
    </row>
    <row r="882" spans="3:4" x14ac:dyDescent="0.3">
      <c r="C882" s="126"/>
      <c r="D882" s="126"/>
    </row>
    <row r="883" spans="3:4" x14ac:dyDescent="0.3">
      <c r="C883" s="126"/>
      <c r="D883" s="126"/>
    </row>
    <row r="884" spans="3:4" x14ac:dyDescent="0.3">
      <c r="C884" s="126"/>
      <c r="D884" s="126"/>
    </row>
    <row r="885" spans="3:4" x14ac:dyDescent="0.3">
      <c r="C885" s="126"/>
      <c r="D885" s="126"/>
    </row>
    <row r="886" spans="3:4" x14ac:dyDescent="0.3">
      <c r="C886" s="126"/>
      <c r="D886" s="126"/>
    </row>
    <row r="887" spans="3:4" x14ac:dyDescent="0.3">
      <c r="C887" s="126"/>
      <c r="D887" s="126"/>
    </row>
    <row r="888" spans="3:4" x14ac:dyDescent="0.3">
      <c r="C888" s="126"/>
      <c r="D888" s="126"/>
    </row>
    <row r="889" spans="3:4" x14ac:dyDescent="0.3">
      <c r="C889" s="126"/>
      <c r="D889" s="126"/>
    </row>
    <row r="890" spans="3:4" x14ac:dyDescent="0.3">
      <c r="C890" s="126"/>
      <c r="D890" s="126"/>
    </row>
    <row r="891" spans="3:4" x14ac:dyDescent="0.3">
      <c r="C891" s="126"/>
      <c r="D891" s="126"/>
    </row>
    <row r="892" spans="3:4" x14ac:dyDescent="0.3">
      <c r="C892" s="126"/>
      <c r="D892" s="126"/>
    </row>
    <row r="893" spans="3:4" x14ac:dyDescent="0.3">
      <c r="C893" s="126"/>
      <c r="D893" s="126"/>
    </row>
    <row r="894" spans="3:4" x14ac:dyDescent="0.3">
      <c r="C894" s="126"/>
      <c r="D894" s="126"/>
    </row>
    <row r="895" spans="3:4" x14ac:dyDescent="0.3">
      <c r="C895" s="126"/>
      <c r="D895" s="126"/>
    </row>
    <row r="896" spans="3:4" x14ac:dyDescent="0.3">
      <c r="C896" s="126"/>
      <c r="D896" s="126"/>
    </row>
    <row r="897" spans="3:4" x14ac:dyDescent="0.3">
      <c r="C897" s="126"/>
      <c r="D897" s="126"/>
    </row>
    <row r="898" spans="3:4" x14ac:dyDescent="0.3">
      <c r="C898" s="126"/>
      <c r="D898" s="126"/>
    </row>
    <row r="899" spans="3:4" x14ac:dyDescent="0.3">
      <c r="C899" s="126"/>
      <c r="D899" s="126"/>
    </row>
    <row r="900" spans="3:4" x14ac:dyDescent="0.3">
      <c r="C900" s="126"/>
      <c r="D900" s="126"/>
    </row>
    <row r="901" spans="3:4" x14ac:dyDescent="0.3">
      <c r="C901" s="126"/>
      <c r="D901" s="126"/>
    </row>
    <row r="902" spans="3:4" x14ac:dyDescent="0.3">
      <c r="C902" s="126"/>
      <c r="D902" s="126"/>
    </row>
    <row r="903" spans="3:4" x14ac:dyDescent="0.3">
      <c r="C903" s="126"/>
      <c r="D903" s="126"/>
    </row>
    <row r="904" spans="3:4" x14ac:dyDescent="0.3">
      <c r="C904" s="126"/>
      <c r="D904" s="126"/>
    </row>
    <row r="905" spans="3:4" x14ac:dyDescent="0.3">
      <c r="C905" s="126"/>
      <c r="D905" s="126"/>
    </row>
    <row r="906" spans="3:4" x14ac:dyDescent="0.3">
      <c r="C906" s="126"/>
      <c r="D906" s="126"/>
    </row>
    <row r="907" spans="3:4" x14ac:dyDescent="0.3">
      <c r="C907" s="126"/>
      <c r="D907" s="126"/>
    </row>
    <row r="908" spans="3:4" x14ac:dyDescent="0.3">
      <c r="C908" s="126"/>
      <c r="D908" s="126"/>
    </row>
    <row r="909" spans="3:4" x14ac:dyDescent="0.3">
      <c r="C909" s="126"/>
      <c r="D909" s="126"/>
    </row>
    <row r="910" spans="3:4" x14ac:dyDescent="0.3">
      <c r="C910" s="126"/>
      <c r="D910" s="126"/>
    </row>
    <row r="911" spans="3:4" x14ac:dyDescent="0.3">
      <c r="C911" s="126"/>
      <c r="D911" s="126"/>
    </row>
    <row r="912" spans="3:4" x14ac:dyDescent="0.3">
      <c r="C912" s="126"/>
      <c r="D912" s="126"/>
    </row>
    <row r="913" spans="3:4" x14ac:dyDescent="0.3">
      <c r="C913" s="126"/>
      <c r="D913" s="126"/>
    </row>
    <row r="914" spans="3:4" x14ac:dyDescent="0.3">
      <c r="C914" s="126"/>
      <c r="D914" s="126"/>
    </row>
    <row r="915" spans="3:4" x14ac:dyDescent="0.3">
      <c r="C915" s="126"/>
      <c r="D915" s="126"/>
    </row>
    <row r="916" spans="3:4" x14ac:dyDescent="0.3">
      <c r="C916" s="126"/>
      <c r="D916" s="126"/>
    </row>
    <row r="917" spans="3:4" x14ac:dyDescent="0.3">
      <c r="C917" s="126"/>
      <c r="D917" s="126"/>
    </row>
    <row r="918" spans="3:4" x14ac:dyDescent="0.3">
      <c r="C918" s="126"/>
      <c r="D918" s="126"/>
    </row>
    <row r="919" spans="3:4" x14ac:dyDescent="0.3">
      <c r="C919" s="126"/>
      <c r="D919" s="126"/>
    </row>
    <row r="920" spans="3:4" x14ac:dyDescent="0.3">
      <c r="C920" s="126"/>
      <c r="D920" s="126"/>
    </row>
    <row r="921" spans="3:4" x14ac:dyDescent="0.3">
      <c r="C921" s="126"/>
      <c r="D921" s="126"/>
    </row>
    <row r="922" spans="3:4" x14ac:dyDescent="0.3">
      <c r="C922" s="126"/>
      <c r="D922" s="126"/>
    </row>
    <row r="923" spans="3:4" x14ac:dyDescent="0.3">
      <c r="C923" s="126"/>
      <c r="D923" s="126"/>
    </row>
    <row r="924" spans="3:4" x14ac:dyDescent="0.3">
      <c r="C924" s="126"/>
      <c r="D924" s="126"/>
    </row>
    <row r="925" spans="3:4" x14ac:dyDescent="0.3">
      <c r="C925" s="126"/>
      <c r="D925" s="126"/>
    </row>
    <row r="926" spans="3:4" x14ac:dyDescent="0.3">
      <c r="C926" s="126"/>
      <c r="D926" s="126"/>
    </row>
    <row r="927" spans="3:4" x14ac:dyDescent="0.3">
      <c r="C927" s="126"/>
      <c r="D927" s="126"/>
    </row>
    <row r="928" spans="3:4" x14ac:dyDescent="0.3">
      <c r="C928" s="126"/>
      <c r="D928" s="126"/>
    </row>
    <row r="929" spans="3:4" x14ac:dyDescent="0.3">
      <c r="C929" s="126"/>
      <c r="D929" s="126"/>
    </row>
    <row r="930" spans="3:4" x14ac:dyDescent="0.3">
      <c r="C930" s="126"/>
      <c r="D930" s="126"/>
    </row>
    <row r="931" spans="3:4" x14ac:dyDescent="0.3">
      <c r="C931" s="126"/>
      <c r="D931" s="126"/>
    </row>
    <row r="932" spans="3:4" x14ac:dyDescent="0.3">
      <c r="C932" s="126"/>
      <c r="D932" s="126"/>
    </row>
    <row r="933" spans="3:4" x14ac:dyDescent="0.3">
      <c r="C933" s="126"/>
      <c r="D933" s="126"/>
    </row>
    <row r="934" spans="3:4" x14ac:dyDescent="0.3">
      <c r="C934" s="126"/>
      <c r="D934" s="126"/>
    </row>
    <row r="935" spans="3:4" x14ac:dyDescent="0.3">
      <c r="C935" s="126"/>
      <c r="D935" s="126"/>
    </row>
    <row r="936" spans="3:4" x14ac:dyDescent="0.3">
      <c r="C936" s="126"/>
      <c r="D936" s="126"/>
    </row>
    <row r="937" spans="3:4" x14ac:dyDescent="0.3">
      <c r="C937" s="126"/>
      <c r="D937" s="126"/>
    </row>
    <row r="938" spans="3:4" x14ac:dyDescent="0.3">
      <c r="C938" s="126"/>
      <c r="D938" s="126"/>
    </row>
    <row r="939" spans="3:4" x14ac:dyDescent="0.3">
      <c r="C939" s="126"/>
      <c r="D939" s="126"/>
    </row>
    <row r="940" spans="3:4" x14ac:dyDescent="0.3">
      <c r="C940" s="126"/>
      <c r="D940" s="126"/>
    </row>
    <row r="941" spans="3:4" x14ac:dyDescent="0.3">
      <c r="C941" s="126"/>
      <c r="D941" s="126"/>
    </row>
    <row r="942" spans="3:4" x14ac:dyDescent="0.3">
      <c r="C942" s="126"/>
      <c r="D942" s="126"/>
    </row>
    <row r="943" spans="3:4" x14ac:dyDescent="0.3">
      <c r="C943" s="126"/>
      <c r="D943" s="126"/>
    </row>
    <row r="944" spans="3:4" x14ac:dyDescent="0.3">
      <c r="C944" s="126"/>
      <c r="D944" s="126"/>
    </row>
    <row r="945" spans="3:4" x14ac:dyDescent="0.3">
      <c r="C945" s="126"/>
      <c r="D945" s="126"/>
    </row>
    <row r="946" spans="3:4" x14ac:dyDescent="0.3">
      <c r="C946" s="126"/>
      <c r="D946" s="126"/>
    </row>
    <row r="947" spans="3:4" x14ac:dyDescent="0.3">
      <c r="C947" s="126"/>
      <c r="D947" s="126"/>
    </row>
    <row r="948" spans="3:4" x14ac:dyDescent="0.3">
      <c r="C948" s="126"/>
      <c r="D948" s="126"/>
    </row>
    <row r="949" spans="3:4" x14ac:dyDescent="0.3">
      <c r="C949" s="126"/>
      <c r="D949" s="126"/>
    </row>
    <row r="950" spans="3:4" x14ac:dyDescent="0.3">
      <c r="C950" s="126"/>
      <c r="D950" s="126"/>
    </row>
    <row r="951" spans="3:4" x14ac:dyDescent="0.3">
      <c r="C951" s="126"/>
      <c r="D951" s="126"/>
    </row>
    <row r="952" spans="3:4" x14ac:dyDescent="0.3">
      <c r="C952" s="126"/>
      <c r="D952" s="126"/>
    </row>
    <row r="953" spans="3:4" x14ac:dyDescent="0.3">
      <c r="C953" s="126"/>
      <c r="D953" s="126"/>
    </row>
    <row r="954" spans="3:4" x14ac:dyDescent="0.3">
      <c r="C954" s="126"/>
      <c r="D954" s="126"/>
    </row>
    <row r="955" spans="3:4" x14ac:dyDescent="0.3">
      <c r="C955" s="126"/>
      <c r="D955" s="126"/>
    </row>
    <row r="956" spans="3:4" x14ac:dyDescent="0.3">
      <c r="C956" s="126"/>
      <c r="D956" s="126"/>
    </row>
    <row r="957" spans="3:4" x14ac:dyDescent="0.3">
      <c r="C957" s="126"/>
      <c r="D957" s="126"/>
    </row>
    <row r="958" spans="3:4" x14ac:dyDescent="0.3">
      <c r="C958" s="126"/>
      <c r="D958" s="126"/>
    </row>
    <row r="959" spans="3:4" x14ac:dyDescent="0.3">
      <c r="C959" s="126"/>
      <c r="D959" s="126"/>
    </row>
    <row r="960" spans="3:4" x14ac:dyDescent="0.3">
      <c r="C960" s="126"/>
      <c r="D960" s="126"/>
    </row>
    <row r="961" spans="3:4" x14ac:dyDescent="0.3">
      <c r="C961" s="126"/>
      <c r="D961" s="126"/>
    </row>
    <row r="962" spans="3:4" x14ac:dyDescent="0.3">
      <c r="C962" s="126"/>
      <c r="D962" s="126"/>
    </row>
    <row r="963" spans="3:4" x14ac:dyDescent="0.3">
      <c r="C963" s="126"/>
      <c r="D963" s="126"/>
    </row>
    <row r="964" spans="3:4" x14ac:dyDescent="0.3">
      <c r="C964" s="126"/>
      <c r="D964" s="126"/>
    </row>
    <row r="965" spans="3:4" x14ac:dyDescent="0.3">
      <c r="C965" s="126"/>
      <c r="D965" s="126"/>
    </row>
    <row r="966" spans="3:4" x14ac:dyDescent="0.3">
      <c r="C966" s="126"/>
      <c r="D966" s="126"/>
    </row>
    <row r="967" spans="3:4" x14ac:dyDescent="0.3">
      <c r="C967" s="126"/>
      <c r="D967" s="126"/>
    </row>
    <row r="968" spans="3:4" x14ac:dyDescent="0.3">
      <c r="C968" s="126"/>
      <c r="D968" s="126"/>
    </row>
    <row r="969" spans="3:4" x14ac:dyDescent="0.3">
      <c r="C969" s="126"/>
      <c r="D969" s="126"/>
    </row>
    <row r="970" spans="3:4" x14ac:dyDescent="0.3">
      <c r="C970" s="126"/>
      <c r="D970" s="126"/>
    </row>
    <row r="971" spans="3:4" x14ac:dyDescent="0.3">
      <c r="C971" s="126"/>
      <c r="D971" s="126"/>
    </row>
    <row r="972" spans="3:4" x14ac:dyDescent="0.3">
      <c r="C972" s="126"/>
      <c r="D972" s="126"/>
    </row>
    <row r="973" spans="3:4" x14ac:dyDescent="0.3">
      <c r="C973" s="126"/>
      <c r="D973" s="126"/>
    </row>
    <row r="974" spans="3:4" x14ac:dyDescent="0.3">
      <c r="C974" s="126"/>
      <c r="D974" s="126"/>
    </row>
    <row r="975" spans="3:4" x14ac:dyDescent="0.3">
      <c r="C975" s="126"/>
      <c r="D975" s="126"/>
    </row>
    <row r="976" spans="3:4" x14ac:dyDescent="0.3">
      <c r="C976" s="126"/>
      <c r="D976" s="126"/>
    </row>
    <row r="977" spans="3:4" x14ac:dyDescent="0.3">
      <c r="C977" s="126"/>
      <c r="D977" s="126"/>
    </row>
    <row r="978" spans="3:4" x14ac:dyDescent="0.3">
      <c r="C978" s="126"/>
      <c r="D978" s="126"/>
    </row>
    <row r="979" spans="3:4" x14ac:dyDescent="0.3">
      <c r="C979" s="126"/>
      <c r="D979" s="126"/>
    </row>
    <row r="980" spans="3:4" x14ac:dyDescent="0.3">
      <c r="C980" s="126"/>
      <c r="D980" s="126"/>
    </row>
    <row r="981" spans="3:4" x14ac:dyDescent="0.3">
      <c r="C981" s="126"/>
      <c r="D981" s="126"/>
    </row>
    <row r="982" spans="3:4" x14ac:dyDescent="0.3">
      <c r="C982" s="126"/>
      <c r="D982" s="126"/>
    </row>
    <row r="983" spans="3:4" x14ac:dyDescent="0.3">
      <c r="C983" s="126"/>
      <c r="D983" s="126"/>
    </row>
    <row r="984" spans="3:4" x14ac:dyDescent="0.3">
      <c r="C984" s="126"/>
      <c r="D984" s="126"/>
    </row>
    <row r="985" spans="3:4" x14ac:dyDescent="0.3">
      <c r="C985" s="126"/>
      <c r="D985" s="126"/>
    </row>
    <row r="986" spans="3:4" x14ac:dyDescent="0.3">
      <c r="C986" s="126"/>
      <c r="D986" s="126"/>
    </row>
    <row r="987" spans="3:4" x14ac:dyDescent="0.3">
      <c r="C987" s="126"/>
      <c r="D987" s="126"/>
    </row>
    <row r="988" spans="3:4" x14ac:dyDescent="0.3">
      <c r="C988" s="126"/>
      <c r="D988" s="126"/>
    </row>
    <row r="989" spans="3:4" x14ac:dyDescent="0.3">
      <c r="C989" s="126"/>
      <c r="D989" s="126"/>
    </row>
    <row r="990" spans="3:4" x14ac:dyDescent="0.3">
      <c r="C990" s="126"/>
      <c r="D990" s="126"/>
    </row>
    <row r="991" spans="3:4" x14ac:dyDescent="0.3">
      <c r="C991" s="126"/>
      <c r="D991" s="126"/>
    </row>
    <row r="992" spans="3:4" x14ac:dyDescent="0.3">
      <c r="C992" s="126"/>
      <c r="D992" s="126"/>
    </row>
    <row r="993" spans="3:4" x14ac:dyDescent="0.3">
      <c r="C993" s="126"/>
      <c r="D993" s="126"/>
    </row>
    <row r="994" spans="3:4" x14ac:dyDescent="0.3">
      <c r="C994" s="126"/>
      <c r="D994" s="126"/>
    </row>
    <row r="995" spans="3:4" x14ac:dyDescent="0.3">
      <c r="C995" s="126"/>
      <c r="D995" s="126"/>
    </row>
    <row r="996" spans="3:4" x14ac:dyDescent="0.3">
      <c r="C996" s="126"/>
      <c r="D996" s="126"/>
    </row>
    <row r="997" spans="3:4" x14ac:dyDescent="0.3">
      <c r="C997" s="126"/>
      <c r="D997" s="126"/>
    </row>
    <row r="998" spans="3:4" x14ac:dyDescent="0.3">
      <c r="C998" s="126"/>
      <c r="D998" s="126"/>
    </row>
    <row r="999" spans="3:4" x14ac:dyDescent="0.3">
      <c r="C999" s="126"/>
      <c r="D999" s="126"/>
    </row>
    <row r="1000" spans="3:4" x14ac:dyDescent="0.3">
      <c r="C1000" s="126"/>
      <c r="D1000" s="126"/>
    </row>
    <row r="1001" spans="3:4" x14ac:dyDescent="0.3">
      <c r="C1001" s="126"/>
      <c r="D1001" s="126"/>
    </row>
    <row r="1002" spans="3:4" x14ac:dyDescent="0.3">
      <c r="C1002" s="126"/>
      <c r="D1002" s="126"/>
    </row>
    <row r="1003" spans="3:4" x14ac:dyDescent="0.3">
      <c r="C1003" s="126"/>
      <c r="D1003" s="126"/>
    </row>
    <row r="1004" spans="3:4" x14ac:dyDescent="0.3">
      <c r="C1004" s="126"/>
      <c r="D1004" s="126"/>
    </row>
    <row r="1005" spans="3:4" x14ac:dyDescent="0.3">
      <c r="C1005" s="126"/>
      <c r="D1005" s="126"/>
    </row>
    <row r="1006" spans="3:4" x14ac:dyDescent="0.3">
      <c r="C1006" s="126"/>
      <c r="D1006" s="126"/>
    </row>
    <row r="1007" spans="3:4" x14ac:dyDescent="0.3">
      <c r="C1007" s="126"/>
      <c r="D1007" s="126"/>
    </row>
    <row r="1008" spans="3:4" x14ac:dyDescent="0.3">
      <c r="C1008" s="126"/>
      <c r="D1008" s="126"/>
    </row>
    <row r="1009" spans="3:4" x14ac:dyDescent="0.3">
      <c r="C1009" s="126"/>
      <c r="D1009" s="126"/>
    </row>
    <row r="1010" spans="3:4" x14ac:dyDescent="0.3">
      <c r="C1010" s="126"/>
      <c r="D1010" s="126"/>
    </row>
    <row r="1011" spans="3:4" x14ac:dyDescent="0.3">
      <c r="C1011" s="126"/>
      <c r="D1011" s="126"/>
    </row>
    <row r="1012" spans="3:4" x14ac:dyDescent="0.3">
      <c r="C1012" s="126"/>
      <c r="D1012" s="126"/>
    </row>
    <row r="1013" spans="3:4" x14ac:dyDescent="0.3">
      <c r="C1013" s="126"/>
      <c r="D1013" s="126"/>
    </row>
    <row r="1014" spans="3:4" x14ac:dyDescent="0.3">
      <c r="C1014" s="126"/>
      <c r="D1014" s="126"/>
    </row>
    <row r="1015" spans="3:4" x14ac:dyDescent="0.3">
      <c r="C1015" s="126"/>
      <c r="D1015" s="126"/>
    </row>
    <row r="1016" spans="3:4" x14ac:dyDescent="0.3">
      <c r="C1016" s="126"/>
      <c r="D1016" s="126"/>
    </row>
    <row r="1017" spans="3:4" x14ac:dyDescent="0.3">
      <c r="C1017" s="126"/>
      <c r="D1017" s="126"/>
    </row>
    <row r="1018" spans="3:4" x14ac:dyDescent="0.3">
      <c r="C1018" s="126"/>
      <c r="D1018" s="126"/>
    </row>
    <row r="1019" spans="3:4" x14ac:dyDescent="0.3">
      <c r="C1019" s="126"/>
      <c r="D1019" s="126"/>
    </row>
    <row r="1020" spans="3:4" x14ac:dyDescent="0.3">
      <c r="C1020" s="126"/>
      <c r="D1020" s="126"/>
    </row>
    <row r="1021" spans="3:4" x14ac:dyDescent="0.3">
      <c r="C1021" s="126"/>
      <c r="D1021" s="126"/>
    </row>
    <row r="1022" spans="3:4" x14ac:dyDescent="0.3">
      <c r="C1022" s="126"/>
      <c r="D1022" s="126"/>
    </row>
    <row r="1023" spans="3:4" x14ac:dyDescent="0.3">
      <c r="C1023" s="126"/>
      <c r="D1023" s="126"/>
    </row>
    <row r="1024" spans="3:4" x14ac:dyDescent="0.3">
      <c r="C1024" s="126"/>
      <c r="D1024" s="126"/>
    </row>
    <row r="1025" spans="3:4" x14ac:dyDescent="0.3">
      <c r="C1025" s="126"/>
      <c r="D1025" s="126"/>
    </row>
    <row r="1026" spans="3:4" x14ac:dyDescent="0.3">
      <c r="C1026" s="126"/>
      <c r="D1026" s="126"/>
    </row>
    <row r="1027" spans="3:4" x14ac:dyDescent="0.3">
      <c r="C1027" s="126"/>
      <c r="D1027" s="126"/>
    </row>
    <row r="1028" spans="3:4" x14ac:dyDescent="0.3">
      <c r="C1028" s="126"/>
      <c r="D1028" s="126"/>
    </row>
    <row r="1029" spans="3:4" x14ac:dyDescent="0.3">
      <c r="C1029" s="126"/>
      <c r="D1029" s="126"/>
    </row>
    <row r="1030" spans="3:4" x14ac:dyDescent="0.3">
      <c r="C1030" s="126"/>
      <c r="D1030" s="126"/>
    </row>
    <row r="1031" spans="3:4" x14ac:dyDescent="0.3">
      <c r="C1031" s="126"/>
      <c r="D1031" s="126"/>
    </row>
    <row r="1032" spans="3:4" x14ac:dyDescent="0.3">
      <c r="C1032" s="126"/>
      <c r="D1032" s="126"/>
    </row>
    <row r="1033" spans="3:4" x14ac:dyDescent="0.3">
      <c r="C1033" s="126"/>
      <c r="D1033" s="126"/>
    </row>
    <row r="1034" spans="3:4" x14ac:dyDescent="0.3">
      <c r="C1034" s="126"/>
      <c r="D1034" s="126"/>
    </row>
    <row r="1035" spans="3:4" x14ac:dyDescent="0.3">
      <c r="C1035" s="126"/>
      <c r="D1035" s="126"/>
    </row>
    <row r="1036" spans="3:4" x14ac:dyDescent="0.3">
      <c r="C1036" s="126"/>
      <c r="D1036" s="126"/>
    </row>
    <row r="1037" spans="3:4" x14ac:dyDescent="0.3">
      <c r="C1037" s="126"/>
      <c r="D1037" s="126"/>
    </row>
    <row r="1038" spans="3:4" x14ac:dyDescent="0.3">
      <c r="C1038" s="126"/>
      <c r="D1038" s="126"/>
    </row>
    <row r="1039" spans="3:4" x14ac:dyDescent="0.3">
      <c r="C1039" s="126"/>
      <c r="D1039" s="126"/>
    </row>
    <row r="1040" spans="3:4" x14ac:dyDescent="0.3">
      <c r="C1040" s="126"/>
      <c r="D1040" s="126"/>
    </row>
    <row r="1041" spans="3:4" x14ac:dyDescent="0.3">
      <c r="C1041" s="126"/>
      <c r="D1041" s="126"/>
    </row>
    <row r="1042" spans="3:4" x14ac:dyDescent="0.3">
      <c r="C1042" s="126"/>
      <c r="D1042" s="126"/>
    </row>
    <row r="1043" spans="3:4" x14ac:dyDescent="0.3">
      <c r="C1043" s="126"/>
      <c r="D1043" s="126"/>
    </row>
    <row r="1044" spans="3:4" x14ac:dyDescent="0.3">
      <c r="C1044" s="126"/>
      <c r="D1044" s="126"/>
    </row>
    <row r="1045" spans="3:4" x14ac:dyDescent="0.3">
      <c r="C1045" s="126"/>
      <c r="D1045" s="126"/>
    </row>
    <row r="1046" spans="3:4" x14ac:dyDescent="0.3">
      <c r="C1046" s="126"/>
      <c r="D1046" s="126"/>
    </row>
    <row r="1047" spans="3:4" x14ac:dyDescent="0.3">
      <c r="C1047" s="126"/>
      <c r="D1047" s="126"/>
    </row>
    <row r="1048" spans="3:4" x14ac:dyDescent="0.3">
      <c r="C1048" s="126"/>
      <c r="D1048" s="126"/>
    </row>
    <row r="1049" spans="3:4" x14ac:dyDescent="0.3">
      <c r="C1049" s="126"/>
      <c r="D1049" s="126"/>
    </row>
    <row r="1050" spans="3:4" x14ac:dyDescent="0.3">
      <c r="C1050" s="126"/>
      <c r="D1050" s="126"/>
    </row>
    <row r="1051" spans="3:4" x14ac:dyDescent="0.3">
      <c r="C1051" s="126"/>
      <c r="D1051" s="126"/>
    </row>
    <row r="1052" spans="3:4" x14ac:dyDescent="0.3">
      <c r="C1052" s="126"/>
      <c r="D1052" s="126"/>
    </row>
    <row r="1053" spans="3:4" x14ac:dyDescent="0.3">
      <c r="C1053" s="126"/>
      <c r="D1053" s="126"/>
    </row>
    <row r="1054" spans="3:4" x14ac:dyDescent="0.3">
      <c r="C1054" s="126"/>
      <c r="D1054" s="126"/>
    </row>
    <row r="1055" spans="3:4" x14ac:dyDescent="0.3">
      <c r="C1055" s="126"/>
      <c r="D1055" s="126"/>
    </row>
    <row r="1056" spans="3:4" x14ac:dyDescent="0.3">
      <c r="C1056" s="126"/>
      <c r="D1056" s="126"/>
    </row>
    <row r="1057" spans="3:4" x14ac:dyDescent="0.3">
      <c r="C1057" s="126"/>
      <c r="D1057" s="126"/>
    </row>
    <row r="1058" spans="3:4" x14ac:dyDescent="0.3">
      <c r="C1058" s="126"/>
      <c r="D1058" s="126"/>
    </row>
    <row r="1059" spans="3:4" x14ac:dyDescent="0.3">
      <c r="C1059" s="126"/>
      <c r="D1059" s="126"/>
    </row>
    <row r="1060" spans="3:4" x14ac:dyDescent="0.3">
      <c r="C1060" s="126"/>
      <c r="D1060" s="126"/>
    </row>
    <row r="1061" spans="3:4" x14ac:dyDescent="0.3">
      <c r="C1061" s="126"/>
      <c r="D1061" s="126"/>
    </row>
    <row r="1062" spans="3:4" x14ac:dyDescent="0.3">
      <c r="C1062" s="126"/>
      <c r="D1062" s="126"/>
    </row>
    <row r="1063" spans="3:4" x14ac:dyDescent="0.3">
      <c r="C1063" s="126"/>
      <c r="D1063" s="126"/>
    </row>
    <row r="1064" spans="3:4" x14ac:dyDescent="0.3">
      <c r="C1064" s="126"/>
      <c r="D1064" s="126"/>
    </row>
    <row r="1065" spans="3:4" x14ac:dyDescent="0.3">
      <c r="C1065" s="126"/>
      <c r="D1065" s="126"/>
    </row>
    <row r="1066" spans="3:4" x14ac:dyDescent="0.3">
      <c r="C1066" s="126"/>
      <c r="D1066" s="126"/>
    </row>
    <row r="1067" spans="3:4" x14ac:dyDescent="0.3">
      <c r="C1067" s="126"/>
      <c r="D1067" s="126"/>
    </row>
    <row r="1068" spans="3:4" x14ac:dyDescent="0.3">
      <c r="C1068" s="126"/>
      <c r="D1068" s="126"/>
    </row>
    <row r="1069" spans="3:4" x14ac:dyDescent="0.3">
      <c r="C1069" s="126"/>
      <c r="D1069" s="126"/>
    </row>
    <row r="1070" spans="3:4" x14ac:dyDescent="0.3">
      <c r="C1070" s="126"/>
      <c r="D1070" s="126"/>
    </row>
    <row r="1071" spans="3:4" x14ac:dyDescent="0.3">
      <c r="C1071" s="126"/>
      <c r="D1071" s="126"/>
    </row>
    <row r="1072" spans="3:4" x14ac:dyDescent="0.3">
      <c r="C1072" s="126"/>
      <c r="D1072" s="126"/>
    </row>
    <row r="1073" spans="3:4" x14ac:dyDescent="0.3">
      <c r="C1073" s="126"/>
      <c r="D1073" s="126"/>
    </row>
    <row r="1074" spans="3:4" x14ac:dyDescent="0.3">
      <c r="C1074" s="126"/>
      <c r="D1074" s="126"/>
    </row>
    <row r="1075" spans="3:4" x14ac:dyDescent="0.3">
      <c r="C1075" s="126"/>
      <c r="D1075" s="126"/>
    </row>
    <row r="1076" spans="3:4" x14ac:dyDescent="0.3">
      <c r="C1076" s="126"/>
      <c r="D1076" s="126"/>
    </row>
    <row r="1077" spans="3:4" x14ac:dyDescent="0.3">
      <c r="C1077" s="126"/>
      <c r="D1077" s="126"/>
    </row>
    <row r="1078" spans="3:4" x14ac:dyDescent="0.3">
      <c r="C1078" s="126"/>
      <c r="D1078" s="126"/>
    </row>
    <row r="1079" spans="3:4" x14ac:dyDescent="0.3">
      <c r="C1079" s="126"/>
      <c r="D1079" s="126"/>
    </row>
    <row r="1080" spans="3:4" x14ac:dyDescent="0.3">
      <c r="C1080" s="126"/>
      <c r="D1080" s="126"/>
    </row>
    <row r="1081" spans="3:4" x14ac:dyDescent="0.3">
      <c r="C1081" s="126"/>
      <c r="D1081" s="126"/>
    </row>
    <row r="1082" spans="3:4" x14ac:dyDescent="0.3">
      <c r="C1082" s="126"/>
      <c r="D1082" s="126"/>
    </row>
    <row r="1083" spans="3:4" x14ac:dyDescent="0.3">
      <c r="C1083" s="126"/>
      <c r="D1083" s="126"/>
    </row>
    <row r="1084" spans="3:4" x14ac:dyDescent="0.3">
      <c r="C1084" s="126"/>
      <c r="D1084" s="126"/>
    </row>
    <row r="1085" spans="3:4" x14ac:dyDescent="0.3">
      <c r="C1085" s="126"/>
      <c r="D1085" s="126"/>
    </row>
    <row r="1086" spans="3:4" x14ac:dyDescent="0.3">
      <c r="C1086" s="126"/>
      <c r="D1086" s="126"/>
    </row>
    <row r="1087" spans="3:4" x14ac:dyDescent="0.3">
      <c r="C1087" s="126"/>
      <c r="D1087" s="126"/>
    </row>
    <row r="1088" spans="3:4" x14ac:dyDescent="0.3">
      <c r="C1088" s="126"/>
      <c r="D1088" s="126"/>
    </row>
    <row r="1089" spans="3:4" x14ac:dyDescent="0.3">
      <c r="C1089" s="126"/>
      <c r="D1089" s="126"/>
    </row>
    <row r="1090" spans="3:4" x14ac:dyDescent="0.3">
      <c r="C1090" s="126"/>
      <c r="D1090" s="126"/>
    </row>
    <row r="1091" spans="3:4" x14ac:dyDescent="0.3">
      <c r="C1091" s="126"/>
      <c r="D1091" s="126"/>
    </row>
    <row r="1092" spans="3:4" x14ac:dyDescent="0.3">
      <c r="C1092" s="126"/>
      <c r="D1092" s="126"/>
    </row>
    <row r="1093" spans="3:4" x14ac:dyDescent="0.3">
      <c r="C1093" s="126"/>
      <c r="D1093" s="126"/>
    </row>
    <row r="1094" spans="3:4" x14ac:dyDescent="0.3">
      <c r="C1094" s="126"/>
      <c r="D1094" s="126"/>
    </row>
    <row r="1095" spans="3:4" x14ac:dyDescent="0.3">
      <c r="C1095" s="126"/>
      <c r="D1095" s="126"/>
    </row>
    <row r="1096" spans="3:4" x14ac:dyDescent="0.3">
      <c r="C1096" s="126"/>
      <c r="D1096" s="126"/>
    </row>
    <row r="1097" spans="3:4" x14ac:dyDescent="0.3">
      <c r="C1097" s="126"/>
      <c r="D1097" s="126"/>
    </row>
    <row r="1098" spans="3:4" x14ac:dyDescent="0.3">
      <c r="C1098" s="126"/>
      <c r="D1098" s="126"/>
    </row>
    <row r="1099" spans="3:4" x14ac:dyDescent="0.3">
      <c r="C1099" s="126"/>
      <c r="D1099" s="126"/>
    </row>
    <row r="1100" spans="3:4" x14ac:dyDescent="0.3">
      <c r="C1100" s="126"/>
      <c r="D1100" s="126"/>
    </row>
    <row r="1101" spans="3:4" x14ac:dyDescent="0.3">
      <c r="C1101" s="126"/>
      <c r="D1101" s="126"/>
    </row>
    <row r="1102" spans="3:4" x14ac:dyDescent="0.3">
      <c r="C1102" s="126"/>
      <c r="D1102" s="126"/>
    </row>
    <row r="1103" spans="3:4" x14ac:dyDescent="0.3">
      <c r="C1103" s="126"/>
      <c r="D1103" s="126"/>
    </row>
    <row r="1104" spans="3:4" x14ac:dyDescent="0.3">
      <c r="C1104" s="126"/>
      <c r="D1104" s="126"/>
    </row>
    <row r="1105" spans="3:4" x14ac:dyDescent="0.3">
      <c r="C1105" s="126"/>
      <c r="D1105" s="126"/>
    </row>
    <row r="1106" spans="3:4" x14ac:dyDescent="0.3">
      <c r="C1106" s="126"/>
      <c r="D1106" s="126"/>
    </row>
    <row r="1107" spans="3:4" x14ac:dyDescent="0.3">
      <c r="C1107" s="126"/>
      <c r="D1107" s="126"/>
    </row>
    <row r="1108" spans="3:4" x14ac:dyDescent="0.3">
      <c r="C1108" s="126"/>
      <c r="D1108" s="126"/>
    </row>
    <row r="1109" spans="3:4" x14ac:dyDescent="0.3">
      <c r="C1109" s="126"/>
      <c r="D1109" s="126"/>
    </row>
    <row r="1110" spans="3:4" x14ac:dyDescent="0.3">
      <c r="C1110" s="126"/>
      <c r="D1110" s="126"/>
    </row>
    <row r="1111" spans="3:4" x14ac:dyDescent="0.3">
      <c r="C1111" s="126"/>
      <c r="D1111" s="126"/>
    </row>
    <row r="1112" spans="3:4" x14ac:dyDescent="0.3">
      <c r="C1112" s="126"/>
      <c r="D1112" s="126"/>
    </row>
    <row r="1113" spans="3:4" x14ac:dyDescent="0.3">
      <c r="C1113" s="126"/>
      <c r="D1113" s="126"/>
    </row>
    <row r="1114" spans="3:4" x14ac:dyDescent="0.3">
      <c r="C1114" s="126"/>
      <c r="D1114" s="126"/>
    </row>
    <row r="1115" spans="3:4" x14ac:dyDescent="0.3">
      <c r="C1115" s="126"/>
      <c r="D1115" s="126"/>
    </row>
    <row r="1116" spans="3:4" x14ac:dyDescent="0.3">
      <c r="C1116" s="126"/>
      <c r="D1116" s="126"/>
    </row>
    <row r="1117" spans="3:4" x14ac:dyDescent="0.3">
      <c r="C1117" s="126"/>
      <c r="D1117" s="126"/>
    </row>
    <row r="1118" spans="3:4" x14ac:dyDescent="0.3">
      <c r="C1118" s="126"/>
      <c r="D1118" s="126"/>
    </row>
    <row r="1119" spans="3:4" x14ac:dyDescent="0.3">
      <c r="C1119" s="126"/>
      <c r="D1119" s="126"/>
    </row>
    <row r="1120" spans="3:4" x14ac:dyDescent="0.3">
      <c r="C1120" s="126"/>
      <c r="D1120" s="126"/>
    </row>
    <row r="1121" spans="3:4" x14ac:dyDescent="0.3">
      <c r="C1121" s="126"/>
      <c r="D1121" s="126"/>
    </row>
    <row r="1122" spans="3:4" x14ac:dyDescent="0.3">
      <c r="C1122" s="126"/>
      <c r="D1122" s="126"/>
    </row>
    <row r="1123" spans="3:4" x14ac:dyDescent="0.3">
      <c r="C1123" s="126"/>
      <c r="D1123" s="126"/>
    </row>
    <row r="1124" spans="3:4" x14ac:dyDescent="0.3">
      <c r="C1124" s="126"/>
      <c r="D1124" s="126"/>
    </row>
    <row r="1125" spans="3:4" x14ac:dyDescent="0.3">
      <c r="C1125" s="126"/>
      <c r="D1125" s="126"/>
    </row>
    <row r="1126" spans="3:4" x14ac:dyDescent="0.3">
      <c r="C1126" s="126"/>
      <c r="D1126" s="126"/>
    </row>
    <row r="1127" spans="3:4" x14ac:dyDescent="0.3">
      <c r="C1127" s="126"/>
      <c r="D1127" s="126"/>
    </row>
    <row r="1128" spans="3:4" x14ac:dyDescent="0.3">
      <c r="C1128" s="126"/>
      <c r="D1128" s="126"/>
    </row>
    <row r="1129" spans="3:4" x14ac:dyDescent="0.3">
      <c r="C1129" s="126"/>
      <c r="D1129" s="126"/>
    </row>
    <row r="1130" spans="3:4" x14ac:dyDescent="0.3">
      <c r="C1130" s="126"/>
      <c r="D1130" s="126"/>
    </row>
    <row r="1131" spans="3:4" x14ac:dyDescent="0.3">
      <c r="C1131" s="126"/>
      <c r="D1131" s="126"/>
    </row>
    <row r="1132" spans="3:4" x14ac:dyDescent="0.3">
      <c r="C1132" s="126"/>
      <c r="D1132" s="126"/>
    </row>
    <row r="1133" spans="3:4" x14ac:dyDescent="0.3">
      <c r="C1133" s="126"/>
      <c r="D1133" s="126"/>
    </row>
    <row r="1134" spans="3:4" x14ac:dyDescent="0.3">
      <c r="C1134" s="126"/>
      <c r="D1134" s="126"/>
    </row>
    <row r="1135" spans="3:4" x14ac:dyDescent="0.3">
      <c r="C1135" s="126"/>
      <c r="D1135" s="126"/>
    </row>
    <row r="1136" spans="3:4" x14ac:dyDescent="0.3">
      <c r="C1136" s="126"/>
      <c r="D1136" s="126"/>
    </row>
    <row r="1137" spans="3:4" x14ac:dyDescent="0.3">
      <c r="C1137" s="126"/>
      <c r="D1137" s="126"/>
    </row>
    <row r="1138" spans="3:4" x14ac:dyDescent="0.3">
      <c r="C1138" s="126"/>
      <c r="D1138" s="126"/>
    </row>
    <row r="1139" spans="3:4" x14ac:dyDescent="0.3">
      <c r="C1139" s="126"/>
      <c r="D1139" s="126"/>
    </row>
    <row r="1140" spans="3:4" x14ac:dyDescent="0.3">
      <c r="C1140" s="126"/>
      <c r="D1140" s="126"/>
    </row>
    <row r="1141" spans="3:4" x14ac:dyDescent="0.3">
      <c r="C1141" s="126"/>
      <c r="D1141" s="126"/>
    </row>
    <row r="1142" spans="3:4" x14ac:dyDescent="0.3">
      <c r="C1142" s="126"/>
      <c r="D1142" s="126"/>
    </row>
    <row r="1143" spans="3:4" x14ac:dyDescent="0.3">
      <c r="C1143" s="126"/>
      <c r="D1143" s="126"/>
    </row>
    <row r="1144" spans="3:4" x14ac:dyDescent="0.3">
      <c r="C1144" s="126"/>
      <c r="D1144" s="126"/>
    </row>
    <row r="1145" spans="3:4" x14ac:dyDescent="0.3">
      <c r="C1145" s="126"/>
      <c r="D1145" s="126"/>
    </row>
    <row r="1146" spans="3:4" x14ac:dyDescent="0.3">
      <c r="C1146" s="126"/>
      <c r="D1146" s="126"/>
    </row>
    <row r="1147" spans="3:4" x14ac:dyDescent="0.3">
      <c r="C1147" s="126"/>
      <c r="D1147" s="126"/>
    </row>
    <row r="1148" spans="3:4" x14ac:dyDescent="0.3">
      <c r="C1148" s="126"/>
      <c r="D1148" s="126"/>
    </row>
    <row r="1149" spans="3:4" x14ac:dyDescent="0.3">
      <c r="C1149" s="126"/>
      <c r="D1149" s="126"/>
    </row>
    <row r="1150" spans="3:4" x14ac:dyDescent="0.3">
      <c r="C1150" s="126"/>
      <c r="D1150" s="126"/>
    </row>
    <row r="1151" spans="3:4" x14ac:dyDescent="0.3">
      <c r="C1151" s="126"/>
      <c r="D1151" s="126"/>
    </row>
    <row r="1152" spans="3:4" x14ac:dyDescent="0.3">
      <c r="C1152" s="126"/>
      <c r="D1152" s="126"/>
    </row>
    <row r="1153" spans="3:4" x14ac:dyDescent="0.3">
      <c r="C1153" s="126"/>
      <c r="D1153" s="126"/>
    </row>
    <row r="1154" spans="3:4" x14ac:dyDescent="0.3">
      <c r="C1154" s="126"/>
      <c r="D1154" s="126"/>
    </row>
    <row r="1155" spans="3:4" x14ac:dyDescent="0.3">
      <c r="C1155" s="126"/>
      <c r="D1155" s="126"/>
    </row>
    <row r="1156" spans="3:4" x14ac:dyDescent="0.3">
      <c r="C1156" s="126"/>
      <c r="D1156" s="126"/>
    </row>
    <row r="1157" spans="3:4" x14ac:dyDescent="0.3">
      <c r="C1157" s="126"/>
      <c r="D1157" s="126"/>
    </row>
    <row r="1158" spans="3:4" x14ac:dyDescent="0.3">
      <c r="C1158" s="126"/>
      <c r="D1158" s="126"/>
    </row>
    <row r="1159" spans="3:4" x14ac:dyDescent="0.3">
      <c r="C1159" s="126"/>
      <c r="D1159" s="126"/>
    </row>
    <row r="1160" spans="3:4" x14ac:dyDescent="0.3">
      <c r="C1160" s="126"/>
      <c r="D1160" s="126"/>
    </row>
    <row r="1161" spans="3:4" x14ac:dyDescent="0.3">
      <c r="C1161" s="126"/>
      <c r="D1161" s="126"/>
    </row>
    <row r="1162" spans="3:4" x14ac:dyDescent="0.3">
      <c r="C1162" s="126"/>
      <c r="D1162" s="126"/>
    </row>
    <row r="1163" spans="3:4" x14ac:dyDescent="0.3">
      <c r="C1163" s="126"/>
      <c r="D1163" s="126"/>
    </row>
    <row r="1164" spans="3:4" x14ac:dyDescent="0.3">
      <c r="C1164" s="126"/>
      <c r="D1164" s="126"/>
    </row>
    <row r="1165" spans="3:4" x14ac:dyDescent="0.3">
      <c r="C1165" s="126"/>
      <c r="D1165" s="126"/>
    </row>
    <row r="1166" spans="3:4" x14ac:dyDescent="0.3">
      <c r="C1166" s="126"/>
      <c r="D1166" s="126"/>
    </row>
    <row r="1167" spans="3:4" x14ac:dyDescent="0.3">
      <c r="C1167" s="126"/>
      <c r="D1167" s="126"/>
    </row>
    <row r="1168" spans="3:4" x14ac:dyDescent="0.3">
      <c r="C1168" s="126"/>
      <c r="D1168" s="126"/>
    </row>
    <row r="1169" spans="3:4" x14ac:dyDescent="0.3">
      <c r="C1169" s="126"/>
      <c r="D1169" s="126"/>
    </row>
    <row r="1170" spans="3:4" x14ac:dyDescent="0.3">
      <c r="C1170" s="126"/>
      <c r="D1170" s="126"/>
    </row>
    <row r="1171" spans="3:4" x14ac:dyDescent="0.3">
      <c r="C1171" s="126"/>
      <c r="D1171" s="126"/>
    </row>
    <row r="1172" spans="3:4" x14ac:dyDescent="0.3">
      <c r="C1172" s="126"/>
      <c r="D1172" s="126"/>
    </row>
    <row r="1173" spans="3:4" x14ac:dyDescent="0.3">
      <c r="C1173" s="126"/>
      <c r="D1173" s="126"/>
    </row>
    <row r="1174" spans="3:4" x14ac:dyDescent="0.3">
      <c r="C1174" s="126"/>
      <c r="D1174" s="126"/>
    </row>
    <row r="1175" spans="3:4" x14ac:dyDescent="0.3">
      <c r="C1175" s="126"/>
      <c r="D1175" s="126"/>
    </row>
    <row r="1176" spans="3:4" x14ac:dyDescent="0.3">
      <c r="C1176" s="126"/>
      <c r="D1176" s="126"/>
    </row>
    <row r="1177" spans="3:4" x14ac:dyDescent="0.3">
      <c r="C1177" s="126"/>
      <c r="D1177" s="126"/>
    </row>
    <row r="1178" spans="3:4" x14ac:dyDescent="0.3">
      <c r="C1178" s="126"/>
      <c r="D1178" s="126"/>
    </row>
    <row r="1179" spans="3:4" x14ac:dyDescent="0.3">
      <c r="C1179" s="126"/>
      <c r="D1179" s="126"/>
    </row>
    <row r="1180" spans="3:4" x14ac:dyDescent="0.3">
      <c r="C1180" s="126"/>
      <c r="D1180" s="126"/>
    </row>
    <row r="1181" spans="3:4" x14ac:dyDescent="0.3">
      <c r="C1181" s="126"/>
      <c r="D1181" s="126"/>
    </row>
    <row r="1182" spans="3:4" x14ac:dyDescent="0.3">
      <c r="C1182" s="126"/>
      <c r="D1182" s="126"/>
    </row>
    <row r="1183" spans="3:4" x14ac:dyDescent="0.3">
      <c r="C1183" s="126"/>
      <c r="D1183" s="126"/>
    </row>
    <row r="1184" spans="3:4" x14ac:dyDescent="0.3">
      <c r="C1184" s="126"/>
      <c r="D1184" s="126"/>
    </row>
    <row r="1185" spans="3:4" x14ac:dyDescent="0.3">
      <c r="C1185" s="126"/>
      <c r="D1185" s="126"/>
    </row>
    <row r="1186" spans="3:4" x14ac:dyDescent="0.3">
      <c r="C1186" s="126"/>
      <c r="D1186" s="126"/>
    </row>
    <row r="1187" spans="3:4" x14ac:dyDescent="0.3">
      <c r="C1187" s="126"/>
      <c r="D1187" s="126"/>
    </row>
    <row r="1188" spans="3:4" x14ac:dyDescent="0.3">
      <c r="C1188" s="126"/>
      <c r="D1188" s="126"/>
    </row>
    <row r="1189" spans="3:4" x14ac:dyDescent="0.3">
      <c r="C1189" s="126"/>
      <c r="D1189" s="126"/>
    </row>
    <row r="1190" spans="3:4" x14ac:dyDescent="0.3">
      <c r="C1190" s="126"/>
      <c r="D1190" s="126"/>
    </row>
    <row r="1191" spans="3:4" x14ac:dyDescent="0.3">
      <c r="C1191" s="126"/>
      <c r="D1191" s="126"/>
    </row>
    <row r="1192" spans="3:4" x14ac:dyDescent="0.3">
      <c r="C1192" s="126"/>
      <c r="D1192" s="126"/>
    </row>
    <row r="1193" spans="3:4" x14ac:dyDescent="0.3">
      <c r="C1193" s="126"/>
      <c r="D1193" s="126"/>
    </row>
    <row r="1194" spans="3:4" x14ac:dyDescent="0.3">
      <c r="C1194" s="126"/>
      <c r="D1194" s="126"/>
    </row>
    <row r="1195" spans="3:4" x14ac:dyDescent="0.3">
      <c r="C1195" s="126"/>
      <c r="D1195" s="126"/>
    </row>
    <row r="1196" spans="3:4" x14ac:dyDescent="0.3">
      <c r="C1196" s="126"/>
      <c r="D1196" s="126"/>
    </row>
    <row r="1197" spans="3:4" x14ac:dyDescent="0.3">
      <c r="C1197" s="126"/>
      <c r="D1197" s="126"/>
    </row>
    <row r="1198" spans="3:4" x14ac:dyDescent="0.3">
      <c r="C1198" s="126"/>
      <c r="D1198" s="126"/>
    </row>
    <row r="1199" spans="3:4" x14ac:dyDescent="0.3">
      <c r="C1199" s="126"/>
      <c r="D1199" s="126"/>
    </row>
    <row r="1200" spans="3:4" x14ac:dyDescent="0.3">
      <c r="C1200" s="126"/>
      <c r="D1200" s="126"/>
    </row>
    <row r="1201" spans="3:4" x14ac:dyDescent="0.3">
      <c r="C1201" s="126"/>
      <c r="D1201" s="126"/>
    </row>
    <row r="1202" spans="3:4" x14ac:dyDescent="0.3">
      <c r="C1202" s="126"/>
      <c r="D1202" s="126"/>
    </row>
    <row r="1203" spans="3:4" x14ac:dyDescent="0.3">
      <c r="C1203" s="126"/>
      <c r="D1203" s="126"/>
    </row>
    <row r="1204" spans="3:4" x14ac:dyDescent="0.3">
      <c r="C1204" s="126"/>
      <c r="D1204" s="126"/>
    </row>
    <row r="1205" spans="3:4" x14ac:dyDescent="0.3">
      <c r="C1205" s="126"/>
      <c r="D1205" s="126"/>
    </row>
    <row r="1206" spans="3:4" x14ac:dyDescent="0.3">
      <c r="C1206" s="126"/>
      <c r="D1206" s="126"/>
    </row>
    <row r="1207" spans="3:4" x14ac:dyDescent="0.3">
      <c r="C1207" s="126"/>
      <c r="D1207" s="126"/>
    </row>
    <row r="1208" spans="3:4" x14ac:dyDescent="0.3">
      <c r="C1208" s="126"/>
      <c r="D1208" s="126"/>
    </row>
    <row r="1209" spans="3:4" x14ac:dyDescent="0.3">
      <c r="C1209" s="126"/>
      <c r="D1209" s="126"/>
    </row>
    <row r="1210" spans="3:4" x14ac:dyDescent="0.3">
      <c r="C1210" s="126"/>
      <c r="D1210" s="126"/>
    </row>
    <row r="1211" spans="3:4" x14ac:dyDescent="0.3">
      <c r="C1211" s="126"/>
      <c r="D1211" s="126"/>
    </row>
    <row r="1212" spans="3:4" x14ac:dyDescent="0.3">
      <c r="C1212" s="126"/>
      <c r="D1212" s="126"/>
    </row>
    <row r="1213" spans="3:4" x14ac:dyDescent="0.3">
      <c r="C1213" s="126"/>
      <c r="D1213" s="126"/>
    </row>
    <row r="1214" spans="3:4" x14ac:dyDescent="0.3">
      <c r="C1214" s="126"/>
      <c r="D1214" s="126"/>
    </row>
    <row r="1215" spans="3:4" x14ac:dyDescent="0.3">
      <c r="C1215" s="126"/>
      <c r="D1215" s="126"/>
    </row>
    <row r="1216" spans="3:4" x14ac:dyDescent="0.3">
      <c r="C1216" s="126"/>
      <c r="D1216" s="126"/>
    </row>
    <row r="1217" spans="3:4" x14ac:dyDescent="0.3">
      <c r="C1217" s="126"/>
      <c r="D1217" s="126"/>
    </row>
    <row r="1218" spans="3:4" x14ac:dyDescent="0.3">
      <c r="C1218" s="126"/>
      <c r="D1218" s="126"/>
    </row>
    <row r="1219" spans="3:4" x14ac:dyDescent="0.3">
      <c r="C1219" s="126"/>
      <c r="D1219" s="126"/>
    </row>
    <row r="1220" spans="3:4" x14ac:dyDescent="0.3">
      <c r="C1220" s="126"/>
      <c r="D1220" s="126"/>
    </row>
    <row r="1221" spans="3:4" x14ac:dyDescent="0.3">
      <c r="C1221" s="126"/>
      <c r="D1221" s="126"/>
    </row>
    <row r="1222" spans="3:4" x14ac:dyDescent="0.3">
      <c r="C1222" s="126"/>
      <c r="D1222" s="126"/>
    </row>
    <row r="1223" spans="3:4" x14ac:dyDescent="0.3">
      <c r="C1223" s="126"/>
      <c r="D1223" s="126"/>
    </row>
    <row r="1224" spans="3:4" x14ac:dyDescent="0.3">
      <c r="C1224" s="126"/>
      <c r="D1224" s="126"/>
    </row>
    <row r="1225" spans="3:4" x14ac:dyDescent="0.3">
      <c r="C1225" s="126"/>
      <c r="D1225" s="126"/>
    </row>
    <row r="1226" spans="3:4" x14ac:dyDescent="0.3">
      <c r="C1226" s="126"/>
      <c r="D1226" s="126"/>
    </row>
    <row r="1227" spans="3:4" x14ac:dyDescent="0.3">
      <c r="C1227" s="126"/>
      <c r="D1227" s="126"/>
    </row>
    <row r="1228" spans="3:4" x14ac:dyDescent="0.3">
      <c r="C1228" s="126"/>
      <c r="D1228" s="126"/>
    </row>
    <row r="1229" spans="3:4" x14ac:dyDescent="0.3">
      <c r="C1229" s="126"/>
      <c r="D1229" s="126"/>
    </row>
    <row r="1230" spans="3:4" x14ac:dyDescent="0.3">
      <c r="C1230" s="126"/>
      <c r="D1230" s="126"/>
    </row>
    <row r="1231" spans="3:4" x14ac:dyDescent="0.3">
      <c r="C1231" s="126"/>
      <c r="D1231" s="126"/>
    </row>
    <row r="1232" spans="3:4" x14ac:dyDescent="0.3">
      <c r="C1232" s="126"/>
      <c r="D1232" s="126"/>
    </row>
    <row r="1233" spans="3:4" x14ac:dyDescent="0.3">
      <c r="C1233" s="126"/>
      <c r="D1233" s="126"/>
    </row>
    <row r="1234" spans="3:4" x14ac:dyDescent="0.3">
      <c r="C1234" s="126"/>
      <c r="D1234" s="126"/>
    </row>
    <row r="1235" spans="3:4" x14ac:dyDescent="0.3">
      <c r="C1235" s="126"/>
      <c r="D1235" s="126"/>
    </row>
    <row r="1236" spans="3:4" x14ac:dyDescent="0.3">
      <c r="C1236" s="126"/>
      <c r="D1236" s="126"/>
    </row>
    <row r="1237" spans="3:4" x14ac:dyDescent="0.3">
      <c r="C1237" s="126"/>
      <c r="D1237" s="126"/>
    </row>
    <row r="1238" spans="3:4" x14ac:dyDescent="0.3">
      <c r="C1238" s="126"/>
      <c r="D1238" s="126"/>
    </row>
    <row r="1239" spans="3:4" x14ac:dyDescent="0.3">
      <c r="C1239" s="126"/>
      <c r="D1239" s="126"/>
    </row>
    <row r="1240" spans="3:4" x14ac:dyDescent="0.3">
      <c r="C1240" s="126"/>
      <c r="D1240" s="126"/>
    </row>
    <row r="1241" spans="3:4" x14ac:dyDescent="0.3">
      <c r="C1241" s="126"/>
      <c r="D1241" s="126"/>
    </row>
    <row r="1242" spans="3:4" x14ac:dyDescent="0.3">
      <c r="C1242" s="126"/>
      <c r="D1242" s="126"/>
    </row>
    <row r="1243" spans="3:4" x14ac:dyDescent="0.3">
      <c r="C1243" s="126"/>
      <c r="D1243" s="126"/>
    </row>
    <row r="1244" spans="3:4" x14ac:dyDescent="0.3">
      <c r="C1244" s="126"/>
      <c r="D1244" s="126"/>
    </row>
    <row r="1245" spans="3:4" x14ac:dyDescent="0.3">
      <c r="C1245" s="126"/>
      <c r="D1245" s="126"/>
    </row>
    <row r="1246" spans="3:4" x14ac:dyDescent="0.3">
      <c r="C1246" s="126"/>
      <c r="D1246" s="126"/>
    </row>
    <row r="1247" spans="3:4" x14ac:dyDescent="0.3">
      <c r="C1247" s="126"/>
      <c r="D1247" s="126"/>
    </row>
    <row r="1248" spans="3:4" x14ac:dyDescent="0.3">
      <c r="C1248" s="126"/>
      <c r="D1248" s="126"/>
    </row>
    <row r="1249" spans="3:4" x14ac:dyDescent="0.3">
      <c r="C1249" s="126"/>
      <c r="D1249" s="126"/>
    </row>
    <row r="1250" spans="3:4" x14ac:dyDescent="0.3">
      <c r="C1250" s="126"/>
      <c r="D1250" s="126"/>
    </row>
    <row r="1251" spans="3:4" x14ac:dyDescent="0.3">
      <c r="C1251" s="126"/>
      <c r="D1251" s="126"/>
    </row>
    <row r="1252" spans="3:4" x14ac:dyDescent="0.3">
      <c r="C1252" s="126"/>
      <c r="D1252" s="126"/>
    </row>
    <row r="1253" spans="3:4" x14ac:dyDescent="0.3">
      <c r="C1253" s="126"/>
      <c r="D1253" s="126"/>
    </row>
    <row r="1254" spans="3:4" x14ac:dyDescent="0.3">
      <c r="C1254" s="126"/>
      <c r="D1254" s="126"/>
    </row>
    <row r="1255" spans="3:4" x14ac:dyDescent="0.3">
      <c r="C1255" s="126"/>
      <c r="D1255" s="126"/>
    </row>
    <row r="1256" spans="3:4" x14ac:dyDescent="0.3">
      <c r="C1256" s="126"/>
      <c r="D1256" s="126"/>
    </row>
    <row r="1257" spans="3:4" x14ac:dyDescent="0.3">
      <c r="C1257" s="126"/>
      <c r="D1257" s="126"/>
    </row>
    <row r="1258" spans="3:4" x14ac:dyDescent="0.3">
      <c r="C1258" s="126"/>
      <c r="D1258" s="126"/>
    </row>
    <row r="1259" spans="3:4" x14ac:dyDescent="0.3">
      <c r="C1259" s="126"/>
      <c r="D1259" s="126"/>
    </row>
    <row r="1260" spans="3:4" x14ac:dyDescent="0.3">
      <c r="C1260" s="126"/>
      <c r="D1260" s="126"/>
    </row>
    <row r="1261" spans="3:4" x14ac:dyDescent="0.3">
      <c r="C1261" s="126"/>
      <c r="D1261" s="126"/>
    </row>
    <row r="1262" spans="3:4" x14ac:dyDescent="0.3">
      <c r="C1262" s="126"/>
      <c r="D1262" s="126"/>
    </row>
    <row r="1263" spans="3:4" x14ac:dyDescent="0.3">
      <c r="C1263" s="126"/>
      <c r="D1263" s="126"/>
    </row>
    <row r="1264" spans="3:4" x14ac:dyDescent="0.3">
      <c r="C1264" s="126"/>
      <c r="D1264" s="126"/>
    </row>
    <row r="1265" spans="3:4" x14ac:dyDescent="0.3">
      <c r="C1265" s="126"/>
      <c r="D1265" s="126"/>
    </row>
    <row r="1266" spans="3:4" x14ac:dyDescent="0.3">
      <c r="C1266" s="126"/>
      <c r="D1266" s="126"/>
    </row>
    <row r="1267" spans="3:4" x14ac:dyDescent="0.3">
      <c r="C1267" s="126"/>
      <c r="D1267" s="126"/>
    </row>
    <row r="1268" spans="3:4" x14ac:dyDescent="0.3">
      <c r="C1268" s="126"/>
      <c r="D1268" s="126"/>
    </row>
    <row r="1269" spans="3:4" x14ac:dyDescent="0.3">
      <c r="C1269" s="126"/>
      <c r="D1269" s="126"/>
    </row>
    <row r="1270" spans="3:4" x14ac:dyDescent="0.3">
      <c r="C1270" s="126"/>
      <c r="D1270" s="126"/>
    </row>
    <row r="1271" spans="3:4" x14ac:dyDescent="0.3">
      <c r="C1271" s="126"/>
      <c r="D1271" s="126"/>
    </row>
    <row r="1272" spans="3:4" x14ac:dyDescent="0.3">
      <c r="C1272" s="126"/>
      <c r="D1272" s="126"/>
    </row>
    <row r="1273" spans="3:4" x14ac:dyDescent="0.3">
      <c r="C1273" s="126"/>
      <c r="D1273" s="126"/>
    </row>
    <row r="1274" spans="3:4" x14ac:dyDescent="0.3">
      <c r="C1274" s="126"/>
      <c r="D1274" s="126"/>
    </row>
    <row r="1275" spans="3:4" x14ac:dyDescent="0.3">
      <c r="C1275" s="126"/>
      <c r="D1275" s="126"/>
    </row>
    <row r="1276" spans="3:4" x14ac:dyDescent="0.3">
      <c r="C1276" s="126"/>
      <c r="D1276" s="126"/>
    </row>
    <row r="1277" spans="3:4" x14ac:dyDescent="0.3">
      <c r="C1277" s="126"/>
      <c r="D1277" s="126"/>
    </row>
    <row r="1278" spans="3:4" x14ac:dyDescent="0.3">
      <c r="C1278" s="126"/>
      <c r="D1278" s="126"/>
    </row>
    <row r="1279" spans="3:4" x14ac:dyDescent="0.3">
      <c r="C1279" s="126"/>
      <c r="D1279" s="126"/>
    </row>
    <row r="1280" spans="3:4" x14ac:dyDescent="0.3">
      <c r="C1280" s="126"/>
      <c r="D1280" s="126"/>
    </row>
    <row r="1281" spans="3:4" x14ac:dyDescent="0.3">
      <c r="C1281" s="126"/>
      <c r="D1281" s="126"/>
    </row>
    <row r="1282" spans="3:4" x14ac:dyDescent="0.3">
      <c r="C1282" s="126"/>
      <c r="D1282" s="126"/>
    </row>
    <row r="1283" spans="3:4" x14ac:dyDescent="0.3">
      <c r="C1283" s="126"/>
      <c r="D1283" s="126"/>
    </row>
    <row r="1284" spans="3:4" x14ac:dyDescent="0.3">
      <c r="C1284" s="126"/>
      <c r="D1284" s="126"/>
    </row>
    <row r="1285" spans="3:4" x14ac:dyDescent="0.3">
      <c r="C1285" s="126"/>
      <c r="D1285" s="126"/>
    </row>
    <row r="1286" spans="3:4" x14ac:dyDescent="0.3">
      <c r="C1286" s="126"/>
      <c r="D1286" s="126"/>
    </row>
    <row r="1287" spans="3:4" x14ac:dyDescent="0.3">
      <c r="C1287" s="126"/>
      <c r="D1287" s="126"/>
    </row>
    <row r="1288" spans="3:4" x14ac:dyDescent="0.3">
      <c r="C1288" s="126"/>
      <c r="D1288" s="126"/>
    </row>
    <row r="1289" spans="3:4" x14ac:dyDescent="0.3">
      <c r="C1289" s="126"/>
      <c r="D1289" s="126"/>
    </row>
    <row r="1290" spans="3:4" x14ac:dyDescent="0.3">
      <c r="C1290" s="126"/>
      <c r="D1290" s="126"/>
    </row>
    <row r="1291" spans="3:4" x14ac:dyDescent="0.3">
      <c r="C1291" s="126"/>
      <c r="D1291" s="126"/>
    </row>
    <row r="1292" spans="3:4" x14ac:dyDescent="0.3">
      <c r="C1292" s="126"/>
      <c r="D1292" s="126"/>
    </row>
    <row r="1293" spans="3:4" x14ac:dyDescent="0.3">
      <c r="C1293" s="126"/>
      <c r="D1293" s="126"/>
    </row>
    <row r="1294" spans="3:4" x14ac:dyDescent="0.3">
      <c r="C1294" s="126"/>
      <c r="D1294" s="126"/>
    </row>
    <row r="1295" spans="3:4" x14ac:dyDescent="0.3">
      <c r="C1295" s="126"/>
      <c r="D1295" s="126"/>
    </row>
    <row r="1296" spans="3:4" x14ac:dyDescent="0.3">
      <c r="C1296" s="126"/>
      <c r="D1296" s="126"/>
    </row>
    <row r="1297" spans="3:4" x14ac:dyDescent="0.3">
      <c r="C1297" s="126"/>
      <c r="D1297" s="126"/>
    </row>
    <row r="1298" spans="3:4" x14ac:dyDescent="0.3">
      <c r="C1298" s="126"/>
      <c r="D1298" s="126"/>
    </row>
    <row r="1299" spans="3:4" x14ac:dyDescent="0.3">
      <c r="C1299" s="126"/>
      <c r="D1299" s="126"/>
    </row>
    <row r="1300" spans="3:4" x14ac:dyDescent="0.3">
      <c r="C1300" s="126"/>
      <c r="D1300" s="126"/>
    </row>
    <row r="1301" spans="3:4" x14ac:dyDescent="0.3">
      <c r="C1301" s="126"/>
      <c r="D1301" s="126"/>
    </row>
    <row r="1302" spans="3:4" x14ac:dyDescent="0.3">
      <c r="C1302" s="126"/>
      <c r="D1302" s="126"/>
    </row>
    <row r="1303" spans="3:4" x14ac:dyDescent="0.3">
      <c r="C1303" s="126"/>
      <c r="D1303" s="126"/>
    </row>
    <row r="1304" spans="3:4" x14ac:dyDescent="0.3">
      <c r="C1304" s="126"/>
      <c r="D1304" s="126"/>
    </row>
    <row r="1305" spans="3:4" x14ac:dyDescent="0.3">
      <c r="C1305" s="126"/>
      <c r="D1305" s="126"/>
    </row>
    <row r="1306" spans="3:4" x14ac:dyDescent="0.3">
      <c r="C1306" s="126"/>
      <c r="D1306" s="126"/>
    </row>
    <row r="1307" spans="3:4" x14ac:dyDescent="0.3">
      <c r="C1307" s="126"/>
      <c r="D1307" s="126"/>
    </row>
    <row r="1308" spans="3:4" x14ac:dyDescent="0.3">
      <c r="C1308" s="126"/>
      <c r="D1308" s="126"/>
    </row>
    <row r="1309" spans="3:4" x14ac:dyDescent="0.3">
      <c r="C1309" s="126"/>
      <c r="D1309" s="126"/>
    </row>
    <row r="1310" spans="3:4" x14ac:dyDescent="0.3">
      <c r="C1310" s="126"/>
      <c r="D1310" s="126"/>
    </row>
    <row r="1311" spans="3:4" x14ac:dyDescent="0.3">
      <c r="C1311" s="126"/>
      <c r="D1311" s="126"/>
    </row>
    <row r="1312" spans="3:4" x14ac:dyDescent="0.3">
      <c r="C1312" s="126"/>
      <c r="D1312" s="126"/>
    </row>
    <row r="1313" spans="3:4" x14ac:dyDescent="0.3">
      <c r="C1313" s="126"/>
      <c r="D1313" s="126"/>
    </row>
    <row r="1314" spans="3:4" x14ac:dyDescent="0.3">
      <c r="C1314" s="126"/>
      <c r="D1314" s="126"/>
    </row>
    <row r="1315" spans="3:4" x14ac:dyDescent="0.3">
      <c r="C1315" s="126"/>
      <c r="D1315" s="126"/>
    </row>
    <row r="1316" spans="3:4" x14ac:dyDescent="0.3">
      <c r="C1316" s="126"/>
      <c r="D1316" s="126"/>
    </row>
    <row r="1317" spans="3:4" x14ac:dyDescent="0.3">
      <c r="C1317" s="126"/>
      <c r="D1317" s="126"/>
    </row>
    <row r="1318" spans="3:4" x14ac:dyDescent="0.3">
      <c r="C1318" s="126"/>
      <c r="D1318" s="126"/>
    </row>
    <row r="1319" spans="3:4" x14ac:dyDescent="0.3">
      <c r="C1319" s="126"/>
      <c r="D1319" s="126"/>
    </row>
    <row r="1320" spans="3:4" x14ac:dyDescent="0.3">
      <c r="C1320" s="126"/>
      <c r="D1320" s="126"/>
    </row>
    <row r="1321" spans="3:4" x14ac:dyDescent="0.3">
      <c r="C1321" s="126"/>
      <c r="D1321" s="126"/>
    </row>
    <row r="1322" spans="3:4" x14ac:dyDescent="0.3">
      <c r="C1322" s="126"/>
      <c r="D1322" s="126"/>
    </row>
    <row r="1323" spans="3:4" x14ac:dyDescent="0.3">
      <c r="C1323" s="126"/>
      <c r="D1323" s="126"/>
    </row>
    <row r="1324" spans="3:4" x14ac:dyDescent="0.3">
      <c r="C1324" s="126"/>
      <c r="D1324" s="126"/>
    </row>
    <row r="1325" spans="3:4" x14ac:dyDescent="0.3">
      <c r="C1325" s="126"/>
      <c r="D1325" s="126"/>
    </row>
    <row r="1326" spans="3:4" x14ac:dyDescent="0.3">
      <c r="C1326" s="126"/>
      <c r="D1326" s="126"/>
    </row>
    <row r="1327" spans="3:4" x14ac:dyDescent="0.3">
      <c r="C1327" s="126"/>
      <c r="D1327" s="126"/>
    </row>
    <row r="1328" spans="3:4" x14ac:dyDescent="0.3">
      <c r="C1328" s="126"/>
      <c r="D1328" s="126"/>
    </row>
    <row r="1329" spans="3:4" x14ac:dyDescent="0.3">
      <c r="C1329" s="126"/>
      <c r="D1329" s="126"/>
    </row>
    <row r="1330" spans="3:4" x14ac:dyDescent="0.3">
      <c r="C1330" s="126"/>
      <c r="D1330" s="126"/>
    </row>
    <row r="1331" spans="3:4" x14ac:dyDescent="0.3">
      <c r="C1331" s="126"/>
      <c r="D1331" s="126"/>
    </row>
    <row r="1332" spans="3:4" x14ac:dyDescent="0.3">
      <c r="C1332" s="126"/>
      <c r="D1332" s="126"/>
    </row>
    <row r="1333" spans="3:4" x14ac:dyDescent="0.3">
      <c r="C1333" s="126"/>
      <c r="D1333" s="126"/>
    </row>
    <row r="1334" spans="3:4" x14ac:dyDescent="0.3">
      <c r="C1334" s="126"/>
      <c r="D1334" s="126"/>
    </row>
    <row r="1335" spans="3:4" x14ac:dyDescent="0.3">
      <c r="C1335" s="126"/>
      <c r="D1335" s="126"/>
    </row>
    <row r="1336" spans="3:4" x14ac:dyDescent="0.3">
      <c r="C1336" s="126"/>
      <c r="D1336" s="126"/>
    </row>
    <row r="1337" spans="3:4" x14ac:dyDescent="0.3">
      <c r="C1337" s="126"/>
      <c r="D1337" s="126"/>
    </row>
    <row r="1338" spans="3:4" x14ac:dyDescent="0.3">
      <c r="C1338" s="126"/>
      <c r="D1338" s="126"/>
    </row>
    <row r="1339" spans="3:4" x14ac:dyDescent="0.3">
      <c r="C1339" s="126"/>
      <c r="D1339" s="126"/>
    </row>
    <row r="1340" spans="3:4" x14ac:dyDescent="0.3">
      <c r="C1340" s="126"/>
      <c r="D1340" s="126"/>
    </row>
    <row r="1341" spans="3:4" x14ac:dyDescent="0.3">
      <c r="C1341" s="126"/>
      <c r="D1341" s="126"/>
    </row>
    <row r="1342" spans="3:4" x14ac:dyDescent="0.3">
      <c r="C1342" s="126"/>
      <c r="D1342" s="126"/>
    </row>
    <row r="1343" spans="3:4" x14ac:dyDescent="0.3">
      <c r="C1343" s="126"/>
      <c r="D1343" s="126"/>
    </row>
    <row r="1344" spans="3:4" x14ac:dyDescent="0.3">
      <c r="C1344" s="126"/>
      <c r="D1344" s="126"/>
    </row>
    <row r="1345" spans="3:4" x14ac:dyDescent="0.3">
      <c r="C1345" s="126"/>
      <c r="D1345" s="126"/>
    </row>
    <row r="1346" spans="3:4" x14ac:dyDescent="0.3">
      <c r="C1346" s="126"/>
      <c r="D1346" s="126"/>
    </row>
    <row r="1347" spans="3:4" x14ac:dyDescent="0.3">
      <c r="C1347" s="126"/>
      <c r="D1347" s="126"/>
    </row>
    <row r="1348" spans="3:4" x14ac:dyDescent="0.3">
      <c r="C1348" s="126"/>
      <c r="D1348" s="126"/>
    </row>
    <row r="1349" spans="3:4" x14ac:dyDescent="0.3">
      <c r="C1349" s="126"/>
      <c r="D1349" s="126"/>
    </row>
    <row r="1350" spans="3:4" x14ac:dyDescent="0.3">
      <c r="C1350" s="126"/>
      <c r="D1350" s="126"/>
    </row>
    <row r="1351" spans="3:4" x14ac:dyDescent="0.3">
      <c r="C1351" s="126"/>
      <c r="D1351" s="126"/>
    </row>
    <row r="1352" spans="3:4" x14ac:dyDescent="0.3">
      <c r="C1352" s="126"/>
      <c r="D1352" s="126"/>
    </row>
    <row r="1353" spans="3:4" x14ac:dyDescent="0.3">
      <c r="C1353" s="126"/>
      <c r="D1353" s="126"/>
    </row>
    <row r="1354" spans="3:4" x14ac:dyDescent="0.3">
      <c r="C1354" s="126"/>
      <c r="D1354" s="126"/>
    </row>
    <row r="1355" spans="3:4" x14ac:dyDescent="0.3">
      <c r="C1355" s="126"/>
      <c r="D1355" s="126"/>
    </row>
    <row r="1356" spans="3:4" x14ac:dyDescent="0.3">
      <c r="C1356" s="126"/>
      <c r="D1356" s="126"/>
    </row>
    <row r="1357" spans="3:4" x14ac:dyDescent="0.3">
      <c r="C1357" s="126"/>
      <c r="D1357" s="126"/>
    </row>
    <row r="1358" spans="3:4" x14ac:dyDescent="0.3">
      <c r="C1358" s="126"/>
      <c r="D1358" s="126"/>
    </row>
    <row r="1359" spans="3:4" x14ac:dyDescent="0.3">
      <c r="C1359" s="126"/>
      <c r="D1359" s="126"/>
    </row>
    <row r="1360" spans="3:4" x14ac:dyDescent="0.3">
      <c r="C1360" s="126"/>
      <c r="D1360" s="126"/>
    </row>
    <row r="1361" spans="3:4" x14ac:dyDescent="0.3">
      <c r="C1361" s="126"/>
      <c r="D1361" s="126"/>
    </row>
    <row r="1362" spans="3:4" x14ac:dyDescent="0.3">
      <c r="C1362" s="126"/>
      <c r="D1362" s="126"/>
    </row>
    <row r="1363" spans="3:4" x14ac:dyDescent="0.3">
      <c r="C1363" s="126"/>
      <c r="D1363" s="126"/>
    </row>
    <row r="1364" spans="3:4" x14ac:dyDescent="0.3">
      <c r="C1364" s="126"/>
      <c r="D1364" s="126"/>
    </row>
    <row r="1365" spans="3:4" x14ac:dyDescent="0.3">
      <c r="C1365" s="126"/>
      <c r="D1365" s="126"/>
    </row>
    <row r="1366" spans="3:4" x14ac:dyDescent="0.3">
      <c r="C1366" s="126"/>
      <c r="D1366" s="126"/>
    </row>
    <row r="1367" spans="3:4" x14ac:dyDescent="0.3">
      <c r="C1367" s="126"/>
      <c r="D1367" s="126"/>
    </row>
    <row r="1368" spans="3:4" x14ac:dyDescent="0.3">
      <c r="C1368" s="126"/>
      <c r="D1368" s="126"/>
    </row>
    <row r="1369" spans="3:4" x14ac:dyDescent="0.3">
      <c r="C1369" s="126"/>
      <c r="D1369" s="126"/>
    </row>
    <row r="1370" spans="3:4" x14ac:dyDescent="0.3">
      <c r="C1370" s="126"/>
      <c r="D1370" s="126"/>
    </row>
    <row r="1371" spans="3:4" x14ac:dyDescent="0.3">
      <c r="C1371" s="126"/>
      <c r="D1371" s="126"/>
    </row>
    <row r="1372" spans="3:4" x14ac:dyDescent="0.3">
      <c r="C1372" s="126"/>
      <c r="D1372" s="126"/>
    </row>
    <row r="1373" spans="3:4" x14ac:dyDescent="0.3">
      <c r="C1373" s="126"/>
      <c r="D1373" s="126"/>
    </row>
    <row r="1374" spans="3:4" x14ac:dyDescent="0.3">
      <c r="C1374" s="126"/>
      <c r="D1374" s="126"/>
    </row>
    <row r="1375" spans="3:4" x14ac:dyDescent="0.3">
      <c r="C1375" s="126"/>
      <c r="D1375" s="126"/>
    </row>
    <row r="1376" spans="3:4" x14ac:dyDescent="0.3">
      <c r="C1376" s="126"/>
      <c r="D1376" s="126"/>
    </row>
    <row r="1377" spans="3:4" x14ac:dyDescent="0.3">
      <c r="C1377" s="126"/>
      <c r="D1377" s="126"/>
    </row>
    <row r="1378" spans="3:4" x14ac:dyDescent="0.3">
      <c r="C1378" s="126"/>
      <c r="D1378" s="126"/>
    </row>
    <row r="1379" spans="3:4" x14ac:dyDescent="0.3">
      <c r="C1379" s="126"/>
      <c r="D1379" s="126"/>
    </row>
    <row r="1380" spans="3:4" x14ac:dyDescent="0.3">
      <c r="C1380" s="126"/>
      <c r="D1380" s="126"/>
    </row>
    <row r="1381" spans="3:4" x14ac:dyDescent="0.3">
      <c r="C1381" s="126"/>
      <c r="D1381" s="126"/>
    </row>
    <row r="1382" spans="3:4" x14ac:dyDescent="0.3">
      <c r="C1382" s="126"/>
      <c r="D1382" s="126"/>
    </row>
    <row r="1383" spans="3:4" x14ac:dyDescent="0.3">
      <c r="C1383" s="126"/>
      <c r="D1383" s="126"/>
    </row>
    <row r="1384" spans="3:4" x14ac:dyDescent="0.3">
      <c r="C1384" s="126"/>
      <c r="D1384" s="126"/>
    </row>
    <row r="1385" spans="3:4" x14ac:dyDescent="0.3">
      <c r="C1385" s="126"/>
      <c r="D1385" s="126"/>
    </row>
    <row r="1386" spans="3:4" x14ac:dyDescent="0.3">
      <c r="C1386" s="126"/>
      <c r="D1386" s="126"/>
    </row>
    <row r="1387" spans="3:4" x14ac:dyDescent="0.3">
      <c r="C1387" s="126"/>
      <c r="D1387" s="126"/>
    </row>
    <row r="1388" spans="3:4" x14ac:dyDescent="0.3">
      <c r="C1388" s="126"/>
      <c r="D1388" s="126"/>
    </row>
    <row r="1389" spans="3:4" x14ac:dyDescent="0.3">
      <c r="C1389" s="126"/>
      <c r="D1389" s="126"/>
    </row>
    <row r="1390" spans="3:4" x14ac:dyDescent="0.3">
      <c r="C1390" s="126"/>
      <c r="D1390" s="126"/>
    </row>
    <row r="1391" spans="3:4" x14ac:dyDescent="0.3">
      <c r="C1391" s="126"/>
      <c r="D1391" s="126"/>
    </row>
    <row r="1392" spans="3:4" x14ac:dyDescent="0.3">
      <c r="C1392" s="126"/>
      <c r="D1392" s="126"/>
    </row>
    <row r="1393" spans="3:4" x14ac:dyDescent="0.3">
      <c r="C1393" s="126"/>
      <c r="D1393" s="126"/>
    </row>
    <row r="1394" spans="3:4" x14ac:dyDescent="0.3">
      <c r="C1394" s="126"/>
      <c r="D1394" s="126"/>
    </row>
    <row r="1395" spans="3:4" x14ac:dyDescent="0.3">
      <c r="C1395" s="126"/>
      <c r="D1395" s="126"/>
    </row>
    <row r="1396" spans="3:4" x14ac:dyDescent="0.3">
      <c r="C1396" s="126"/>
      <c r="D1396" s="126"/>
    </row>
    <row r="1397" spans="3:4" x14ac:dyDescent="0.3">
      <c r="C1397" s="126"/>
      <c r="D1397" s="126"/>
    </row>
    <row r="1398" spans="3:4" x14ac:dyDescent="0.3">
      <c r="C1398" s="126"/>
      <c r="D1398" s="126"/>
    </row>
    <row r="1399" spans="3:4" x14ac:dyDescent="0.3">
      <c r="C1399" s="126"/>
      <c r="D1399" s="126"/>
    </row>
    <row r="1400" spans="3:4" x14ac:dyDescent="0.3">
      <c r="C1400" s="126"/>
      <c r="D1400" s="126"/>
    </row>
    <row r="1401" spans="3:4" x14ac:dyDescent="0.3">
      <c r="C1401" s="126"/>
      <c r="D1401" s="126"/>
    </row>
    <row r="1402" spans="3:4" x14ac:dyDescent="0.3">
      <c r="C1402" s="126"/>
      <c r="D1402" s="126"/>
    </row>
    <row r="1403" spans="3:4" x14ac:dyDescent="0.3">
      <c r="C1403" s="126"/>
      <c r="D1403" s="126"/>
    </row>
    <row r="1404" spans="3:4" x14ac:dyDescent="0.3">
      <c r="C1404" s="126"/>
      <c r="D1404" s="126"/>
    </row>
    <row r="1405" spans="3:4" x14ac:dyDescent="0.3">
      <c r="C1405" s="126"/>
      <c r="D1405" s="126"/>
    </row>
    <row r="1406" spans="3:4" x14ac:dyDescent="0.3">
      <c r="C1406" s="126"/>
      <c r="D1406" s="126"/>
    </row>
    <row r="1407" spans="3:4" x14ac:dyDescent="0.3">
      <c r="C1407" s="126"/>
      <c r="D1407" s="126"/>
    </row>
    <row r="1408" spans="3:4" x14ac:dyDescent="0.3">
      <c r="C1408" s="126"/>
      <c r="D1408" s="126"/>
    </row>
    <row r="1409" spans="3:4" x14ac:dyDescent="0.3">
      <c r="C1409" s="126"/>
      <c r="D1409" s="126"/>
    </row>
    <row r="1410" spans="3:4" x14ac:dyDescent="0.3">
      <c r="C1410" s="126"/>
      <c r="D1410" s="126"/>
    </row>
    <row r="1411" spans="3:4" x14ac:dyDescent="0.3">
      <c r="C1411" s="126"/>
      <c r="D1411" s="126"/>
    </row>
    <row r="1412" spans="3:4" x14ac:dyDescent="0.3">
      <c r="C1412" s="126"/>
      <c r="D1412" s="126"/>
    </row>
    <row r="1413" spans="3:4" x14ac:dyDescent="0.3">
      <c r="C1413" s="126"/>
      <c r="D1413" s="126"/>
    </row>
    <row r="1414" spans="3:4" x14ac:dyDescent="0.3">
      <c r="C1414" s="126"/>
      <c r="D1414" s="126"/>
    </row>
    <row r="1415" spans="3:4" x14ac:dyDescent="0.3">
      <c r="C1415" s="126"/>
      <c r="D1415" s="126"/>
    </row>
    <row r="1416" spans="3:4" x14ac:dyDescent="0.3">
      <c r="C1416" s="126"/>
      <c r="D1416" s="126"/>
    </row>
    <row r="1417" spans="3:4" x14ac:dyDescent="0.3">
      <c r="C1417" s="126"/>
      <c r="D1417" s="126"/>
    </row>
    <row r="1418" spans="3:4" x14ac:dyDescent="0.3">
      <c r="C1418" s="126"/>
      <c r="D1418" s="126"/>
    </row>
    <row r="1419" spans="3:4" x14ac:dyDescent="0.3">
      <c r="C1419" s="126"/>
      <c r="D1419" s="126"/>
    </row>
    <row r="1420" spans="3:4" x14ac:dyDescent="0.3">
      <c r="C1420" s="126"/>
      <c r="D1420" s="126"/>
    </row>
    <row r="1421" spans="3:4" x14ac:dyDescent="0.3">
      <c r="C1421" s="126"/>
      <c r="D1421" s="126"/>
    </row>
    <row r="1422" spans="3:4" x14ac:dyDescent="0.3">
      <c r="C1422" s="126"/>
      <c r="D1422" s="126"/>
    </row>
    <row r="1423" spans="3:4" x14ac:dyDescent="0.3">
      <c r="C1423" s="126"/>
      <c r="D1423" s="126"/>
    </row>
    <row r="1424" spans="3:4" x14ac:dyDescent="0.3">
      <c r="C1424" s="126"/>
      <c r="D1424" s="126"/>
    </row>
    <row r="1425" spans="3:4" x14ac:dyDescent="0.3">
      <c r="C1425" s="126"/>
      <c r="D1425" s="126"/>
    </row>
    <row r="1426" spans="3:4" x14ac:dyDescent="0.3">
      <c r="C1426" s="126"/>
      <c r="D1426" s="126"/>
    </row>
    <row r="1427" spans="3:4" x14ac:dyDescent="0.3">
      <c r="C1427" s="126"/>
      <c r="D1427" s="126"/>
    </row>
    <row r="1428" spans="3:4" x14ac:dyDescent="0.3">
      <c r="C1428" s="126"/>
      <c r="D1428" s="126"/>
    </row>
    <row r="1429" spans="3:4" x14ac:dyDescent="0.3">
      <c r="C1429" s="126"/>
      <c r="D1429" s="126"/>
    </row>
    <row r="1430" spans="3:4" x14ac:dyDescent="0.3">
      <c r="C1430" s="126"/>
      <c r="D1430" s="126"/>
    </row>
    <row r="1431" spans="3:4" x14ac:dyDescent="0.3">
      <c r="C1431" s="126"/>
      <c r="D1431" s="126"/>
    </row>
    <row r="1432" spans="3:4" x14ac:dyDescent="0.3">
      <c r="C1432" s="126"/>
      <c r="D1432" s="126"/>
    </row>
    <row r="1433" spans="3:4" x14ac:dyDescent="0.3">
      <c r="C1433" s="126"/>
      <c r="D1433" s="126"/>
    </row>
    <row r="1434" spans="3:4" x14ac:dyDescent="0.3">
      <c r="C1434" s="126"/>
      <c r="D1434" s="126"/>
    </row>
    <row r="1435" spans="3:4" x14ac:dyDescent="0.3">
      <c r="C1435" s="126"/>
      <c r="D1435" s="126"/>
    </row>
    <row r="1436" spans="3:4" x14ac:dyDescent="0.3">
      <c r="C1436" s="126"/>
      <c r="D1436" s="126"/>
    </row>
    <row r="1437" spans="3:4" x14ac:dyDescent="0.3">
      <c r="C1437" s="126"/>
      <c r="D1437" s="126"/>
    </row>
    <row r="1438" spans="3:4" x14ac:dyDescent="0.3">
      <c r="C1438" s="126"/>
      <c r="D1438" s="126"/>
    </row>
    <row r="1439" spans="3:4" x14ac:dyDescent="0.3">
      <c r="C1439" s="126"/>
      <c r="D1439" s="126"/>
    </row>
    <row r="1440" spans="3:4" x14ac:dyDescent="0.3">
      <c r="C1440" s="126"/>
      <c r="D1440" s="126"/>
    </row>
    <row r="1441" spans="3:4" x14ac:dyDescent="0.3">
      <c r="C1441" s="126"/>
      <c r="D1441" s="126"/>
    </row>
    <row r="1442" spans="3:4" x14ac:dyDescent="0.3">
      <c r="C1442" s="126"/>
      <c r="D1442" s="126"/>
    </row>
    <row r="1443" spans="3:4" x14ac:dyDescent="0.3">
      <c r="C1443" s="126"/>
      <c r="D1443" s="126"/>
    </row>
    <row r="1444" spans="3:4" x14ac:dyDescent="0.3">
      <c r="C1444" s="126"/>
      <c r="D1444" s="126"/>
    </row>
    <row r="1445" spans="3:4" x14ac:dyDescent="0.3">
      <c r="C1445" s="126"/>
      <c r="D1445" s="126"/>
    </row>
    <row r="1446" spans="3:4" x14ac:dyDescent="0.3">
      <c r="C1446" s="126"/>
      <c r="D1446" s="126"/>
    </row>
    <row r="1447" spans="3:4" x14ac:dyDescent="0.3">
      <c r="C1447" s="126"/>
      <c r="D1447" s="126"/>
    </row>
    <row r="1448" spans="3:4" x14ac:dyDescent="0.3">
      <c r="C1448" s="126"/>
      <c r="D1448" s="126"/>
    </row>
    <row r="1449" spans="3:4" x14ac:dyDescent="0.3">
      <c r="C1449" s="126"/>
      <c r="D1449" s="126"/>
    </row>
    <row r="1450" spans="3:4" x14ac:dyDescent="0.3">
      <c r="C1450" s="126"/>
      <c r="D1450" s="126"/>
    </row>
    <row r="1451" spans="3:4" x14ac:dyDescent="0.3">
      <c r="C1451" s="126"/>
      <c r="D1451" s="126"/>
    </row>
    <row r="1452" spans="3:4" x14ac:dyDescent="0.3">
      <c r="C1452" s="126"/>
      <c r="D1452" s="126"/>
    </row>
    <row r="1453" spans="3:4" x14ac:dyDescent="0.3">
      <c r="C1453" s="126"/>
      <c r="D1453" s="126"/>
    </row>
    <row r="1454" spans="3:4" x14ac:dyDescent="0.3">
      <c r="C1454" s="126"/>
      <c r="D1454" s="126"/>
    </row>
    <row r="1455" spans="3:4" x14ac:dyDescent="0.3">
      <c r="C1455" s="126"/>
      <c r="D1455" s="126"/>
    </row>
    <row r="1456" spans="3:4" x14ac:dyDescent="0.3">
      <c r="C1456" s="126"/>
      <c r="D1456" s="126"/>
    </row>
    <row r="1457" spans="3:4" x14ac:dyDescent="0.3">
      <c r="C1457" s="126"/>
      <c r="D1457" s="126"/>
    </row>
    <row r="1458" spans="3:4" x14ac:dyDescent="0.3">
      <c r="C1458" s="126"/>
      <c r="D1458" s="126"/>
    </row>
    <row r="1459" spans="3:4" x14ac:dyDescent="0.3">
      <c r="C1459" s="126"/>
      <c r="D1459" s="126"/>
    </row>
    <row r="1460" spans="3:4" x14ac:dyDescent="0.3">
      <c r="C1460" s="126"/>
      <c r="D1460" s="126"/>
    </row>
    <row r="1461" spans="3:4" x14ac:dyDescent="0.3">
      <c r="C1461" s="126"/>
      <c r="D1461" s="126"/>
    </row>
    <row r="1462" spans="3:4" x14ac:dyDescent="0.3">
      <c r="C1462" s="126"/>
      <c r="D1462" s="126"/>
    </row>
    <row r="1463" spans="3:4" x14ac:dyDescent="0.3">
      <c r="C1463" s="126"/>
      <c r="D1463" s="126"/>
    </row>
    <row r="1464" spans="3:4" x14ac:dyDescent="0.3">
      <c r="C1464" s="126"/>
      <c r="D1464" s="126"/>
    </row>
    <row r="1465" spans="3:4" x14ac:dyDescent="0.3">
      <c r="C1465" s="126"/>
      <c r="D1465" s="126"/>
    </row>
    <row r="1466" spans="3:4" x14ac:dyDescent="0.3">
      <c r="C1466" s="126"/>
      <c r="D1466" s="126"/>
    </row>
    <row r="1467" spans="3:4" x14ac:dyDescent="0.3">
      <c r="C1467" s="126"/>
      <c r="D1467" s="126"/>
    </row>
    <row r="1468" spans="3:4" x14ac:dyDescent="0.3">
      <c r="C1468" s="126"/>
      <c r="D1468" s="126"/>
    </row>
    <row r="1469" spans="3:4" x14ac:dyDescent="0.3">
      <c r="C1469" s="126"/>
      <c r="D1469" s="126"/>
    </row>
    <row r="1470" spans="3:4" x14ac:dyDescent="0.3">
      <c r="C1470" s="126"/>
      <c r="D1470" s="126"/>
    </row>
    <row r="1471" spans="3:4" x14ac:dyDescent="0.3">
      <c r="C1471" s="126"/>
      <c r="D1471" s="126"/>
    </row>
    <row r="1472" spans="3:4" x14ac:dyDescent="0.3">
      <c r="C1472" s="126"/>
      <c r="D1472" s="126"/>
    </row>
    <row r="1473" spans="3:4" x14ac:dyDescent="0.3">
      <c r="C1473" s="126"/>
      <c r="D1473" s="126"/>
    </row>
    <row r="1474" spans="3:4" x14ac:dyDescent="0.3">
      <c r="C1474" s="126"/>
      <c r="D1474" s="126"/>
    </row>
    <row r="1475" spans="3:4" x14ac:dyDescent="0.3">
      <c r="C1475" s="126"/>
      <c r="D1475" s="126"/>
    </row>
    <row r="1476" spans="3:4" x14ac:dyDescent="0.3">
      <c r="C1476" s="126"/>
      <c r="D1476" s="126"/>
    </row>
    <row r="1477" spans="3:4" x14ac:dyDescent="0.3">
      <c r="C1477" s="126"/>
      <c r="D1477" s="126"/>
    </row>
    <row r="1478" spans="3:4" x14ac:dyDescent="0.3">
      <c r="C1478" s="126"/>
      <c r="D1478" s="126"/>
    </row>
    <row r="1479" spans="3:4" x14ac:dyDescent="0.3">
      <c r="C1479" s="126"/>
      <c r="D1479" s="126"/>
    </row>
    <row r="1480" spans="3:4" x14ac:dyDescent="0.3">
      <c r="C1480" s="126"/>
      <c r="D1480" s="126"/>
    </row>
    <row r="1481" spans="3:4" x14ac:dyDescent="0.3">
      <c r="C1481" s="126"/>
      <c r="D1481" s="126"/>
    </row>
    <row r="1482" spans="3:4" x14ac:dyDescent="0.3">
      <c r="C1482" s="126"/>
      <c r="D1482" s="126"/>
    </row>
    <row r="1483" spans="3:4" x14ac:dyDescent="0.3">
      <c r="C1483" s="126"/>
      <c r="D1483" s="126"/>
    </row>
    <row r="1484" spans="3:4" x14ac:dyDescent="0.3">
      <c r="C1484" s="126"/>
      <c r="D1484" s="126"/>
    </row>
    <row r="1485" spans="3:4" x14ac:dyDescent="0.3">
      <c r="C1485" s="126"/>
      <c r="D1485" s="126"/>
    </row>
    <row r="1486" spans="3:4" x14ac:dyDescent="0.3">
      <c r="C1486" s="126"/>
      <c r="D1486" s="126"/>
    </row>
    <row r="1487" spans="3:4" x14ac:dyDescent="0.3">
      <c r="C1487" s="126"/>
      <c r="D1487" s="126"/>
    </row>
    <row r="1488" spans="3:4" x14ac:dyDescent="0.3">
      <c r="C1488" s="126"/>
      <c r="D1488" s="126"/>
    </row>
    <row r="1489" spans="3:4" x14ac:dyDescent="0.3">
      <c r="C1489" s="126"/>
      <c r="D1489" s="126"/>
    </row>
    <row r="1490" spans="3:4" x14ac:dyDescent="0.3">
      <c r="C1490" s="126"/>
      <c r="D1490" s="126"/>
    </row>
    <row r="1491" spans="3:4" x14ac:dyDescent="0.3">
      <c r="C1491" s="126"/>
      <c r="D1491" s="126"/>
    </row>
    <row r="1492" spans="3:4" x14ac:dyDescent="0.3">
      <c r="C1492" s="126"/>
      <c r="D1492" s="126"/>
    </row>
    <row r="1493" spans="3:4" x14ac:dyDescent="0.3">
      <c r="C1493" s="126"/>
      <c r="D1493" s="126"/>
    </row>
    <row r="1494" spans="3:4" x14ac:dyDescent="0.3">
      <c r="C1494" s="126"/>
      <c r="D1494" s="126"/>
    </row>
    <row r="1495" spans="3:4" x14ac:dyDescent="0.3">
      <c r="C1495" s="126"/>
      <c r="D1495" s="126"/>
    </row>
    <row r="1496" spans="3:4" x14ac:dyDescent="0.3">
      <c r="C1496" s="126"/>
      <c r="D1496" s="126"/>
    </row>
    <row r="1497" spans="3:4" x14ac:dyDescent="0.3">
      <c r="C1497" s="126"/>
      <c r="D1497" s="126"/>
    </row>
    <row r="1498" spans="3:4" x14ac:dyDescent="0.3">
      <c r="C1498" s="126"/>
      <c r="D1498" s="126"/>
    </row>
    <row r="1499" spans="3:4" x14ac:dyDescent="0.3">
      <c r="C1499" s="126"/>
      <c r="D1499" s="126"/>
    </row>
    <row r="1500" spans="3:4" x14ac:dyDescent="0.3">
      <c r="C1500" s="126"/>
      <c r="D1500" s="126"/>
    </row>
    <row r="1501" spans="3:4" x14ac:dyDescent="0.3">
      <c r="C1501" s="126"/>
      <c r="D1501" s="126"/>
    </row>
    <row r="1502" spans="3:4" x14ac:dyDescent="0.3">
      <c r="C1502" s="126"/>
      <c r="D1502" s="126"/>
    </row>
    <row r="1503" spans="3:4" x14ac:dyDescent="0.3">
      <c r="C1503" s="126"/>
      <c r="D1503" s="126"/>
    </row>
    <row r="1504" spans="3:4" x14ac:dyDescent="0.3">
      <c r="C1504" s="126"/>
      <c r="D1504" s="126"/>
    </row>
    <row r="1505" spans="3:4" x14ac:dyDescent="0.3">
      <c r="C1505" s="126"/>
      <c r="D1505" s="126"/>
    </row>
    <row r="1506" spans="3:4" x14ac:dyDescent="0.3">
      <c r="C1506" s="126"/>
      <c r="D1506" s="126"/>
    </row>
    <row r="1507" spans="3:4" x14ac:dyDescent="0.3">
      <c r="C1507" s="126"/>
      <c r="D1507" s="126"/>
    </row>
    <row r="1508" spans="3:4" x14ac:dyDescent="0.3">
      <c r="C1508" s="126"/>
      <c r="D1508" s="126"/>
    </row>
    <row r="1509" spans="3:4" x14ac:dyDescent="0.3">
      <c r="C1509" s="126"/>
      <c r="D1509" s="126"/>
    </row>
    <row r="1510" spans="3:4" x14ac:dyDescent="0.3">
      <c r="C1510" s="126"/>
      <c r="D1510" s="126"/>
    </row>
    <row r="1511" spans="3:4" x14ac:dyDescent="0.3">
      <c r="C1511" s="126"/>
      <c r="D1511" s="126"/>
    </row>
    <row r="1512" spans="3:4" x14ac:dyDescent="0.3">
      <c r="C1512" s="126"/>
      <c r="D1512" s="126"/>
    </row>
    <row r="1513" spans="3:4" x14ac:dyDescent="0.3">
      <c r="C1513" s="126"/>
      <c r="D1513" s="126"/>
    </row>
    <row r="1514" spans="3:4" x14ac:dyDescent="0.3">
      <c r="C1514" s="126"/>
      <c r="D1514" s="126"/>
    </row>
    <row r="1515" spans="3:4" x14ac:dyDescent="0.3">
      <c r="C1515" s="126"/>
      <c r="D1515" s="126"/>
    </row>
    <row r="1516" spans="3:4" x14ac:dyDescent="0.3">
      <c r="C1516" s="126"/>
      <c r="D1516" s="126"/>
    </row>
    <row r="1517" spans="3:4" x14ac:dyDescent="0.3">
      <c r="C1517" s="126"/>
      <c r="D1517" s="126"/>
    </row>
    <row r="1518" spans="3:4" x14ac:dyDescent="0.3">
      <c r="C1518" s="126"/>
      <c r="D1518" s="126"/>
    </row>
    <row r="1519" spans="3:4" x14ac:dyDescent="0.3">
      <c r="C1519" s="126"/>
      <c r="D1519" s="126"/>
    </row>
    <row r="1520" spans="3:4" x14ac:dyDescent="0.3">
      <c r="C1520" s="126"/>
      <c r="D1520" s="126"/>
    </row>
    <row r="1521" spans="3:4" x14ac:dyDescent="0.3">
      <c r="C1521" s="126"/>
      <c r="D1521" s="126"/>
    </row>
    <row r="1522" spans="3:4" x14ac:dyDescent="0.3">
      <c r="C1522" s="126"/>
      <c r="D1522" s="126"/>
    </row>
    <row r="1523" spans="3:4" x14ac:dyDescent="0.3">
      <c r="C1523" s="126"/>
      <c r="D1523" s="126"/>
    </row>
    <row r="1524" spans="3:4" x14ac:dyDescent="0.3">
      <c r="C1524" s="126"/>
      <c r="D1524" s="126"/>
    </row>
    <row r="1525" spans="3:4" x14ac:dyDescent="0.3">
      <c r="C1525" s="126"/>
      <c r="D1525" s="126"/>
    </row>
  </sheetData>
  <autoFilter ref="A4:AJ831" xr:uid="{CDE2237D-5D54-47A9-9093-4D6DABDEE601}">
    <filterColumn colId="2">
      <filters>
        <filter val="91"/>
      </filters>
    </filterColumn>
  </autoFilter>
  <mergeCells count="58">
    <mergeCell ref="AH3:AJ3"/>
    <mergeCell ref="E3:I3"/>
    <mergeCell ref="J3:N3"/>
    <mergeCell ref="O3:S3"/>
    <mergeCell ref="U3:Y3"/>
    <mergeCell ref="AA3:AE3"/>
    <mergeCell ref="AF193:AF208"/>
    <mergeCell ref="AF209:AF224"/>
    <mergeCell ref="AF162:AF177"/>
    <mergeCell ref="AF178:AF192"/>
    <mergeCell ref="AF5:AF20"/>
    <mergeCell ref="AF21:AF36"/>
    <mergeCell ref="AF37:AF52"/>
    <mergeCell ref="AF53:AF68"/>
    <mergeCell ref="AF69:AF84"/>
    <mergeCell ref="AF85:AF99"/>
    <mergeCell ref="AF100:AF113"/>
    <mergeCell ref="AF114:AF129"/>
    <mergeCell ref="AF130:AF145"/>
    <mergeCell ref="AF146:AF161"/>
    <mergeCell ref="AF225:AF240"/>
    <mergeCell ref="AF241:AF257"/>
    <mergeCell ref="AF258:AF275"/>
    <mergeCell ref="AF276:AF290"/>
    <mergeCell ref="AF291:AF306"/>
    <mergeCell ref="AF307:AF322"/>
    <mergeCell ref="AF323:AF337"/>
    <mergeCell ref="AF338:AF353"/>
    <mergeCell ref="AG370:AG384"/>
    <mergeCell ref="AG385:AG400"/>
    <mergeCell ref="AG354:AG369"/>
    <mergeCell ref="AG401:AG416"/>
    <mergeCell ref="AG417:AG432"/>
    <mergeCell ref="AG433:AG447"/>
    <mergeCell ref="AG448:AG462"/>
    <mergeCell ref="AG463:AG480"/>
    <mergeCell ref="AG542:AG557"/>
    <mergeCell ref="AG558:AG574"/>
    <mergeCell ref="AG575:AG589"/>
    <mergeCell ref="AG590:AG604"/>
    <mergeCell ref="AG481:AG495"/>
    <mergeCell ref="AG496:AG510"/>
    <mergeCell ref="AG511:AG525"/>
    <mergeCell ref="AG526:AG541"/>
    <mergeCell ref="AG653:AG667"/>
    <mergeCell ref="AG668:AG682"/>
    <mergeCell ref="AG683:AG697"/>
    <mergeCell ref="AG698:AG713"/>
    <mergeCell ref="AG605:AG621"/>
    <mergeCell ref="AG622:AG636"/>
    <mergeCell ref="AG637:AG652"/>
    <mergeCell ref="AG777:AG792"/>
    <mergeCell ref="AG793:AG808"/>
    <mergeCell ref="AG809:AG824"/>
    <mergeCell ref="AG714:AG729"/>
    <mergeCell ref="AG730:AG745"/>
    <mergeCell ref="AG746:AG760"/>
    <mergeCell ref="AG761:AG776"/>
  </mergeCells>
  <pageMargins left="0.7" right="0.7" top="0.75" bottom="0.75" header="0.3" footer="0.3"/>
  <pageSetup paperSize="0"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F7FACA-2595-44DA-87F6-071B813F2023}">
  <sheetPr codeName="Feuil10"/>
  <dimension ref="A1:BR117"/>
  <sheetViews>
    <sheetView tabSelected="1" topLeftCell="A37" zoomScale="80" zoomScaleNormal="80" workbookViewId="0">
      <selection activeCell="H54" sqref="H54"/>
    </sheetView>
  </sheetViews>
  <sheetFormatPr baseColWidth="10" defaultRowHeight="14.4" x14ac:dyDescent="0.3"/>
  <cols>
    <col min="1" max="1" width="11.5546875" style="241"/>
    <col min="2" max="53" width="8.77734375" customWidth="1"/>
  </cols>
  <sheetData>
    <row r="1" spans="1:54" ht="29.4" customHeight="1" x14ac:dyDescent="0.3">
      <c r="A1" s="242" t="s">
        <v>280</v>
      </c>
      <c r="B1" s="185"/>
      <c r="C1" s="185"/>
      <c r="D1" s="185"/>
      <c r="E1" s="185"/>
      <c r="F1" s="185"/>
      <c r="G1" s="185"/>
      <c r="H1" s="185"/>
      <c r="I1" s="185"/>
      <c r="J1" s="185"/>
      <c r="K1" s="185"/>
      <c r="L1" s="185"/>
      <c r="M1" s="185"/>
      <c r="N1" s="185"/>
      <c r="O1" s="185"/>
      <c r="P1" s="185"/>
      <c r="Q1" s="185"/>
      <c r="R1" s="185"/>
      <c r="S1" s="185"/>
      <c r="T1" s="185"/>
      <c r="U1" s="185"/>
      <c r="V1" s="185"/>
      <c r="W1" s="185"/>
      <c r="X1" s="185"/>
      <c r="Y1" s="185"/>
      <c r="Z1" s="185"/>
      <c r="AA1" s="185"/>
      <c r="AB1" s="185"/>
      <c r="AC1" s="185"/>
      <c r="AD1" s="185"/>
      <c r="AE1" s="185"/>
      <c r="AF1" s="185"/>
      <c r="AG1" s="185"/>
      <c r="AH1" s="185"/>
      <c r="AI1" s="185"/>
      <c r="AJ1" s="185"/>
      <c r="AK1" s="185"/>
      <c r="AL1" s="185"/>
      <c r="AM1" s="185"/>
      <c r="AN1" s="185"/>
      <c r="AO1" s="185"/>
      <c r="AP1" s="185"/>
      <c r="AQ1" s="185"/>
      <c r="AR1" s="185"/>
      <c r="AS1" s="185"/>
      <c r="AT1" s="185"/>
      <c r="AU1" s="185"/>
      <c r="AV1" s="185"/>
      <c r="AW1" s="185"/>
      <c r="AX1" s="185"/>
      <c r="AY1" s="185"/>
      <c r="AZ1" s="185"/>
      <c r="BA1" s="185"/>
    </row>
    <row r="2" spans="1:54" s="236" customFormat="1" x14ac:dyDescent="0.3">
      <c r="A2" s="242" t="s">
        <v>289</v>
      </c>
      <c r="B2" s="199">
        <v>1</v>
      </c>
      <c r="C2" s="199">
        <v>2</v>
      </c>
      <c r="D2" s="199">
        <v>3</v>
      </c>
      <c r="E2" s="199">
        <v>4</v>
      </c>
      <c r="F2" s="199">
        <v>5</v>
      </c>
      <c r="G2" s="199">
        <v>6</v>
      </c>
      <c r="H2" s="199">
        <v>7</v>
      </c>
      <c r="I2" s="199">
        <v>8</v>
      </c>
      <c r="J2" s="199">
        <v>9</v>
      </c>
      <c r="K2" s="199">
        <v>10</v>
      </c>
      <c r="L2" s="199">
        <v>11</v>
      </c>
      <c r="M2" s="199">
        <v>12</v>
      </c>
      <c r="N2" s="199">
        <v>13</v>
      </c>
      <c r="O2" s="199">
        <v>14</v>
      </c>
      <c r="P2" s="199">
        <v>15</v>
      </c>
      <c r="Q2" s="199">
        <v>16</v>
      </c>
      <c r="R2" s="199">
        <v>17</v>
      </c>
      <c r="S2" s="199">
        <v>18</v>
      </c>
      <c r="T2" s="199">
        <v>19</v>
      </c>
      <c r="U2" s="199">
        <v>20</v>
      </c>
      <c r="V2" s="199">
        <v>21</v>
      </c>
      <c r="W2" s="199">
        <v>22</v>
      </c>
      <c r="X2" s="199">
        <v>23</v>
      </c>
      <c r="Y2" s="199">
        <v>24</v>
      </c>
      <c r="Z2" s="199">
        <v>25</v>
      </c>
      <c r="AA2" s="199">
        <v>26</v>
      </c>
      <c r="AB2" s="199">
        <v>27</v>
      </c>
      <c r="AC2" s="199">
        <v>28</v>
      </c>
      <c r="AD2" s="199">
        <v>29</v>
      </c>
      <c r="AE2" s="199">
        <v>30</v>
      </c>
      <c r="AF2" s="199">
        <v>31</v>
      </c>
      <c r="AG2" s="199">
        <v>32</v>
      </c>
      <c r="AH2" s="199">
        <v>33</v>
      </c>
      <c r="AI2" s="199">
        <v>34</v>
      </c>
      <c r="AJ2" s="199">
        <v>35</v>
      </c>
      <c r="AK2" s="199">
        <v>36</v>
      </c>
      <c r="AL2" s="199">
        <v>37</v>
      </c>
      <c r="AM2" s="199">
        <v>38</v>
      </c>
      <c r="AN2" s="199">
        <v>39</v>
      </c>
      <c r="AO2" s="199">
        <v>40</v>
      </c>
      <c r="AP2" s="199">
        <v>41</v>
      </c>
      <c r="AQ2" s="199">
        <v>42</v>
      </c>
      <c r="AR2" s="199">
        <v>43</v>
      </c>
      <c r="AS2" s="199">
        <v>44</v>
      </c>
      <c r="AT2" s="199">
        <v>45</v>
      </c>
      <c r="AU2" s="199">
        <v>46</v>
      </c>
      <c r="AV2" s="199">
        <v>47</v>
      </c>
      <c r="AW2" s="199">
        <v>48</v>
      </c>
      <c r="AX2" s="199">
        <v>49</v>
      </c>
      <c r="AY2" s="199">
        <v>50</v>
      </c>
      <c r="AZ2" s="199">
        <v>51</v>
      </c>
      <c r="BA2" s="199">
        <v>52</v>
      </c>
    </row>
    <row r="3" spans="1:54" x14ac:dyDescent="0.3">
      <c r="A3" s="242">
        <v>12</v>
      </c>
      <c r="B3" s="243">
        <v>19.38</v>
      </c>
      <c r="C3" s="243">
        <v>38.76</v>
      </c>
      <c r="D3" s="243">
        <v>66.3</v>
      </c>
      <c r="E3" s="243">
        <v>25.5</v>
      </c>
      <c r="F3" s="243">
        <v>33.660000000000004</v>
      </c>
      <c r="G3" s="243">
        <v>23.46</v>
      </c>
      <c r="H3" s="243">
        <v>20.399999999999999</v>
      </c>
      <c r="I3" s="243">
        <v>22.44</v>
      </c>
      <c r="J3" s="243">
        <v>44.88</v>
      </c>
      <c r="K3" s="243">
        <v>3.25</v>
      </c>
      <c r="L3" s="243">
        <v>7</v>
      </c>
      <c r="M3" s="243">
        <v>5.5</v>
      </c>
      <c r="N3" s="243">
        <v>4.75</v>
      </c>
      <c r="O3" s="243">
        <v>22.44</v>
      </c>
      <c r="P3" s="243">
        <v>31.62</v>
      </c>
      <c r="Q3" s="243">
        <v>33.660000000000004</v>
      </c>
      <c r="R3" s="243">
        <v>13.26</v>
      </c>
      <c r="S3" s="243">
        <v>16.32</v>
      </c>
      <c r="T3" s="243">
        <v>18.36</v>
      </c>
      <c r="U3" s="243">
        <v>10.199999999999999</v>
      </c>
      <c r="V3" s="243">
        <v>24.48</v>
      </c>
      <c r="W3" s="243">
        <v>13.26</v>
      </c>
      <c r="X3" s="243">
        <v>18.36</v>
      </c>
      <c r="Y3" s="243">
        <v>20.399999999999999</v>
      </c>
      <c r="Z3" s="243">
        <v>17.34</v>
      </c>
      <c r="AA3" s="243">
        <v>10.199999999999999</v>
      </c>
      <c r="AB3" s="243">
        <v>27.54</v>
      </c>
      <c r="AC3" s="243">
        <v>12.24</v>
      </c>
      <c r="AD3" s="243">
        <v>22.44</v>
      </c>
      <c r="AE3" s="243">
        <v>17.34</v>
      </c>
      <c r="AF3" s="243">
        <v>8.16</v>
      </c>
      <c r="AG3" s="243">
        <v>11.22</v>
      </c>
      <c r="AH3" s="243">
        <v>27.54</v>
      </c>
      <c r="AI3" s="243">
        <v>15.3</v>
      </c>
      <c r="AJ3" s="243">
        <v>23.46</v>
      </c>
      <c r="AK3" s="243">
        <v>7.1400000000000006</v>
      </c>
      <c r="AL3" s="243">
        <v>14.280000000000001</v>
      </c>
      <c r="AM3" s="243">
        <v>17.34</v>
      </c>
      <c r="AN3" s="243">
        <v>13.26</v>
      </c>
      <c r="AO3" s="243">
        <v>12.24</v>
      </c>
      <c r="AP3" s="243">
        <v>19.38</v>
      </c>
      <c r="AQ3" s="243">
        <v>23.46</v>
      </c>
      <c r="AR3" s="243">
        <v>17.34</v>
      </c>
      <c r="AS3" s="243">
        <v>17.34</v>
      </c>
      <c r="AT3" s="243">
        <v>19.38</v>
      </c>
      <c r="AU3" s="243">
        <v>16.32</v>
      </c>
      <c r="AV3" s="243">
        <v>40.799999999999997</v>
      </c>
      <c r="AW3" s="243">
        <v>40.799999999999997</v>
      </c>
      <c r="AX3" s="244">
        <v>23.46</v>
      </c>
      <c r="AY3" s="244">
        <v>28.560000000000002</v>
      </c>
      <c r="AZ3" s="244">
        <v>12.24</v>
      </c>
      <c r="BA3" s="244">
        <v>8.16</v>
      </c>
    </row>
    <row r="4" spans="1:54" x14ac:dyDescent="0.3">
      <c r="A4" s="242">
        <v>14</v>
      </c>
      <c r="B4" s="243">
        <v>37.74</v>
      </c>
      <c r="C4" s="243">
        <v>79.56</v>
      </c>
      <c r="D4" s="243">
        <v>55.08</v>
      </c>
      <c r="E4" s="243">
        <v>64.260000000000005</v>
      </c>
      <c r="F4" s="243">
        <v>83.64</v>
      </c>
      <c r="G4" s="243">
        <v>54.06</v>
      </c>
      <c r="H4" s="243">
        <v>55.08</v>
      </c>
      <c r="I4" s="243">
        <v>54.06</v>
      </c>
      <c r="J4" s="243">
        <v>39.78</v>
      </c>
      <c r="K4" s="243">
        <v>80.58</v>
      </c>
      <c r="L4" s="243">
        <v>80.58</v>
      </c>
      <c r="M4" s="243">
        <v>76.5</v>
      </c>
      <c r="N4" s="243">
        <v>104.04</v>
      </c>
      <c r="O4" s="243">
        <v>47.94</v>
      </c>
      <c r="P4" s="243">
        <v>56.1</v>
      </c>
      <c r="Q4" s="243">
        <v>78.540000000000006</v>
      </c>
      <c r="R4" s="243">
        <v>83.64</v>
      </c>
      <c r="S4" s="243">
        <v>32.64</v>
      </c>
      <c r="T4" s="243">
        <v>60.18</v>
      </c>
      <c r="U4" s="243">
        <v>59.160000000000004</v>
      </c>
      <c r="V4" s="243">
        <v>61.2</v>
      </c>
      <c r="W4" s="243">
        <v>38.76</v>
      </c>
      <c r="X4" s="243">
        <v>30.6</v>
      </c>
      <c r="Y4" s="243">
        <v>48.96</v>
      </c>
      <c r="Z4" s="243">
        <v>60.18</v>
      </c>
      <c r="AA4" s="243">
        <v>42.84</v>
      </c>
      <c r="AB4" s="243">
        <v>51</v>
      </c>
      <c r="AC4" s="243">
        <v>36.72</v>
      </c>
      <c r="AD4" s="243">
        <v>58.14</v>
      </c>
      <c r="AE4" s="243">
        <v>43.86</v>
      </c>
      <c r="AF4" s="243">
        <v>67.320000000000007</v>
      </c>
      <c r="AG4" s="243">
        <v>107.10000000000001</v>
      </c>
      <c r="AH4" s="243">
        <v>40.799999999999997</v>
      </c>
      <c r="AI4" s="243">
        <v>55.08</v>
      </c>
      <c r="AJ4" s="243">
        <v>118.32000000000001</v>
      </c>
      <c r="AK4" s="243">
        <v>91.8</v>
      </c>
      <c r="AL4" s="243">
        <v>56.1</v>
      </c>
      <c r="AM4" s="243">
        <v>112.2</v>
      </c>
      <c r="AN4" s="243">
        <v>68.34</v>
      </c>
      <c r="AO4" s="243">
        <v>109.14</v>
      </c>
      <c r="AP4" s="243">
        <v>81.599999999999994</v>
      </c>
      <c r="AQ4" s="243">
        <v>82.62</v>
      </c>
      <c r="AR4" s="243">
        <v>89.76</v>
      </c>
      <c r="AS4" s="243">
        <v>91.8</v>
      </c>
      <c r="AT4" s="243">
        <v>99.960000000000008</v>
      </c>
      <c r="AU4" s="243">
        <v>91.8</v>
      </c>
      <c r="AV4" s="243">
        <v>105.06</v>
      </c>
      <c r="AW4" s="243">
        <v>91.8</v>
      </c>
      <c r="AX4" s="244">
        <v>144.84</v>
      </c>
      <c r="AY4" s="244">
        <v>179.52</v>
      </c>
      <c r="AZ4" s="244">
        <v>198.9</v>
      </c>
      <c r="BA4" s="244">
        <v>74.460000000000008</v>
      </c>
    </row>
    <row r="5" spans="1:54" x14ac:dyDescent="0.3">
      <c r="A5" s="242">
        <v>17</v>
      </c>
      <c r="B5" s="243">
        <v>2080</v>
      </c>
      <c r="C5" s="243">
        <v>2080</v>
      </c>
      <c r="D5" s="243">
        <v>2080</v>
      </c>
      <c r="E5" s="243">
        <v>2080</v>
      </c>
      <c r="F5" s="243">
        <v>2080</v>
      </c>
      <c r="G5" s="243">
        <v>2448</v>
      </c>
      <c r="H5" s="243">
        <v>2448</v>
      </c>
      <c r="I5" s="243">
        <v>2448</v>
      </c>
      <c r="J5" s="243">
        <v>2448</v>
      </c>
      <c r="K5" s="243">
        <v>2500</v>
      </c>
      <c r="L5" s="243">
        <v>2500</v>
      </c>
      <c r="M5" s="243">
        <v>2500</v>
      </c>
      <c r="N5" s="243">
        <v>9412</v>
      </c>
      <c r="O5" s="243">
        <v>5086</v>
      </c>
      <c r="P5" s="243">
        <v>2500</v>
      </c>
      <c r="Q5" s="243">
        <v>2500</v>
      </c>
      <c r="R5" s="243">
        <v>2500</v>
      </c>
      <c r="S5" s="243">
        <v>2013</v>
      </c>
      <c r="T5" s="243">
        <v>2013</v>
      </c>
      <c r="U5" s="243">
        <v>2013</v>
      </c>
      <c r="V5" s="243">
        <v>2013</v>
      </c>
      <c r="W5" s="243">
        <v>2013</v>
      </c>
      <c r="X5" s="243">
        <v>2750</v>
      </c>
      <c r="Y5" s="243">
        <v>2750</v>
      </c>
      <c r="Z5" s="243">
        <v>9277.0999999999985</v>
      </c>
      <c r="AA5" s="243">
        <v>6975.9</v>
      </c>
      <c r="AB5" s="243">
        <v>3689</v>
      </c>
      <c r="AC5" s="243">
        <v>3689</v>
      </c>
      <c r="AD5" s="243">
        <v>3689</v>
      </c>
      <c r="AE5" s="243">
        <v>3659</v>
      </c>
      <c r="AF5" s="243">
        <v>3761</v>
      </c>
      <c r="AG5" s="243">
        <v>3761</v>
      </c>
      <c r="AH5" s="243">
        <v>3761</v>
      </c>
      <c r="AI5" s="243">
        <v>3761</v>
      </c>
      <c r="AJ5" s="243">
        <v>3761</v>
      </c>
      <c r="AK5" s="243">
        <v>4540</v>
      </c>
      <c r="AL5" s="243">
        <v>4540</v>
      </c>
      <c r="AM5" s="243">
        <v>4540</v>
      </c>
      <c r="AN5" s="243">
        <v>10080</v>
      </c>
      <c r="AO5" s="243">
        <v>7200</v>
      </c>
      <c r="AP5" s="243">
        <v>5112</v>
      </c>
      <c r="AQ5" s="243">
        <v>5112</v>
      </c>
      <c r="AR5" s="243">
        <v>5112</v>
      </c>
      <c r="AS5" s="243">
        <v>5112</v>
      </c>
      <c r="AT5" s="243">
        <v>10871</v>
      </c>
      <c r="AU5" s="243">
        <v>10871</v>
      </c>
      <c r="AV5" s="243">
        <v>10871</v>
      </c>
      <c r="AW5" s="243">
        <v>10871</v>
      </c>
      <c r="AX5" s="244">
        <v>5272</v>
      </c>
      <c r="AY5" s="244">
        <v>16578</v>
      </c>
      <c r="AZ5" s="244">
        <v>12785</v>
      </c>
      <c r="BA5" s="244">
        <v>4956</v>
      </c>
    </row>
    <row r="6" spans="1:54" x14ac:dyDescent="0.3">
      <c r="A6" s="242">
        <v>18</v>
      </c>
      <c r="B6" s="243">
        <v>4133.04</v>
      </c>
      <c r="C6" s="243">
        <v>3377.2200000000003</v>
      </c>
      <c r="D6" s="243">
        <v>3178.32</v>
      </c>
      <c r="E6" s="243">
        <v>3084.48</v>
      </c>
      <c r="F6" s="243">
        <v>3337.44</v>
      </c>
      <c r="G6" s="243">
        <v>1222</v>
      </c>
      <c r="H6" s="243">
        <v>1154.5</v>
      </c>
      <c r="I6" s="243">
        <v>1295</v>
      </c>
      <c r="J6" s="243">
        <v>1382</v>
      </c>
      <c r="K6" s="243">
        <v>1259</v>
      </c>
      <c r="L6" s="243">
        <v>1366.5</v>
      </c>
      <c r="M6" s="243">
        <v>1519.5</v>
      </c>
      <c r="N6" s="243">
        <v>1478.5</v>
      </c>
      <c r="O6" s="243">
        <v>1953.6</v>
      </c>
      <c r="P6" s="243">
        <v>1672.2</v>
      </c>
      <c r="Q6" s="243">
        <v>1727.3999999999999</v>
      </c>
      <c r="R6" s="243">
        <v>1541.3999999999999</v>
      </c>
      <c r="S6" s="243">
        <v>1692</v>
      </c>
      <c r="T6" s="243">
        <v>1190.3999999999999</v>
      </c>
      <c r="U6" s="243">
        <v>1065</v>
      </c>
      <c r="V6" s="243">
        <v>1045.2</v>
      </c>
      <c r="W6" s="243">
        <v>965.4</v>
      </c>
      <c r="X6" s="243">
        <v>1227.0999999999999</v>
      </c>
      <c r="Y6" s="243">
        <v>1136.0999999999999</v>
      </c>
      <c r="Z6" s="243">
        <v>1316.6999999999998</v>
      </c>
      <c r="AA6" s="243">
        <v>1257.1999999999998</v>
      </c>
      <c r="AB6" s="243">
        <v>1740.1200000000001</v>
      </c>
      <c r="AC6" s="243">
        <v>1428</v>
      </c>
      <c r="AD6" s="243">
        <v>1695.24</v>
      </c>
      <c r="AE6" s="243">
        <v>1285.2</v>
      </c>
      <c r="AF6" s="243">
        <v>1247.2</v>
      </c>
      <c r="AG6" s="243">
        <v>830.40000000000009</v>
      </c>
      <c r="AH6" s="243">
        <v>1528</v>
      </c>
      <c r="AI6" s="243">
        <v>1027.2</v>
      </c>
      <c r="AJ6" s="243">
        <v>1017.6</v>
      </c>
      <c r="AK6" s="243">
        <v>1096.55</v>
      </c>
      <c r="AL6" s="243">
        <v>1777.1000000000001</v>
      </c>
      <c r="AM6" s="243">
        <v>1860.95</v>
      </c>
      <c r="AN6" s="243">
        <v>1842.1000000000001</v>
      </c>
      <c r="AO6" s="243">
        <v>1076.3999999999999</v>
      </c>
      <c r="AP6" s="243">
        <v>1095</v>
      </c>
      <c r="AQ6" s="243">
        <v>1010.4</v>
      </c>
      <c r="AR6" s="243">
        <v>1254</v>
      </c>
      <c r="AS6" s="243">
        <v>1617.6</v>
      </c>
      <c r="AT6" s="243">
        <v>2847.2400000000002</v>
      </c>
      <c r="AU6" s="243">
        <v>2576.6400000000003</v>
      </c>
      <c r="AV6" s="243">
        <v>3872.88</v>
      </c>
      <c r="AW6" s="243">
        <v>3564</v>
      </c>
      <c r="AX6" s="244">
        <v>3962.7000000000003</v>
      </c>
      <c r="AY6" s="244">
        <v>6038.4000000000005</v>
      </c>
      <c r="AZ6" s="244">
        <v>3767.88</v>
      </c>
      <c r="BA6" s="244">
        <v>2768.28</v>
      </c>
    </row>
    <row r="7" spans="1:54" x14ac:dyDescent="0.3">
      <c r="A7" s="242">
        <v>22</v>
      </c>
      <c r="B7" s="243">
        <v>11.22</v>
      </c>
      <c r="C7" s="243">
        <v>17.34</v>
      </c>
      <c r="D7" s="243">
        <v>16.32</v>
      </c>
      <c r="E7" s="243">
        <v>11.22</v>
      </c>
      <c r="F7" s="243">
        <v>21.42</v>
      </c>
      <c r="G7" s="243">
        <v>9.18</v>
      </c>
      <c r="H7" s="243">
        <v>22.44</v>
      </c>
      <c r="I7" s="243">
        <v>17.34</v>
      </c>
      <c r="J7" s="243">
        <v>36.72</v>
      </c>
      <c r="K7" s="243">
        <v>21.42</v>
      </c>
      <c r="L7" s="243">
        <v>16.32</v>
      </c>
      <c r="M7" s="243">
        <v>10.199999999999999</v>
      </c>
      <c r="N7" s="243">
        <v>17.34</v>
      </c>
      <c r="O7" s="243">
        <v>30.6</v>
      </c>
      <c r="P7" s="243">
        <v>132.6</v>
      </c>
      <c r="Q7" s="243">
        <v>17.34</v>
      </c>
      <c r="R7" s="243">
        <v>6.12</v>
      </c>
      <c r="S7" s="243">
        <v>4.08</v>
      </c>
      <c r="T7" s="243">
        <v>17.34</v>
      </c>
      <c r="U7" s="243">
        <v>15.3</v>
      </c>
      <c r="V7" s="243">
        <v>12.24</v>
      </c>
      <c r="W7" s="243">
        <v>11.22</v>
      </c>
      <c r="X7" s="243">
        <v>27.54</v>
      </c>
      <c r="Y7" s="243">
        <v>106.08</v>
      </c>
      <c r="Z7" s="243">
        <v>56.1</v>
      </c>
      <c r="AA7" s="243">
        <v>14.280000000000001</v>
      </c>
      <c r="AB7" s="243">
        <v>4.08</v>
      </c>
      <c r="AC7" s="243">
        <v>11.22</v>
      </c>
      <c r="AD7" s="243">
        <v>7.1400000000000006</v>
      </c>
      <c r="AE7" s="243">
        <v>2.04</v>
      </c>
      <c r="AF7" s="243">
        <v>7.1400000000000006</v>
      </c>
      <c r="AG7" s="243">
        <v>0</v>
      </c>
      <c r="AH7" s="243">
        <v>7.1400000000000006</v>
      </c>
      <c r="AI7" s="243">
        <v>7.1400000000000006</v>
      </c>
      <c r="AJ7" s="243">
        <v>1.02</v>
      </c>
      <c r="AK7" s="243">
        <v>7.1400000000000006</v>
      </c>
      <c r="AL7" s="243">
        <v>2.04</v>
      </c>
      <c r="AM7" s="243">
        <v>13.26</v>
      </c>
      <c r="AN7" s="243">
        <v>7.1400000000000006</v>
      </c>
      <c r="AO7" s="243">
        <v>2.04</v>
      </c>
      <c r="AP7" s="243">
        <v>12.24</v>
      </c>
      <c r="AQ7" s="243">
        <v>35.700000000000003</v>
      </c>
      <c r="AR7" s="243">
        <v>70.38</v>
      </c>
      <c r="AS7" s="243">
        <v>18.36</v>
      </c>
      <c r="AT7" s="243">
        <v>17.34</v>
      </c>
      <c r="AU7" s="243">
        <v>1.02</v>
      </c>
      <c r="AV7" s="243">
        <v>4.08</v>
      </c>
      <c r="AW7" s="243">
        <v>13.26</v>
      </c>
      <c r="AX7" s="244">
        <v>14.280000000000001</v>
      </c>
      <c r="AY7" s="244">
        <v>5.0999999999999996</v>
      </c>
      <c r="AZ7" s="244">
        <v>1.02</v>
      </c>
      <c r="BA7" s="244">
        <v>2.04</v>
      </c>
    </row>
    <row r="8" spans="1:54" x14ac:dyDescent="0.3">
      <c r="A8" s="242">
        <v>25</v>
      </c>
      <c r="B8" s="243">
        <v>8533.32</v>
      </c>
      <c r="C8" s="243">
        <v>7523.52</v>
      </c>
      <c r="D8" s="243">
        <v>9248.34</v>
      </c>
      <c r="E8" s="243">
        <v>9198.36</v>
      </c>
      <c r="F8" s="243">
        <v>8163.06</v>
      </c>
      <c r="G8" s="243">
        <v>9910.32</v>
      </c>
      <c r="H8" s="243">
        <v>7035.96</v>
      </c>
      <c r="I8" s="243">
        <v>8543.52</v>
      </c>
      <c r="J8" s="243">
        <v>6976.8</v>
      </c>
      <c r="K8" s="243">
        <v>7018.62</v>
      </c>
      <c r="L8" s="243">
        <v>7779.54</v>
      </c>
      <c r="M8" s="243">
        <v>6703.4400000000005</v>
      </c>
      <c r="N8" s="243">
        <v>5984.34</v>
      </c>
      <c r="O8" s="243">
        <v>4887.84</v>
      </c>
      <c r="P8" s="243">
        <v>5583.4800000000005</v>
      </c>
      <c r="Q8" s="243">
        <v>6600.42</v>
      </c>
      <c r="R8" s="243">
        <v>5538.6</v>
      </c>
      <c r="S8" s="243">
        <v>5089.8</v>
      </c>
      <c r="T8" s="243">
        <v>4761.3599999999997</v>
      </c>
      <c r="U8" s="243">
        <v>6469.86</v>
      </c>
      <c r="V8" s="243">
        <v>5855.82</v>
      </c>
      <c r="W8" s="243">
        <v>4432.92</v>
      </c>
      <c r="X8" s="243">
        <v>6328.08</v>
      </c>
      <c r="Y8" s="243">
        <v>4859.28</v>
      </c>
      <c r="Z8" s="243">
        <v>5013.3</v>
      </c>
      <c r="AA8" s="243">
        <v>6212.82</v>
      </c>
      <c r="AB8" s="243">
        <v>6186.3</v>
      </c>
      <c r="AC8" s="243">
        <v>5355</v>
      </c>
      <c r="AD8" s="243">
        <v>5463.12</v>
      </c>
      <c r="AE8" s="243">
        <v>5273.4000000000005</v>
      </c>
      <c r="AF8" s="243">
        <v>6754.4400000000005</v>
      </c>
      <c r="AG8" s="243">
        <v>5011.26</v>
      </c>
      <c r="AH8" s="243">
        <v>3357.84</v>
      </c>
      <c r="AI8" s="243">
        <v>7226.7</v>
      </c>
      <c r="AJ8" s="243">
        <v>5169.3599999999997</v>
      </c>
      <c r="AK8" s="243">
        <v>4672.62</v>
      </c>
      <c r="AL8" s="243">
        <v>6266.88</v>
      </c>
      <c r="AM8" s="243">
        <v>6393.36</v>
      </c>
      <c r="AN8" s="243">
        <v>5958.84</v>
      </c>
      <c r="AO8" s="243">
        <v>5328.4800000000005</v>
      </c>
      <c r="AP8" s="243">
        <v>6435.18</v>
      </c>
      <c r="AQ8" s="243">
        <v>7264.4400000000005</v>
      </c>
      <c r="AR8" s="243">
        <v>7369.5</v>
      </c>
      <c r="AS8" s="243">
        <v>4056.54</v>
      </c>
      <c r="AT8" s="243">
        <v>10014.36</v>
      </c>
      <c r="AU8" s="243">
        <v>7025.76</v>
      </c>
      <c r="AV8" s="243">
        <v>7361.34</v>
      </c>
      <c r="AW8" s="243">
        <v>13465.02</v>
      </c>
      <c r="AX8" s="244">
        <v>9194.2800000000007</v>
      </c>
      <c r="AY8" s="244">
        <v>9746.1</v>
      </c>
      <c r="AZ8" s="244">
        <v>3133.44</v>
      </c>
      <c r="BA8" s="244">
        <v>0</v>
      </c>
    </row>
    <row r="9" spans="1:54" x14ac:dyDescent="0.3">
      <c r="A9" s="242">
        <v>26</v>
      </c>
      <c r="B9" s="243">
        <v>26.52</v>
      </c>
      <c r="C9" s="243">
        <v>18.36</v>
      </c>
      <c r="D9" s="243">
        <v>29.580000000000002</v>
      </c>
      <c r="E9" s="243">
        <v>25.5</v>
      </c>
      <c r="F9" s="243">
        <v>12.24</v>
      </c>
      <c r="G9" s="243">
        <v>16.32</v>
      </c>
      <c r="H9" s="243">
        <v>29.580000000000002</v>
      </c>
      <c r="I9" s="243">
        <v>9.18</v>
      </c>
      <c r="J9" s="243">
        <v>48.96</v>
      </c>
      <c r="K9" s="243">
        <v>10.199999999999999</v>
      </c>
      <c r="L9" s="243">
        <v>47.94</v>
      </c>
      <c r="M9" s="243">
        <v>27.54</v>
      </c>
      <c r="N9" s="243">
        <v>5.0999999999999996</v>
      </c>
      <c r="O9" s="243">
        <v>28.560000000000002</v>
      </c>
      <c r="P9" s="243">
        <v>20.399999999999999</v>
      </c>
      <c r="Q9" s="243">
        <v>11.22</v>
      </c>
      <c r="R9" s="243">
        <v>20.399999999999999</v>
      </c>
      <c r="S9" s="243">
        <v>4.08</v>
      </c>
      <c r="T9" s="243">
        <v>14.280000000000001</v>
      </c>
      <c r="U9" s="243">
        <v>14.280000000000001</v>
      </c>
      <c r="V9" s="243">
        <v>3.06</v>
      </c>
      <c r="W9" s="243">
        <v>15.3</v>
      </c>
      <c r="X9" s="243">
        <v>0</v>
      </c>
      <c r="Y9" s="243">
        <v>20.399999999999999</v>
      </c>
      <c r="Z9" s="243">
        <v>1.02</v>
      </c>
      <c r="AA9" s="243">
        <v>3.06</v>
      </c>
      <c r="AB9" s="243">
        <v>1.02</v>
      </c>
      <c r="AC9" s="243">
        <v>2.04</v>
      </c>
      <c r="AD9" s="243">
        <v>2.04</v>
      </c>
      <c r="AE9" s="243">
        <v>0</v>
      </c>
      <c r="AF9" s="243">
        <v>0</v>
      </c>
      <c r="AG9" s="243">
        <v>6.12</v>
      </c>
      <c r="AH9" s="243">
        <v>0</v>
      </c>
      <c r="AI9" s="243">
        <v>0</v>
      </c>
      <c r="AJ9" s="243">
        <v>1.02</v>
      </c>
      <c r="AK9" s="243">
        <v>0</v>
      </c>
      <c r="AL9" s="243">
        <v>3.06</v>
      </c>
      <c r="AM9" s="243">
        <v>4.08</v>
      </c>
      <c r="AN9" s="243">
        <v>0</v>
      </c>
      <c r="AO9" s="243">
        <v>2.04</v>
      </c>
      <c r="AP9" s="243">
        <v>1.02</v>
      </c>
      <c r="AQ9" s="243">
        <v>0</v>
      </c>
      <c r="AR9" s="243">
        <v>2.04</v>
      </c>
      <c r="AS9" s="243">
        <v>4.08</v>
      </c>
      <c r="AT9" s="243">
        <v>8.16</v>
      </c>
      <c r="AU9" s="243">
        <v>1.02</v>
      </c>
      <c r="AV9" s="243">
        <v>1.02</v>
      </c>
      <c r="AW9" s="243">
        <v>38.76</v>
      </c>
      <c r="AX9" s="244">
        <v>26.52</v>
      </c>
      <c r="AY9" s="244">
        <v>1.02</v>
      </c>
      <c r="AZ9" s="244">
        <v>0</v>
      </c>
      <c r="BA9" s="244">
        <v>0</v>
      </c>
    </row>
    <row r="10" spans="1:54" x14ac:dyDescent="0.3">
      <c r="A10" s="242">
        <v>27</v>
      </c>
      <c r="B10" s="243">
        <v>4433.9400000000005</v>
      </c>
      <c r="C10" s="243">
        <v>2914.14</v>
      </c>
      <c r="D10" s="243">
        <v>2307.2400000000002</v>
      </c>
      <c r="E10" s="243">
        <v>2570.4</v>
      </c>
      <c r="F10" s="243">
        <v>2182.8000000000002</v>
      </c>
      <c r="G10" s="243">
        <v>1446.3600000000001</v>
      </c>
      <c r="H10" s="243">
        <v>2254.1999999999998</v>
      </c>
      <c r="I10" s="243">
        <v>2237.6000000000004</v>
      </c>
      <c r="J10" s="243">
        <v>2497.2400000000002</v>
      </c>
      <c r="K10" s="243">
        <v>3090.6</v>
      </c>
      <c r="L10" s="243">
        <v>2284.8000000000002</v>
      </c>
      <c r="M10" s="243">
        <v>1952.28</v>
      </c>
      <c r="N10" s="243">
        <v>2468.4</v>
      </c>
      <c r="O10" s="243">
        <v>1903.32</v>
      </c>
      <c r="P10" s="243">
        <v>2059.38</v>
      </c>
      <c r="Q10" s="243">
        <v>2215.44</v>
      </c>
      <c r="R10" s="243">
        <v>1777.8600000000001</v>
      </c>
      <c r="S10" s="243">
        <v>1627.92</v>
      </c>
      <c r="T10" s="243">
        <v>2180.7600000000002</v>
      </c>
      <c r="U10" s="243">
        <v>2108.34</v>
      </c>
      <c r="V10" s="243">
        <v>1968.6000000000001</v>
      </c>
      <c r="W10" s="243">
        <v>1761.54</v>
      </c>
      <c r="X10" s="243">
        <v>2475.54</v>
      </c>
      <c r="Y10" s="243">
        <v>2375.58</v>
      </c>
      <c r="Z10" s="243">
        <v>1782.96</v>
      </c>
      <c r="AA10" s="243">
        <v>1537.14</v>
      </c>
      <c r="AB10" s="243">
        <v>3035.52</v>
      </c>
      <c r="AC10" s="243">
        <v>2613.2400000000002</v>
      </c>
      <c r="AD10" s="243">
        <v>2149.14</v>
      </c>
      <c r="AE10" s="243">
        <v>1858.44</v>
      </c>
      <c r="AF10" s="243">
        <v>2400.06</v>
      </c>
      <c r="AG10" s="243">
        <v>1948.2</v>
      </c>
      <c r="AH10" s="243">
        <v>2071.62</v>
      </c>
      <c r="AI10" s="243">
        <v>2586.7200000000003</v>
      </c>
      <c r="AJ10" s="243">
        <v>2690.76</v>
      </c>
      <c r="AK10" s="243">
        <v>3064.08</v>
      </c>
      <c r="AL10" s="243">
        <v>1842.1200000000001</v>
      </c>
      <c r="AM10" s="243">
        <v>2203.1999999999998</v>
      </c>
      <c r="AN10" s="243">
        <v>1779.9</v>
      </c>
      <c r="AO10" s="243">
        <v>2128.7400000000002</v>
      </c>
      <c r="AP10" s="243">
        <v>3221.16</v>
      </c>
      <c r="AQ10" s="243">
        <v>2963.1</v>
      </c>
      <c r="AR10" s="243">
        <v>2893.7400000000002</v>
      </c>
      <c r="AS10" s="243">
        <v>2556.12</v>
      </c>
      <c r="AT10" s="243">
        <v>3836.2200000000003</v>
      </c>
      <c r="AU10" s="243">
        <v>2991.66</v>
      </c>
      <c r="AV10" s="243">
        <v>3079.38</v>
      </c>
      <c r="AW10" s="243">
        <v>3363.96</v>
      </c>
      <c r="AX10" s="244">
        <v>3396.6</v>
      </c>
      <c r="AY10" s="244">
        <v>3089.58</v>
      </c>
      <c r="AZ10" s="244">
        <v>1791.1200000000001</v>
      </c>
      <c r="BA10" s="244">
        <v>0</v>
      </c>
      <c r="BB10" s="101"/>
    </row>
    <row r="11" spans="1:54" x14ac:dyDescent="0.3">
      <c r="A11" s="242">
        <v>30</v>
      </c>
      <c r="B11" s="243">
        <v>6979</v>
      </c>
      <c r="C11" s="243">
        <v>6765.66</v>
      </c>
      <c r="D11" s="243">
        <v>6035.34</v>
      </c>
      <c r="E11" s="243">
        <v>4592.04</v>
      </c>
      <c r="F11" s="243">
        <v>0</v>
      </c>
      <c r="G11" s="243">
        <v>0</v>
      </c>
      <c r="H11" s="243">
        <v>0</v>
      </c>
      <c r="I11" s="243">
        <v>0</v>
      </c>
      <c r="J11" s="243">
        <v>0</v>
      </c>
      <c r="K11" s="243">
        <v>0</v>
      </c>
      <c r="L11" s="243">
        <v>0</v>
      </c>
      <c r="M11" s="243">
        <v>0</v>
      </c>
      <c r="N11" s="243">
        <v>0</v>
      </c>
      <c r="O11" s="243">
        <v>0</v>
      </c>
      <c r="P11" s="243">
        <v>0</v>
      </c>
      <c r="Q11" s="243">
        <v>0</v>
      </c>
      <c r="R11" s="243">
        <v>0</v>
      </c>
      <c r="S11" s="243">
        <v>0</v>
      </c>
      <c r="T11" s="243">
        <v>0</v>
      </c>
      <c r="U11" s="243">
        <v>0</v>
      </c>
      <c r="V11" s="243">
        <v>0</v>
      </c>
      <c r="W11" s="243">
        <v>0</v>
      </c>
      <c r="X11" s="243">
        <v>55.08</v>
      </c>
      <c r="Y11" s="243">
        <v>29.580000000000002</v>
      </c>
      <c r="Z11" s="243">
        <v>76.5</v>
      </c>
      <c r="AA11" s="243">
        <v>55.08</v>
      </c>
      <c r="AB11" s="243">
        <v>70.38</v>
      </c>
      <c r="AC11" s="243">
        <v>104.04</v>
      </c>
      <c r="AD11" s="243">
        <v>96.9</v>
      </c>
      <c r="AE11" s="243">
        <v>21.42</v>
      </c>
      <c r="AF11" s="243">
        <v>48.96</v>
      </c>
      <c r="AG11" s="243">
        <v>69.36</v>
      </c>
      <c r="AH11" s="243">
        <v>76.5</v>
      </c>
      <c r="AI11" s="243">
        <v>48.96</v>
      </c>
      <c r="AJ11" s="243">
        <v>22.44</v>
      </c>
      <c r="AK11" s="243">
        <v>71.400000000000006</v>
      </c>
      <c r="AL11" s="243">
        <v>48.96</v>
      </c>
      <c r="AM11" s="243">
        <v>48.96</v>
      </c>
      <c r="AN11" s="243">
        <v>141.78</v>
      </c>
      <c r="AO11" s="243">
        <v>59.160000000000004</v>
      </c>
      <c r="AP11" s="243">
        <v>308.04000000000002</v>
      </c>
      <c r="AQ11" s="243">
        <v>65.28</v>
      </c>
      <c r="AR11" s="243">
        <v>121.38</v>
      </c>
      <c r="AS11" s="243">
        <v>138.72</v>
      </c>
      <c r="AT11" s="243">
        <v>167.28</v>
      </c>
      <c r="AU11" s="243">
        <v>232.56</v>
      </c>
      <c r="AV11" s="243">
        <v>206.04</v>
      </c>
      <c r="AW11" s="243">
        <v>139.74</v>
      </c>
      <c r="AX11" s="244">
        <v>177.48</v>
      </c>
      <c r="AY11" s="244">
        <v>285.60000000000002</v>
      </c>
      <c r="AZ11" s="244">
        <v>69.36</v>
      </c>
      <c r="BA11" s="244">
        <v>38.76</v>
      </c>
      <c r="BB11" s="101"/>
    </row>
    <row r="12" spans="1:54" x14ac:dyDescent="0.3">
      <c r="A12" s="242">
        <v>32</v>
      </c>
      <c r="B12" s="243">
        <v>88.74</v>
      </c>
      <c r="C12" s="243">
        <v>158.1</v>
      </c>
      <c r="D12" s="243">
        <v>107.10000000000001</v>
      </c>
      <c r="E12" s="243">
        <v>158.1</v>
      </c>
      <c r="F12" s="243">
        <v>118.32000000000001</v>
      </c>
      <c r="G12" s="243">
        <v>183.6</v>
      </c>
      <c r="H12" s="243">
        <v>103.02</v>
      </c>
      <c r="I12" s="243">
        <v>144.84</v>
      </c>
      <c r="J12" s="243">
        <v>219.3</v>
      </c>
      <c r="K12" s="243">
        <v>82.62</v>
      </c>
      <c r="L12" s="243">
        <v>86.7</v>
      </c>
      <c r="M12" s="243">
        <v>150.96</v>
      </c>
      <c r="N12" s="243">
        <v>75.48</v>
      </c>
      <c r="O12" s="243">
        <v>79.56</v>
      </c>
      <c r="P12" s="243">
        <v>116.28</v>
      </c>
      <c r="Q12" s="243">
        <v>108.12</v>
      </c>
      <c r="R12" s="243">
        <v>68.34</v>
      </c>
      <c r="S12" s="243">
        <v>63.24</v>
      </c>
      <c r="T12" s="243">
        <v>67.320000000000007</v>
      </c>
      <c r="U12" s="243">
        <v>58.14</v>
      </c>
      <c r="V12" s="243">
        <v>219.3</v>
      </c>
      <c r="W12" s="243">
        <v>164.22</v>
      </c>
      <c r="X12" s="243">
        <v>67.320000000000007</v>
      </c>
      <c r="Y12" s="243">
        <v>228.48000000000002</v>
      </c>
      <c r="Z12" s="243">
        <v>151.97999999999999</v>
      </c>
      <c r="AA12" s="243">
        <v>132.6</v>
      </c>
      <c r="AB12" s="243">
        <v>68.34</v>
      </c>
      <c r="AC12" s="243">
        <v>58.14</v>
      </c>
      <c r="AD12" s="243">
        <v>55.08</v>
      </c>
      <c r="AE12" s="243">
        <v>174.42000000000002</v>
      </c>
      <c r="AF12" s="243">
        <v>208.08</v>
      </c>
      <c r="AG12" s="243">
        <v>195.84</v>
      </c>
      <c r="AH12" s="243">
        <v>65.28</v>
      </c>
      <c r="AI12" s="243">
        <v>60.18</v>
      </c>
      <c r="AJ12" s="243">
        <v>219.3</v>
      </c>
      <c r="AK12" s="243">
        <v>248.88</v>
      </c>
      <c r="AL12" s="243">
        <v>66.3</v>
      </c>
      <c r="AM12" s="243">
        <v>259.08</v>
      </c>
      <c r="AN12" s="243">
        <v>72.42</v>
      </c>
      <c r="AO12" s="243">
        <v>49.980000000000004</v>
      </c>
      <c r="AP12" s="243">
        <v>271.32</v>
      </c>
      <c r="AQ12" s="243">
        <v>436.56</v>
      </c>
      <c r="AR12" s="243">
        <v>281.52</v>
      </c>
      <c r="AS12" s="243">
        <v>34.68</v>
      </c>
      <c r="AT12" s="243">
        <v>153</v>
      </c>
      <c r="AU12" s="243">
        <v>111.18</v>
      </c>
      <c r="AV12" s="243">
        <v>91.8</v>
      </c>
      <c r="AW12" s="243">
        <v>113.22</v>
      </c>
      <c r="AX12" s="244">
        <v>178.5</v>
      </c>
      <c r="AY12" s="244">
        <v>127.5</v>
      </c>
      <c r="AZ12" s="244">
        <v>95.88</v>
      </c>
      <c r="BA12" s="244">
        <v>8.16</v>
      </c>
    </row>
    <row r="13" spans="1:54" x14ac:dyDescent="0.3">
      <c r="A13" s="242">
        <v>35</v>
      </c>
      <c r="B13" s="244">
        <v>0</v>
      </c>
      <c r="C13" s="244">
        <v>0</v>
      </c>
      <c r="D13" s="244">
        <v>0</v>
      </c>
      <c r="E13" s="244">
        <v>0</v>
      </c>
      <c r="F13" s="244">
        <v>0</v>
      </c>
      <c r="G13" s="244">
        <v>0</v>
      </c>
      <c r="H13" s="244">
        <v>0</v>
      </c>
      <c r="I13" s="244">
        <v>0</v>
      </c>
      <c r="J13" s="244">
        <v>0</v>
      </c>
      <c r="K13" s="244">
        <v>0</v>
      </c>
      <c r="L13" s="244">
        <v>0</v>
      </c>
      <c r="M13" s="244">
        <v>0</v>
      </c>
      <c r="N13" s="244">
        <v>0</v>
      </c>
      <c r="O13" s="244">
        <v>0</v>
      </c>
      <c r="P13" s="244">
        <v>0</v>
      </c>
      <c r="Q13" s="244">
        <v>0</v>
      </c>
      <c r="R13" s="244">
        <v>0</v>
      </c>
      <c r="S13" s="244">
        <v>0</v>
      </c>
      <c r="T13" s="244">
        <v>0</v>
      </c>
      <c r="U13" s="244">
        <v>0</v>
      </c>
      <c r="V13" s="244">
        <v>0</v>
      </c>
      <c r="W13" s="244">
        <v>0</v>
      </c>
      <c r="X13" s="244">
        <v>0</v>
      </c>
      <c r="Y13" s="244">
        <v>0</v>
      </c>
      <c r="Z13" s="244">
        <v>0</v>
      </c>
      <c r="AA13" s="244">
        <v>0</v>
      </c>
      <c r="AB13" s="244">
        <v>0</v>
      </c>
      <c r="AC13" s="244">
        <v>0</v>
      </c>
      <c r="AD13" s="244">
        <v>0</v>
      </c>
      <c r="AE13" s="244">
        <v>0</v>
      </c>
      <c r="AF13" s="244">
        <v>0</v>
      </c>
      <c r="AG13" s="244">
        <v>0</v>
      </c>
      <c r="AH13" s="244">
        <v>0</v>
      </c>
      <c r="AI13" s="244">
        <v>0</v>
      </c>
      <c r="AJ13" s="244">
        <v>0</v>
      </c>
      <c r="AK13" s="244">
        <v>0</v>
      </c>
      <c r="AL13" s="244">
        <v>0</v>
      </c>
      <c r="AM13" s="244">
        <v>0</v>
      </c>
      <c r="AN13" s="244">
        <v>0</v>
      </c>
      <c r="AO13" s="244">
        <v>0</v>
      </c>
      <c r="AP13" s="244">
        <v>0</v>
      </c>
      <c r="AQ13" s="244">
        <v>0</v>
      </c>
      <c r="AR13" s="244">
        <v>0</v>
      </c>
      <c r="AS13" s="244">
        <v>0</v>
      </c>
      <c r="AT13" s="244">
        <v>0</v>
      </c>
      <c r="AU13" s="244">
        <v>0</v>
      </c>
      <c r="AV13" s="244">
        <v>0</v>
      </c>
      <c r="AW13" s="244">
        <v>0</v>
      </c>
      <c r="AX13" s="244">
        <v>0</v>
      </c>
      <c r="AY13" s="244">
        <v>0</v>
      </c>
      <c r="AZ13" s="244">
        <v>0</v>
      </c>
      <c r="BA13" s="244">
        <v>0</v>
      </c>
    </row>
    <row r="14" spans="1:54" x14ac:dyDescent="0.3">
      <c r="A14" s="242">
        <v>37</v>
      </c>
      <c r="B14" s="243">
        <v>42.84</v>
      </c>
      <c r="C14" s="243">
        <v>166.26</v>
      </c>
      <c r="D14" s="243">
        <v>80.58</v>
      </c>
      <c r="E14" s="243">
        <v>96.9</v>
      </c>
      <c r="F14" s="243">
        <v>233.58</v>
      </c>
      <c r="G14" s="243">
        <v>65.28</v>
      </c>
      <c r="H14" s="243">
        <v>160.14000000000001</v>
      </c>
      <c r="I14" s="243">
        <v>140.76</v>
      </c>
      <c r="J14" s="243">
        <v>108.12</v>
      </c>
      <c r="K14" s="243">
        <v>176.46</v>
      </c>
      <c r="L14" s="243">
        <v>208.08</v>
      </c>
      <c r="M14" s="243">
        <v>207.06</v>
      </c>
      <c r="N14" s="243">
        <v>65.28</v>
      </c>
      <c r="O14" s="243">
        <v>128.52000000000001</v>
      </c>
      <c r="P14" s="243">
        <v>126.48</v>
      </c>
      <c r="Q14" s="243">
        <v>139.74</v>
      </c>
      <c r="R14" s="243">
        <v>183.6</v>
      </c>
      <c r="S14" s="243">
        <v>66.3</v>
      </c>
      <c r="T14" s="243">
        <v>94.86</v>
      </c>
      <c r="U14" s="243">
        <v>141.78</v>
      </c>
      <c r="V14" s="243">
        <v>81.599999999999994</v>
      </c>
      <c r="W14" s="243">
        <v>95.88</v>
      </c>
      <c r="X14" s="243">
        <v>136.68</v>
      </c>
      <c r="Y14" s="243">
        <v>172.38</v>
      </c>
      <c r="Z14" s="243">
        <v>99.960000000000008</v>
      </c>
      <c r="AA14" s="243">
        <v>89.76</v>
      </c>
      <c r="AB14" s="243">
        <v>87.72</v>
      </c>
      <c r="AC14" s="243">
        <v>85.68</v>
      </c>
      <c r="AD14" s="243">
        <v>84.66</v>
      </c>
      <c r="AE14" s="243">
        <v>84.66</v>
      </c>
      <c r="AF14" s="243">
        <v>183.6</v>
      </c>
      <c r="AG14" s="243">
        <v>136.68</v>
      </c>
      <c r="AH14" s="243">
        <v>116.28</v>
      </c>
      <c r="AI14" s="243">
        <v>120.36</v>
      </c>
      <c r="AJ14" s="243">
        <v>114.24000000000001</v>
      </c>
      <c r="AK14" s="243">
        <v>124.44</v>
      </c>
      <c r="AL14" s="243">
        <v>83.64</v>
      </c>
      <c r="AM14" s="243">
        <v>145.86000000000001</v>
      </c>
      <c r="AN14" s="243">
        <v>69.36</v>
      </c>
      <c r="AO14" s="243">
        <v>115.26</v>
      </c>
      <c r="AP14" s="243">
        <v>75.48</v>
      </c>
      <c r="AQ14" s="243">
        <v>113.22</v>
      </c>
      <c r="AR14" s="243">
        <v>74.460000000000008</v>
      </c>
      <c r="AS14" s="243">
        <v>125.46000000000001</v>
      </c>
      <c r="AT14" s="243">
        <v>155.04</v>
      </c>
      <c r="AU14" s="243">
        <v>172.38</v>
      </c>
      <c r="AV14" s="243">
        <v>188.70000000000002</v>
      </c>
      <c r="AW14" s="243">
        <v>222.36</v>
      </c>
      <c r="AX14" s="244">
        <v>163.19999999999999</v>
      </c>
      <c r="AY14" s="244">
        <v>124.44</v>
      </c>
      <c r="AZ14" s="244">
        <v>90.78</v>
      </c>
      <c r="BA14" s="244">
        <v>60.18</v>
      </c>
      <c r="BB14" s="101"/>
    </row>
    <row r="15" spans="1:54" x14ac:dyDescent="0.3">
      <c r="A15" s="242">
        <v>38</v>
      </c>
      <c r="B15" s="243">
        <v>0</v>
      </c>
      <c r="C15" s="243">
        <v>0</v>
      </c>
      <c r="D15" s="243">
        <v>0</v>
      </c>
      <c r="E15" s="243">
        <v>0</v>
      </c>
      <c r="F15" s="243">
        <v>0</v>
      </c>
      <c r="G15" s="243">
        <v>0</v>
      </c>
      <c r="H15" s="243">
        <v>0</v>
      </c>
      <c r="I15" s="243">
        <v>0</v>
      </c>
      <c r="J15" s="243">
        <v>0</v>
      </c>
      <c r="K15" s="243">
        <v>0</v>
      </c>
      <c r="L15" s="243">
        <v>0</v>
      </c>
      <c r="M15" s="243">
        <v>0</v>
      </c>
      <c r="N15" s="243">
        <v>0</v>
      </c>
      <c r="O15" s="243">
        <v>0</v>
      </c>
      <c r="P15" s="243">
        <v>0</v>
      </c>
      <c r="Q15" s="243">
        <v>0</v>
      </c>
      <c r="R15" s="243">
        <v>0</v>
      </c>
      <c r="S15" s="243">
        <v>0</v>
      </c>
      <c r="T15" s="243">
        <v>0</v>
      </c>
      <c r="U15" s="243">
        <v>0</v>
      </c>
      <c r="V15" s="243">
        <v>0</v>
      </c>
      <c r="W15" s="243">
        <v>0</v>
      </c>
      <c r="X15" s="243">
        <v>0</v>
      </c>
      <c r="Y15" s="243">
        <v>0</v>
      </c>
      <c r="Z15" s="243">
        <v>0</v>
      </c>
      <c r="AA15" s="243">
        <v>0</v>
      </c>
      <c r="AB15" s="243">
        <v>0</v>
      </c>
      <c r="AC15" s="243">
        <v>0</v>
      </c>
      <c r="AD15" s="243">
        <v>0</v>
      </c>
      <c r="AE15" s="243">
        <v>0</v>
      </c>
      <c r="AF15" s="243">
        <v>0</v>
      </c>
      <c r="AG15" s="243">
        <v>0</v>
      </c>
      <c r="AH15" s="243">
        <v>0</v>
      </c>
      <c r="AI15" s="243">
        <v>0</v>
      </c>
      <c r="AJ15" s="243">
        <v>0</v>
      </c>
      <c r="AK15" s="243">
        <v>0</v>
      </c>
      <c r="AL15" s="243">
        <v>0</v>
      </c>
      <c r="AM15" s="243">
        <v>0</v>
      </c>
      <c r="AN15" s="243">
        <v>0</v>
      </c>
      <c r="AO15" s="243">
        <v>0</v>
      </c>
      <c r="AP15" s="243">
        <v>0</v>
      </c>
      <c r="AQ15" s="243">
        <v>0</v>
      </c>
      <c r="AR15" s="243">
        <v>0</v>
      </c>
      <c r="AS15" s="243">
        <v>0</v>
      </c>
      <c r="AT15" s="243">
        <v>0</v>
      </c>
      <c r="AU15" s="243">
        <v>0</v>
      </c>
      <c r="AV15" s="243">
        <v>0</v>
      </c>
      <c r="AW15" s="243">
        <v>0</v>
      </c>
      <c r="AX15" s="243">
        <v>0</v>
      </c>
      <c r="AY15" s="243">
        <v>0</v>
      </c>
      <c r="AZ15" s="243">
        <v>0</v>
      </c>
      <c r="BA15" s="243">
        <v>0</v>
      </c>
    </row>
    <row r="16" spans="1:54" x14ac:dyDescent="0.3">
      <c r="A16" s="242">
        <v>41</v>
      </c>
      <c r="B16" s="243">
        <v>1.02</v>
      </c>
      <c r="C16" s="243">
        <v>2.04</v>
      </c>
      <c r="D16" s="243">
        <v>14.280000000000001</v>
      </c>
      <c r="E16" s="243">
        <v>15.3</v>
      </c>
      <c r="F16" s="243">
        <v>5.0999999999999996</v>
      </c>
      <c r="G16" s="243">
        <v>1.02</v>
      </c>
      <c r="H16" s="243">
        <v>1.02</v>
      </c>
      <c r="I16" s="243">
        <v>15.3</v>
      </c>
      <c r="J16" s="243">
        <v>6.12</v>
      </c>
      <c r="K16" s="243">
        <v>12.24</v>
      </c>
      <c r="L16" s="243">
        <v>7.1400000000000006</v>
      </c>
      <c r="M16" s="243">
        <v>2.04</v>
      </c>
      <c r="N16" s="243">
        <v>3.06</v>
      </c>
      <c r="O16" s="243">
        <v>7.1400000000000006</v>
      </c>
      <c r="P16" s="243">
        <v>1.02</v>
      </c>
      <c r="Q16" s="243">
        <v>3.06</v>
      </c>
      <c r="R16" s="243">
        <v>12.24</v>
      </c>
      <c r="S16" s="243">
        <v>8.16</v>
      </c>
      <c r="T16" s="243">
        <v>2.04</v>
      </c>
      <c r="U16" s="243">
        <v>7.1400000000000006</v>
      </c>
      <c r="V16" s="243">
        <v>7.1400000000000006</v>
      </c>
      <c r="W16" s="243">
        <v>5.0999999999999996</v>
      </c>
      <c r="X16" s="243">
        <v>1.02</v>
      </c>
      <c r="Y16" s="243">
        <v>4.08</v>
      </c>
      <c r="Z16" s="243">
        <v>2.04</v>
      </c>
      <c r="AA16" s="243">
        <v>1.02</v>
      </c>
      <c r="AB16" s="243">
        <v>0</v>
      </c>
      <c r="AC16" s="243">
        <v>1.02</v>
      </c>
      <c r="AD16" s="243">
        <v>1.02</v>
      </c>
      <c r="AE16" s="243">
        <v>1.02</v>
      </c>
      <c r="AF16" s="243">
        <v>2.04</v>
      </c>
      <c r="AG16" s="243">
        <v>0</v>
      </c>
      <c r="AH16" s="243">
        <v>1.02</v>
      </c>
      <c r="AI16" s="243">
        <v>4.08</v>
      </c>
      <c r="AJ16" s="243">
        <v>0</v>
      </c>
      <c r="AK16" s="244">
        <v>5.0999999999999996</v>
      </c>
      <c r="AL16" s="244">
        <v>4.08</v>
      </c>
      <c r="AM16" s="243">
        <v>0</v>
      </c>
      <c r="AN16" s="243">
        <v>0</v>
      </c>
      <c r="AO16" s="243">
        <v>0</v>
      </c>
      <c r="AP16" s="243">
        <v>0</v>
      </c>
      <c r="AQ16" s="243">
        <v>0</v>
      </c>
      <c r="AR16" s="243">
        <v>0</v>
      </c>
      <c r="AS16" s="243">
        <v>0</v>
      </c>
      <c r="AT16" s="243">
        <v>0</v>
      </c>
      <c r="AU16" s="245"/>
      <c r="AV16" s="243">
        <v>0</v>
      </c>
      <c r="AW16" s="243">
        <v>0</v>
      </c>
      <c r="AX16" s="244">
        <v>0</v>
      </c>
      <c r="AY16" s="244">
        <v>0</v>
      </c>
      <c r="AZ16" s="244">
        <v>0</v>
      </c>
      <c r="BA16" s="244">
        <v>0</v>
      </c>
    </row>
    <row r="17" spans="1:70" x14ac:dyDescent="0.3">
      <c r="A17" s="242">
        <v>43</v>
      </c>
      <c r="B17" s="243">
        <v>0</v>
      </c>
      <c r="C17" s="243">
        <v>0</v>
      </c>
      <c r="D17" s="243">
        <v>0</v>
      </c>
      <c r="E17" s="243">
        <v>0</v>
      </c>
      <c r="F17" s="243">
        <v>0</v>
      </c>
      <c r="G17" s="243">
        <v>0</v>
      </c>
      <c r="H17" s="243">
        <v>0</v>
      </c>
      <c r="I17" s="243">
        <v>2.04</v>
      </c>
      <c r="J17" s="243">
        <v>2.04</v>
      </c>
      <c r="K17" s="243">
        <v>81.599999999999994</v>
      </c>
      <c r="L17" s="243">
        <v>0</v>
      </c>
      <c r="M17" s="243">
        <v>0</v>
      </c>
      <c r="N17" s="243">
        <v>4.08</v>
      </c>
      <c r="O17" s="243">
        <v>0</v>
      </c>
      <c r="P17" s="243">
        <v>0</v>
      </c>
      <c r="Q17" s="243">
        <v>0</v>
      </c>
      <c r="R17" s="243">
        <v>0</v>
      </c>
      <c r="S17" s="243">
        <v>0</v>
      </c>
      <c r="T17" s="243">
        <v>0</v>
      </c>
      <c r="U17" s="243">
        <v>0</v>
      </c>
      <c r="V17" s="243">
        <v>0</v>
      </c>
      <c r="W17" s="243">
        <v>0</v>
      </c>
      <c r="X17" s="243">
        <v>0</v>
      </c>
      <c r="Y17" s="243">
        <v>0</v>
      </c>
      <c r="Z17" s="243">
        <v>0</v>
      </c>
      <c r="AA17" s="243">
        <v>0</v>
      </c>
      <c r="AB17" s="243">
        <v>0</v>
      </c>
      <c r="AC17" s="243">
        <v>0</v>
      </c>
      <c r="AD17" s="243">
        <v>0</v>
      </c>
      <c r="AE17" s="243">
        <v>0</v>
      </c>
      <c r="AF17" s="243">
        <v>0</v>
      </c>
      <c r="AG17" s="243">
        <v>0</v>
      </c>
      <c r="AH17" s="243">
        <v>0</v>
      </c>
      <c r="AI17" s="243">
        <v>8.16</v>
      </c>
      <c r="AJ17" s="243">
        <v>0</v>
      </c>
      <c r="AK17" s="243">
        <v>0</v>
      </c>
      <c r="AL17" s="243">
        <v>0</v>
      </c>
      <c r="AM17" s="243">
        <v>0</v>
      </c>
      <c r="AN17" s="243">
        <v>0</v>
      </c>
      <c r="AO17" s="243">
        <v>0</v>
      </c>
      <c r="AP17" s="243">
        <v>0</v>
      </c>
      <c r="AQ17" s="243">
        <v>0</v>
      </c>
      <c r="AR17" s="243">
        <v>0</v>
      </c>
      <c r="AS17" s="243">
        <v>0</v>
      </c>
      <c r="AT17" s="243">
        <v>0</v>
      </c>
      <c r="AU17" s="243">
        <v>0</v>
      </c>
      <c r="AV17" s="243">
        <v>0</v>
      </c>
      <c r="AW17" s="243">
        <v>0</v>
      </c>
      <c r="AX17" s="244">
        <v>0</v>
      </c>
      <c r="AY17" s="244">
        <v>0</v>
      </c>
      <c r="AZ17" s="244">
        <v>0</v>
      </c>
      <c r="BA17" s="244">
        <v>0</v>
      </c>
    </row>
    <row r="18" spans="1:70" x14ac:dyDescent="0.3">
      <c r="A18" s="242">
        <v>44</v>
      </c>
      <c r="B18" s="243">
        <v>0</v>
      </c>
      <c r="C18" s="243">
        <v>0</v>
      </c>
      <c r="D18" s="243">
        <v>0</v>
      </c>
      <c r="E18" s="243">
        <v>0</v>
      </c>
      <c r="F18" s="243">
        <v>0</v>
      </c>
      <c r="G18" s="243">
        <v>0</v>
      </c>
      <c r="H18" s="243">
        <v>0</v>
      </c>
      <c r="I18" s="243">
        <v>0</v>
      </c>
      <c r="J18" s="243">
        <v>0</v>
      </c>
      <c r="K18" s="243">
        <v>0</v>
      </c>
      <c r="L18" s="243">
        <v>0</v>
      </c>
      <c r="M18" s="243">
        <v>0</v>
      </c>
      <c r="N18" s="243">
        <v>0</v>
      </c>
      <c r="O18" s="243">
        <v>0</v>
      </c>
      <c r="P18" s="243">
        <v>0</v>
      </c>
      <c r="Q18" s="243">
        <v>0</v>
      </c>
      <c r="R18" s="243">
        <v>0</v>
      </c>
      <c r="S18" s="243">
        <v>0</v>
      </c>
      <c r="T18" s="243">
        <v>0</v>
      </c>
      <c r="U18" s="243">
        <v>0</v>
      </c>
      <c r="V18" s="243">
        <v>0</v>
      </c>
      <c r="W18" s="243">
        <v>0</v>
      </c>
      <c r="X18" s="243">
        <v>0</v>
      </c>
      <c r="Y18" s="243">
        <v>0</v>
      </c>
      <c r="Z18" s="243">
        <v>0</v>
      </c>
      <c r="AA18" s="243">
        <v>0</v>
      </c>
      <c r="AB18" s="243">
        <v>0</v>
      </c>
      <c r="AC18" s="243">
        <v>0</v>
      </c>
      <c r="AD18" s="243">
        <v>0</v>
      </c>
      <c r="AE18" s="243">
        <v>0</v>
      </c>
      <c r="AF18" s="243">
        <v>0</v>
      </c>
      <c r="AG18" s="243">
        <v>0</v>
      </c>
      <c r="AH18" s="243">
        <v>0</v>
      </c>
      <c r="AI18" s="243">
        <v>0</v>
      </c>
      <c r="AJ18" s="243">
        <v>0</v>
      </c>
      <c r="AK18" s="243">
        <v>0</v>
      </c>
      <c r="AL18" s="243">
        <v>0</v>
      </c>
      <c r="AM18" s="243">
        <v>0</v>
      </c>
      <c r="AN18" s="243">
        <v>0</v>
      </c>
      <c r="AO18" s="243">
        <v>0</v>
      </c>
      <c r="AP18" s="243">
        <v>0</v>
      </c>
      <c r="AQ18" s="243">
        <v>0</v>
      </c>
      <c r="AR18" s="243">
        <v>0</v>
      </c>
      <c r="AS18" s="243">
        <v>0</v>
      </c>
      <c r="AT18" s="243">
        <v>0</v>
      </c>
      <c r="AU18" s="243">
        <v>0</v>
      </c>
      <c r="AV18" s="243">
        <v>0</v>
      </c>
      <c r="AW18" s="243">
        <v>0</v>
      </c>
      <c r="AX18" s="243">
        <v>0</v>
      </c>
      <c r="AY18" s="243">
        <v>0</v>
      </c>
      <c r="AZ18" s="243">
        <v>0</v>
      </c>
      <c r="BA18" s="243">
        <v>0</v>
      </c>
    </row>
    <row r="19" spans="1:70" x14ac:dyDescent="0.3">
      <c r="A19" s="242">
        <v>45</v>
      </c>
      <c r="B19" s="243">
        <v>0</v>
      </c>
      <c r="C19" s="243">
        <v>0</v>
      </c>
      <c r="D19" s="243">
        <v>0</v>
      </c>
      <c r="E19" s="243">
        <v>0</v>
      </c>
      <c r="F19" s="243">
        <v>0</v>
      </c>
      <c r="G19" s="243">
        <v>0</v>
      </c>
      <c r="H19" s="243">
        <v>0</v>
      </c>
      <c r="I19" s="243">
        <v>0</v>
      </c>
      <c r="J19" s="243">
        <v>0</v>
      </c>
      <c r="K19" s="243">
        <v>0</v>
      </c>
      <c r="L19" s="243">
        <v>0</v>
      </c>
      <c r="M19" s="243">
        <v>0</v>
      </c>
      <c r="N19" s="243">
        <v>0</v>
      </c>
      <c r="O19" s="243">
        <v>0</v>
      </c>
      <c r="P19" s="243">
        <v>0</v>
      </c>
      <c r="Q19" s="243">
        <v>0</v>
      </c>
      <c r="R19" s="243">
        <v>0</v>
      </c>
      <c r="S19" s="243">
        <v>0</v>
      </c>
      <c r="T19" s="243">
        <v>0</v>
      </c>
      <c r="U19" s="243">
        <v>0</v>
      </c>
      <c r="V19" s="243">
        <v>0</v>
      </c>
      <c r="W19" s="243">
        <v>0</v>
      </c>
      <c r="X19" s="243">
        <v>0</v>
      </c>
      <c r="Y19" s="243">
        <v>0</v>
      </c>
      <c r="Z19" s="243">
        <v>0</v>
      </c>
      <c r="AA19" s="243">
        <v>0</v>
      </c>
      <c r="AB19" s="243">
        <v>0</v>
      </c>
      <c r="AC19" s="243">
        <v>0</v>
      </c>
      <c r="AD19" s="243">
        <v>0</v>
      </c>
      <c r="AE19" s="243">
        <v>0</v>
      </c>
      <c r="AF19" s="243">
        <v>0</v>
      </c>
      <c r="AG19" s="243">
        <v>0</v>
      </c>
      <c r="AH19" s="243">
        <v>0</v>
      </c>
      <c r="AI19" s="243">
        <v>0</v>
      </c>
      <c r="AJ19" s="243">
        <v>0</v>
      </c>
      <c r="AK19" s="243">
        <v>0</v>
      </c>
      <c r="AL19" s="243">
        <v>0</v>
      </c>
      <c r="AM19" s="243">
        <v>0</v>
      </c>
      <c r="AN19" s="243">
        <v>0</v>
      </c>
      <c r="AO19" s="243">
        <v>0</v>
      </c>
      <c r="AP19" s="243">
        <v>0</v>
      </c>
      <c r="AQ19" s="243">
        <v>0</v>
      </c>
      <c r="AR19" s="243">
        <v>0</v>
      </c>
      <c r="AS19" s="243">
        <v>0</v>
      </c>
      <c r="AT19" s="243">
        <v>0</v>
      </c>
      <c r="AU19" s="243">
        <v>0</v>
      </c>
      <c r="AV19" s="243">
        <v>0</v>
      </c>
      <c r="AW19" s="243">
        <v>0</v>
      </c>
      <c r="AX19" s="243">
        <v>0</v>
      </c>
      <c r="AY19" s="243">
        <v>0</v>
      </c>
      <c r="AZ19" s="243">
        <v>0</v>
      </c>
      <c r="BA19" s="243">
        <v>0</v>
      </c>
    </row>
    <row r="20" spans="1:70" x14ac:dyDescent="0.3">
      <c r="A20" s="242">
        <v>46</v>
      </c>
      <c r="B20" s="243">
        <v>653</v>
      </c>
      <c r="C20" s="243">
        <v>499.8</v>
      </c>
      <c r="D20" s="243">
        <v>423.3</v>
      </c>
      <c r="E20" s="243">
        <v>382.5</v>
      </c>
      <c r="F20" s="243">
        <v>528.36</v>
      </c>
      <c r="G20" s="243">
        <v>383.52</v>
      </c>
      <c r="H20" s="243">
        <v>452.88</v>
      </c>
      <c r="I20" s="243">
        <v>483.48</v>
      </c>
      <c r="J20" s="243">
        <v>600.78</v>
      </c>
      <c r="K20" s="243">
        <v>615.06000000000006</v>
      </c>
      <c r="L20" s="243">
        <v>582.41999999999996</v>
      </c>
      <c r="M20" s="243">
        <v>821.1</v>
      </c>
      <c r="N20" s="243">
        <v>789.48</v>
      </c>
      <c r="O20" s="243">
        <v>530.4</v>
      </c>
      <c r="P20" s="243">
        <v>812.94</v>
      </c>
      <c r="Q20" s="243">
        <v>740.52</v>
      </c>
      <c r="R20" s="243">
        <v>583.44000000000005</v>
      </c>
      <c r="S20" s="243">
        <v>354.96</v>
      </c>
      <c r="T20" s="243">
        <v>264.18</v>
      </c>
      <c r="U20" s="243">
        <v>265.2</v>
      </c>
      <c r="V20" s="243">
        <v>392.7</v>
      </c>
      <c r="W20" s="243">
        <v>201.96</v>
      </c>
      <c r="X20" s="243">
        <v>600.78</v>
      </c>
      <c r="Y20" s="243">
        <v>404.94</v>
      </c>
      <c r="Z20" s="243">
        <v>338.64</v>
      </c>
      <c r="AA20" s="243">
        <v>301.92</v>
      </c>
      <c r="AB20" s="243">
        <v>817.02</v>
      </c>
      <c r="AC20" s="243">
        <v>349.86</v>
      </c>
      <c r="AD20" s="243">
        <v>437.58</v>
      </c>
      <c r="AE20" s="243">
        <v>315.18</v>
      </c>
      <c r="AF20" s="243">
        <v>265.2</v>
      </c>
      <c r="AG20" s="243">
        <v>360.06</v>
      </c>
      <c r="AH20" s="243">
        <v>289.68</v>
      </c>
      <c r="AI20" s="243">
        <v>306</v>
      </c>
      <c r="AJ20" s="243">
        <v>309.06</v>
      </c>
      <c r="AK20" s="243">
        <v>314.16000000000003</v>
      </c>
      <c r="AL20" s="243">
        <v>292.74</v>
      </c>
      <c r="AM20" s="243">
        <v>482.46000000000004</v>
      </c>
      <c r="AN20" s="243">
        <v>601.79999999999995</v>
      </c>
      <c r="AO20" s="243">
        <v>393.72</v>
      </c>
      <c r="AP20" s="243">
        <v>381.48</v>
      </c>
      <c r="AQ20" s="243">
        <v>403.92</v>
      </c>
      <c r="AR20" s="243">
        <v>607.91999999999996</v>
      </c>
      <c r="AS20" s="243">
        <v>495.72</v>
      </c>
      <c r="AT20" s="243">
        <v>653.82000000000005</v>
      </c>
      <c r="AU20" s="243">
        <v>648.72</v>
      </c>
      <c r="AV20" s="243">
        <v>833.34</v>
      </c>
      <c r="AW20" s="243">
        <v>931.26</v>
      </c>
      <c r="AX20" s="244">
        <v>1235.22</v>
      </c>
      <c r="AY20" s="244">
        <v>1024.08</v>
      </c>
      <c r="AZ20" s="244">
        <v>592.62</v>
      </c>
      <c r="BA20" s="244">
        <v>171.36</v>
      </c>
      <c r="BB20" s="101"/>
    </row>
    <row r="21" spans="1:70" x14ac:dyDescent="0.3">
      <c r="A21" s="242">
        <v>47</v>
      </c>
      <c r="B21" s="243">
        <v>0</v>
      </c>
      <c r="C21" s="243">
        <v>1.02</v>
      </c>
      <c r="D21" s="243">
        <v>0</v>
      </c>
      <c r="E21" s="243">
        <v>7.1400000000000006</v>
      </c>
      <c r="F21" s="243">
        <v>0</v>
      </c>
      <c r="G21" s="243">
        <v>6.12</v>
      </c>
      <c r="H21" s="243">
        <v>0</v>
      </c>
      <c r="I21" s="243">
        <v>0</v>
      </c>
      <c r="J21" s="243">
        <v>0</v>
      </c>
      <c r="K21" s="243">
        <v>0</v>
      </c>
      <c r="L21" s="243">
        <v>0</v>
      </c>
      <c r="M21" s="243">
        <v>0</v>
      </c>
      <c r="N21" s="243">
        <v>0</v>
      </c>
      <c r="O21" s="243">
        <v>2.04</v>
      </c>
      <c r="P21" s="243">
        <v>0</v>
      </c>
      <c r="Q21" s="243">
        <v>0</v>
      </c>
      <c r="R21" s="243">
        <v>0</v>
      </c>
      <c r="S21" s="243">
        <v>0</v>
      </c>
      <c r="T21" s="243">
        <v>2.04</v>
      </c>
      <c r="U21" s="243">
        <v>0</v>
      </c>
      <c r="V21" s="243">
        <v>0</v>
      </c>
      <c r="W21" s="243">
        <v>3.06</v>
      </c>
      <c r="X21" s="243">
        <v>0</v>
      </c>
      <c r="Y21" s="243">
        <v>1.02</v>
      </c>
      <c r="Z21" s="243">
        <v>0</v>
      </c>
      <c r="AA21" s="243">
        <v>0</v>
      </c>
      <c r="AB21" s="243">
        <v>12.24</v>
      </c>
      <c r="AC21" s="243">
        <v>6.12</v>
      </c>
      <c r="AD21" s="243">
        <v>6.12</v>
      </c>
      <c r="AE21" s="243">
        <v>1.02</v>
      </c>
      <c r="AF21" s="243">
        <v>9.18</v>
      </c>
      <c r="AG21" s="243">
        <v>3.06</v>
      </c>
      <c r="AH21" s="243">
        <v>5.0999999999999996</v>
      </c>
      <c r="AI21" s="243">
        <v>20.399999999999999</v>
      </c>
      <c r="AJ21" s="243">
        <v>4.08</v>
      </c>
      <c r="AK21" s="243">
        <v>8.16</v>
      </c>
      <c r="AL21" s="243">
        <v>7.1400000000000006</v>
      </c>
      <c r="AM21" s="243">
        <v>10.199999999999999</v>
      </c>
      <c r="AN21" s="243">
        <v>15.3</v>
      </c>
      <c r="AO21" s="243">
        <v>3.06</v>
      </c>
      <c r="AP21" s="243">
        <v>6.12</v>
      </c>
      <c r="AQ21" s="243">
        <v>9.18</v>
      </c>
      <c r="AR21" s="243">
        <v>14.280000000000001</v>
      </c>
      <c r="AS21" s="243">
        <v>0</v>
      </c>
      <c r="AT21" s="243">
        <v>1.02</v>
      </c>
      <c r="AU21" s="243">
        <v>16.32</v>
      </c>
      <c r="AV21" s="243">
        <v>25.5</v>
      </c>
      <c r="AW21" s="243">
        <v>29.580000000000002</v>
      </c>
      <c r="AX21" s="244">
        <v>18.36</v>
      </c>
      <c r="AY21" s="244">
        <v>20.399999999999999</v>
      </c>
      <c r="AZ21" s="244">
        <v>3.06</v>
      </c>
      <c r="BA21" s="244">
        <v>4.08</v>
      </c>
    </row>
    <row r="22" spans="1:70" x14ac:dyDescent="0.3">
      <c r="A22" s="242">
        <v>48</v>
      </c>
      <c r="B22" s="243">
        <v>0</v>
      </c>
      <c r="C22" s="243">
        <v>0</v>
      </c>
      <c r="D22" s="243">
        <v>0</v>
      </c>
      <c r="E22" s="243">
        <v>1.02</v>
      </c>
      <c r="F22" s="243">
        <v>1.02</v>
      </c>
      <c r="G22" s="243">
        <v>0</v>
      </c>
      <c r="H22" s="243">
        <v>0</v>
      </c>
      <c r="I22" s="243">
        <v>0</v>
      </c>
      <c r="J22" s="243">
        <v>0</v>
      </c>
      <c r="K22" s="243">
        <v>2.04</v>
      </c>
      <c r="L22" s="243">
        <v>0</v>
      </c>
      <c r="M22" s="243">
        <v>0</v>
      </c>
      <c r="N22" s="243">
        <v>0</v>
      </c>
      <c r="O22" s="243">
        <v>1.02</v>
      </c>
      <c r="P22" s="243">
        <v>0</v>
      </c>
      <c r="Q22" s="243">
        <v>0</v>
      </c>
      <c r="R22" s="243">
        <v>1.02</v>
      </c>
      <c r="S22" s="243">
        <v>0</v>
      </c>
      <c r="T22" s="243">
        <v>0</v>
      </c>
      <c r="U22" s="243">
        <v>1.02</v>
      </c>
      <c r="V22" s="243">
        <v>0</v>
      </c>
      <c r="W22" s="243">
        <v>0</v>
      </c>
      <c r="X22" s="243">
        <v>0</v>
      </c>
      <c r="Y22" s="243">
        <v>0</v>
      </c>
      <c r="Z22" s="243">
        <v>0</v>
      </c>
      <c r="AA22" s="243">
        <v>0</v>
      </c>
      <c r="AB22" s="243">
        <v>0</v>
      </c>
      <c r="AC22" s="243">
        <v>0</v>
      </c>
      <c r="AD22" s="243">
        <v>2.04</v>
      </c>
      <c r="AE22" s="243">
        <v>1.02</v>
      </c>
      <c r="AF22" s="243">
        <v>4.08</v>
      </c>
      <c r="AG22" s="243">
        <v>0</v>
      </c>
      <c r="AH22" s="243">
        <v>0</v>
      </c>
      <c r="AI22" s="243">
        <v>0</v>
      </c>
      <c r="AJ22" s="243">
        <v>0</v>
      </c>
      <c r="AK22" s="243">
        <v>0</v>
      </c>
      <c r="AL22" s="243">
        <v>0</v>
      </c>
      <c r="AM22" s="243">
        <v>0</v>
      </c>
      <c r="AN22" s="243">
        <v>0</v>
      </c>
      <c r="AO22" s="243">
        <v>0</v>
      </c>
      <c r="AP22" s="243">
        <v>0</v>
      </c>
      <c r="AQ22" s="243">
        <v>0</v>
      </c>
      <c r="AR22" s="243">
        <v>1.02</v>
      </c>
      <c r="AS22" s="243">
        <v>0</v>
      </c>
      <c r="AT22" s="243">
        <v>0</v>
      </c>
      <c r="AU22" s="243">
        <v>0</v>
      </c>
      <c r="AV22" s="243">
        <v>0</v>
      </c>
      <c r="AW22" s="243">
        <v>1.02</v>
      </c>
      <c r="AX22" s="244">
        <v>2.04</v>
      </c>
      <c r="AY22" s="244">
        <v>0</v>
      </c>
      <c r="AZ22" s="244">
        <v>0</v>
      </c>
      <c r="BA22" s="244">
        <v>0</v>
      </c>
    </row>
    <row r="23" spans="1:70" x14ac:dyDescent="0.3">
      <c r="A23" s="242">
        <v>66</v>
      </c>
      <c r="B23" s="243">
        <v>3016</v>
      </c>
      <c r="C23" s="243">
        <v>1378.02</v>
      </c>
      <c r="D23" s="243">
        <v>1613.64</v>
      </c>
      <c r="E23" s="243">
        <v>1567.74</v>
      </c>
      <c r="F23" s="243">
        <v>1943.1000000000001</v>
      </c>
      <c r="G23" s="243">
        <v>1210.74</v>
      </c>
      <c r="H23" s="243">
        <v>1534.08</v>
      </c>
      <c r="I23" s="243">
        <v>1065.9000000000001</v>
      </c>
      <c r="J23" s="243">
        <v>1053.6600000000001</v>
      </c>
      <c r="K23" s="243">
        <v>1662.6000000000001</v>
      </c>
      <c r="L23" s="243">
        <v>1554.48</v>
      </c>
      <c r="M23" s="243">
        <v>1395.3600000000001</v>
      </c>
      <c r="N23" s="243">
        <v>1195.44</v>
      </c>
      <c r="O23" s="243">
        <v>1273.98</v>
      </c>
      <c r="P23" s="243">
        <v>1758.48</v>
      </c>
      <c r="Q23" s="243">
        <v>941.46</v>
      </c>
      <c r="R23" s="243">
        <v>1257.6600000000001</v>
      </c>
      <c r="S23" s="243">
        <v>846.6</v>
      </c>
      <c r="T23" s="243">
        <v>1004.7</v>
      </c>
      <c r="U23" s="243">
        <v>1037.3399999999999</v>
      </c>
      <c r="V23" s="243">
        <v>1065.9000000000001</v>
      </c>
      <c r="W23" s="243">
        <v>564.06000000000006</v>
      </c>
      <c r="X23" s="243">
        <v>1068.96</v>
      </c>
      <c r="Y23" s="243">
        <v>1034.28</v>
      </c>
      <c r="Z23" s="243">
        <v>1061.82</v>
      </c>
      <c r="AA23" s="243">
        <v>776.22</v>
      </c>
      <c r="AB23" s="243">
        <v>1138.32</v>
      </c>
      <c r="AC23" s="243">
        <v>1229.0999999999999</v>
      </c>
      <c r="AD23" s="243">
        <v>1167.9000000000001</v>
      </c>
      <c r="AE23" s="243">
        <v>1547.34</v>
      </c>
      <c r="AF23" s="243">
        <v>1031.22</v>
      </c>
      <c r="AG23" s="243">
        <v>1181.1600000000001</v>
      </c>
      <c r="AH23" s="243">
        <v>1783.98</v>
      </c>
      <c r="AI23" s="243">
        <v>1345.38</v>
      </c>
      <c r="AJ23" s="243">
        <v>1922.7</v>
      </c>
      <c r="AK23" s="243">
        <v>1099.56</v>
      </c>
      <c r="AL23" s="243">
        <v>1878.8400000000001</v>
      </c>
      <c r="AM23" s="243">
        <v>1588.14</v>
      </c>
      <c r="AN23" s="243">
        <v>1140.3600000000001</v>
      </c>
      <c r="AO23" s="243">
        <v>1308.6600000000001</v>
      </c>
      <c r="AP23" s="243">
        <v>1820.7</v>
      </c>
      <c r="AQ23" s="243">
        <v>1626.9</v>
      </c>
      <c r="AR23" s="243">
        <v>1609.56</v>
      </c>
      <c r="AS23" s="243">
        <v>1844.16</v>
      </c>
      <c r="AT23" s="243">
        <v>2277.66</v>
      </c>
      <c r="AU23" s="243">
        <v>2038.98</v>
      </c>
      <c r="AV23" s="243">
        <v>1264.8</v>
      </c>
      <c r="AW23" s="243">
        <v>1921.68</v>
      </c>
      <c r="AX23" s="244">
        <v>2354.16</v>
      </c>
      <c r="AY23" s="244">
        <v>2437.8000000000002</v>
      </c>
      <c r="AZ23" s="244">
        <v>934.32</v>
      </c>
      <c r="BA23" s="244">
        <v>1085.28</v>
      </c>
      <c r="BB23" s="101"/>
    </row>
    <row r="24" spans="1:70" x14ac:dyDescent="0.3">
      <c r="A24" s="242">
        <v>71</v>
      </c>
      <c r="B24" s="243">
        <v>18994.5</v>
      </c>
      <c r="C24" s="243">
        <v>19867.54</v>
      </c>
      <c r="D24" s="243">
        <v>15282.119999999999</v>
      </c>
      <c r="E24" s="243">
        <v>14382.48</v>
      </c>
      <c r="F24" s="243">
        <v>12849.759999999998</v>
      </c>
      <c r="G24" s="243">
        <v>12639.06</v>
      </c>
      <c r="H24" s="243">
        <v>14000.279999999999</v>
      </c>
      <c r="I24" s="243">
        <v>16025.36</v>
      </c>
      <c r="J24" s="243">
        <v>13373.66</v>
      </c>
      <c r="K24" s="243">
        <v>24901.5</v>
      </c>
      <c r="L24" s="243">
        <v>19634</v>
      </c>
      <c r="M24" s="243">
        <v>16799.900000000001</v>
      </c>
      <c r="N24" s="243">
        <v>16119.939999999999</v>
      </c>
      <c r="O24" s="243">
        <v>11899.16</v>
      </c>
      <c r="P24" s="243">
        <v>13931.68</v>
      </c>
      <c r="Q24" s="243">
        <v>12721.38</v>
      </c>
      <c r="R24" s="243">
        <v>10900.539999999999</v>
      </c>
      <c r="S24" s="243">
        <v>11629.66</v>
      </c>
      <c r="T24" s="243">
        <v>11493.439999999999</v>
      </c>
      <c r="U24" s="243">
        <v>12666.5</v>
      </c>
      <c r="V24" s="243">
        <v>11290.58</v>
      </c>
      <c r="W24" s="243">
        <v>11041.66</v>
      </c>
      <c r="X24" s="243">
        <v>13604.36</v>
      </c>
      <c r="Y24" s="243">
        <v>12605.74</v>
      </c>
      <c r="Z24" s="243">
        <v>12044.2</v>
      </c>
      <c r="AA24" s="243">
        <v>7791</v>
      </c>
      <c r="AB24" s="243">
        <v>13472.060000000001</v>
      </c>
      <c r="AC24" s="243">
        <v>16416.96</v>
      </c>
      <c r="AD24" s="243">
        <v>11217.08</v>
      </c>
      <c r="AE24" s="243">
        <v>10805.48</v>
      </c>
      <c r="AF24" s="243">
        <v>13257.439999999999</v>
      </c>
      <c r="AG24" s="243">
        <v>8065.4</v>
      </c>
      <c r="AH24" s="243">
        <v>10992.66</v>
      </c>
      <c r="AI24" s="243">
        <v>13677.86</v>
      </c>
      <c r="AJ24" s="243">
        <v>14748.02</v>
      </c>
      <c r="AK24" s="243">
        <v>16055</v>
      </c>
      <c r="AL24" s="243">
        <v>11988</v>
      </c>
      <c r="AM24" s="243">
        <v>11405</v>
      </c>
      <c r="AN24" s="243">
        <v>11457</v>
      </c>
      <c r="AO24" s="243">
        <v>10106</v>
      </c>
      <c r="AP24" s="243">
        <v>17194</v>
      </c>
      <c r="AQ24" s="243">
        <v>16689</v>
      </c>
      <c r="AR24" s="243">
        <v>17244</v>
      </c>
      <c r="AS24" s="243">
        <v>11684</v>
      </c>
      <c r="AT24" s="243">
        <v>25509</v>
      </c>
      <c r="AU24" s="243">
        <v>17261</v>
      </c>
      <c r="AV24" s="243">
        <v>17753</v>
      </c>
      <c r="AW24" s="243">
        <v>18451</v>
      </c>
      <c r="AX24" s="244">
        <v>19624</v>
      </c>
      <c r="AY24" s="244">
        <v>19095</v>
      </c>
      <c r="AZ24" s="244">
        <v>9092</v>
      </c>
      <c r="BA24" s="244">
        <v>4</v>
      </c>
      <c r="BB24" s="101"/>
    </row>
    <row r="25" spans="1:70" x14ac:dyDescent="0.3">
      <c r="A25" s="242">
        <v>91</v>
      </c>
      <c r="B25" s="243">
        <v>231</v>
      </c>
      <c r="C25" s="243">
        <v>98.94</v>
      </c>
      <c r="D25" s="243">
        <v>150.96</v>
      </c>
      <c r="E25" s="243">
        <v>634.44000000000005</v>
      </c>
      <c r="F25" s="243">
        <v>93.84</v>
      </c>
      <c r="G25" s="243">
        <v>51</v>
      </c>
      <c r="H25" s="243">
        <v>62.22</v>
      </c>
      <c r="I25" s="243">
        <v>127.5</v>
      </c>
      <c r="J25" s="243">
        <v>87.72</v>
      </c>
      <c r="K25" s="243">
        <v>54.06</v>
      </c>
      <c r="L25" s="243">
        <v>183.6</v>
      </c>
      <c r="M25" s="243">
        <v>109.14</v>
      </c>
      <c r="N25" s="243">
        <v>83.64</v>
      </c>
      <c r="O25" s="243">
        <v>322.32</v>
      </c>
      <c r="P25" s="243">
        <v>179.52</v>
      </c>
      <c r="Q25" s="243">
        <v>454.92</v>
      </c>
      <c r="R25" s="243">
        <v>169.32</v>
      </c>
      <c r="S25" s="243">
        <v>141.78</v>
      </c>
      <c r="T25" s="243">
        <v>100.98</v>
      </c>
      <c r="U25" s="243">
        <v>860.88</v>
      </c>
      <c r="V25" s="243">
        <v>249.9</v>
      </c>
      <c r="W25" s="243">
        <v>139.74</v>
      </c>
      <c r="X25" s="243">
        <v>138.72</v>
      </c>
      <c r="Y25" s="243">
        <v>109.14</v>
      </c>
      <c r="Z25" s="243">
        <v>188.70000000000002</v>
      </c>
      <c r="AA25" s="243">
        <v>167.28</v>
      </c>
      <c r="AB25" s="243">
        <v>91.8</v>
      </c>
      <c r="AC25" s="243">
        <v>164.22</v>
      </c>
      <c r="AD25" s="243">
        <v>135.66</v>
      </c>
      <c r="AE25" s="243">
        <v>95.88</v>
      </c>
      <c r="AF25" s="243">
        <v>133.62</v>
      </c>
      <c r="AG25" s="243">
        <v>215.22</v>
      </c>
      <c r="AH25" s="243">
        <v>162.18</v>
      </c>
      <c r="AI25" s="243">
        <v>155.04</v>
      </c>
      <c r="AJ25" s="243">
        <v>106.08</v>
      </c>
      <c r="AK25" s="243">
        <v>227.46</v>
      </c>
      <c r="AL25" s="243">
        <v>68.34</v>
      </c>
      <c r="AM25" s="243">
        <v>100.98</v>
      </c>
      <c r="AN25" s="243">
        <v>148.92000000000002</v>
      </c>
      <c r="AO25" s="243">
        <v>132.6</v>
      </c>
      <c r="AP25" s="243">
        <v>256.02</v>
      </c>
      <c r="AQ25" s="243">
        <v>93.84</v>
      </c>
      <c r="AR25" s="243">
        <v>88.74</v>
      </c>
      <c r="AS25" s="243">
        <v>219.3</v>
      </c>
      <c r="AT25" s="243">
        <v>220.32</v>
      </c>
      <c r="AU25" s="243">
        <v>230.52</v>
      </c>
      <c r="AV25" s="243">
        <v>72.42</v>
      </c>
      <c r="AW25" s="243">
        <v>0</v>
      </c>
      <c r="AX25" s="244">
        <v>139.74</v>
      </c>
      <c r="AY25" s="244">
        <v>161.16</v>
      </c>
      <c r="AZ25" s="244">
        <v>127.5</v>
      </c>
      <c r="BA25" s="244">
        <v>67.320000000000007</v>
      </c>
    </row>
    <row r="26" spans="1:70" x14ac:dyDescent="0.3">
      <c r="A26" s="242" t="s">
        <v>172</v>
      </c>
      <c r="B26" s="243">
        <v>279</v>
      </c>
      <c r="C26" s="243">
        <v>267.24</v>
      </c>
      <c r="D26" s="243">
        <v>279.48</v>
      </c>
      <c r="E26" s="243">
        <v>266.22000000000003</v>
      </c>
      <c r="F26" s="243">
        <v>516.12</v>
      </c>
      <c r="G26" s="243">
        <v>342.72</v>
      </c>
      <c r="H26" s="243">
        <v>291.72000000000003</v>
      </c>
      <c r="I26" s="243">
        <v>297.84000000000003</v>
      </c>
      <c r="J26" s="243">
        <v>298.86</v>
      </c>
      <c r="K26" s="243">
        <v>256.02</v>
      </c>
      <c r="L26" s="243">
        <v>353.94</v>
      </c>
      <c r="M26" s="243">
        <v>289.68</v>
      </c>
      <c r="N26" s="243">
        <v>308.04000000000002</v>
      </c>
      <c r="O26" s="243">
        <v>286.62</v>
      </c>
      <c r="P26" s="243">
        <v>327.42</v>
      </c>
      <c r="Q26" s="243">
        <v>291.72000000000003</v>
      </c>
      <c r="R26" s="243">
        <v>336.6</v>
      </c>
      <c r="S26" s="243">
        <v>223.38</v>
      </c>
      <c r="T26" s="243">
        <v>194.82</v>
      </c>
      <c r="U26" s="243">
        <v>252.96</v>
      </c>
      <c r="V26" s="243">
        <v>353.94</v>
      </c>
      <c r="W26" s="243">
        <v>140.76</v>
      </c>
      <c r="X26" s="243">
        <v>324.36</v>
      </c>
      <c r="Y26" s="243">
        <v>436.56</v>
      </c>
      <c r="Z26" s="243">
        <v>197.88</v>
      </c>
      <c r="AA26" s="243">
        <v>301.92</v>
      </c>
      <c r="AB26" s="243">
        <v>321.3</v>
      </c>
      <c r="AC26" s="243">
        <v>325.38</v>
      </c>
      <c r="AD26" s="243">
        <v>408</v>
      </c>
      <c r="AE26" s="243">
        <v>275.39999999999998</v>
      </c>
      <c r="AF26" s="243">
        <v>385.56</v>
      </c>
      <c r="AG26" s="243">
        <v>213.18</v>
      </c>
      <c r="AH26" s="243">
        <v>207.06</v>
      </c>
      <c r="AI26" s="243">
        <v>525.29999999999995</v>
      </c>
      <c r="AJ26" s="243">
        <v>364.14</v>
      </c>
      <c r="AK26" s="243">
        <v>275.39999999999998</v>
      </c>
      <c r="AL26" s="243">
        <v>159.12</v>
      </c>
      <c r="AM26" s="243">
        <v>424.32</v>
      </c>
      <c r="AN26" s="243">
        <v>405.96</v>
      </c>
      <c r="AO26" s="243">
        <v>291.72000000000003</v>
      </c>
      <c r="AP26" s="243">
        <v>390.66</v>
      </c>
      <c r="AQ26" s="243">
        <v>320.28000000000003</v>
      </c>
      <c r="AR26" s="243">
        <v>395.76</v>
      </c>
      <c r="AS26" s="243">
        <v>366.18</v>
      </c>
      <c r="AT26" s="243">
        <v>349.86</v>
      </c>
      <c r="AU26" s="243">
        <v>420.24</v>
      </c>
      <c r="AV26" s="243">
        <v>375.36</v>
      </c>
      <c r="AW26" s="243">
        <v>400.86</v>
      </c>
      <c r="AX26" s="244">
        <v>405.96</v>
      </c>
      <c r="AY26" s="244">
        <v>424.32</v>
      </c>
      <c r="AZ26" s="244">
        <v>186.66</v>
      </c>
      <c r="BA26" s="244">
        <v>123.42</v>
      </c>
    </row>
    <row r="27" spans="1:70" s="249" customFormat="1" x14ac:dyDescent="0.3">
      <c r="A27" s="247" t="s">
        <v>286</v>
      </c>
      <c r="B27" s="248">
        <f>SUM(B3:B26)</f>
        <v>49560.260000000009</v>
      </c>
      <c r="C27" s="248">
        <f t="shared" ref="C27:BA27" si="0">SUM(C3:C26)</f>
        <v>45253.52</v>
      </c>
      <c r="D27" s="248">
        <f t="shared" si="0"/>
        <v>40967.979999999996</v>
      </c>
      <c r="E27" s="248">
        <f t="shared" si="0"/>
        <v>39163.600000000006</v>
      </c>
      <c r="F27" s="248">
        <f t="shared" si="0"/>
        <v>32203.46</v>
      </c>
      <c r="G27" s="248">
        <f t="shared" si="0"/>
        <v>30012.760000000002</v>
      </c>
      <c r="H27" s="248">
        <f t="shared" si="0"/>
        <v>29625.52</v>
      </c>
      <c r="I27" s="248">
        <f t="shared" si="0"/>
        <v>32930.160000000003</v>
      </c>
      <c r="J27" s="248">
        <f t="shared" si="0"/>
        <v>29224.640000000003</v>
      </c>
      <c r="K27" s="248">
        <f t="shared" si="0"/>
        <v>41827.869999999995</v>
      </c>
      <c r="L27" s="248">
        <f t="shared" si="0"/>
        <v>36693.040000000001</v>
      </c>
      <c r="M27" s="248">
        <f t="shared" si="0"/>
        <v>32570.200000000004</v>
      </c>
      <c r="N27" s="248">
        <f t="shared" si="0"/>
        <v>38118.909999999996</v>
      </c>
      <c r="O27" s="248">
        <f t="shared" si="0"/>
        <v>28491.059999999998</v>
      </c>
      <c r="P27" s="248">
        <f t="shared" si="0"/>
        <v>29309.599999999999</v>
      </c>
      <c r="Q27" s="248">
        <f t="shared" si="0"/>
        <v>28584.940000000002</v>
      </c>
      <c r="R27" s="248">
        <f t="shared" si="0"/>
        <v>24994.04</v>
      </c>
      <c r="S27" s="248">
        <f t="shared" si="0"/>
        <v>23813.919999999998</v>
      </c>
      <c r="T27" s="248">
        <f t="shared" si="0"/>
        <v>23480.06</v>
      </c>
      <c r="U27" s="248">
        <f t="shared" si="0"/>
        <v>27046.100000000002</v>
      </c>
      <c r="V27" s="248">
        <f t="shared" si="0"/>
        <v>24644.66</v>
      </c>
      <c r="W27" s="248">
        <f t="shared" si="0"/>
        <v>21607.839999999997</v>
      </c>
      <c r="X27" s="248">
        <f t="shared" si="0"/>
        <v>28854.500000000004</v>
      </c>
      <c r="Y27" s="248">
        <f t="shared" si="0"/>
        <v>26343</v>
      </c>
      <c r="Z27" s="248">
        <f t="shared" si="0"/>
        <v>31686.420000000002</v>
      </c>
      <c r="AA27" s="248">
        <f t="shared" si="0"/>
        <v>25670.239999999998</v>
      </c>
      <c r="AB27" s="248">
        <f t="shared" si="0"/>
        <v>30813.760000000002</v>
      </c>
      <c r="AC27" s="248">
        <f t="shared" si="0"/>
        <v>31887.980000000007</v>
      </c>
      <c r="AD27" s="248">
        <f t="shared" si="0"/>
        <v>26698.3</v>
      </c>
      <c r="AE27" s="248">
        <f t="shared" si="0"/>
        <v>25462.120000000006</v>
      </c>
      <c r="AF27" s="248">
        <f t="shared" si="0"/>
        <v>29774.300000000003</v>
      </c>
      <c r="AG27" s="248">
        <f t="shared" si="0"/>
        <v>22115.260000000002</v>
      </c>
      <c r="AH27" s="248">
        <f t="shared" si="0"/>
        <v>24493.680000000004</v>
      </c>
      <c r="AI27" s="248">
        <f t="shared" si="0"/>
        <v>30950.86</v>
      </c>
      <c r="AJ27" s="248">
        <f t="shared" si="0"/>
        <v>30592.600000000002</v>
      </c>
      <c r="AK27" s="248">
        <f t="shared" si="0"/>
        <v>31908.89</v>
      </c>
      <c r="AL27" s="248">
        <f t="shared" si="0"/>
        <v>29098.739999999998</v>
      </c>
      <c r="AM27" s="248">
        <f t="shared" si="0"/>
        <v>29609.39</v>
      </c>
      <c r="AN27" s="248">
        <f t="shared" si="0"/>
        <v>33802.479999999996</v>
      </c>
      <c r="AO27" s="248">
        <f t="shared" si="0"/>
        <v>28319.240000000005</v>
      </c>
      <c r="AP27" s="248">
        <f t="shared" si="0"/>
        <v>36681.4</v>
      </c>
      <c r="AQ27" s="248">
        <f t="shared" si="0"/>
        <v>36249.899999999994</v>
      </c>
      <c r="AR27" s="248">
        <f t="shared" si="0"/>
        <v>37247.4</v>
      </c>
      <c r="AS27" s="248">
        <f t="shared" si="0"/>
        <v>28382.059999999998</v>
      </c>
      <c r="AT27" s="248">
        <f t="shared" si="0"/>
        <v>57200.659999999996</v>
      </c>
      <c r="AU27" s="248">
        <f t="shared" si="0"/>
        <v>44707.119999999995</v>
      </c>
      <c r="AV27" s="248">
        <f t="shared" si="0"/>
        <v>46146.520000000004</v>
      </c>
      <c r="AW27" s="248">
        <f t="shared" si="0"/>
        <v>53659.32</v>
      </c>
      <c r="AX27" s="248">
        <f t="shared" si="0"/>
        <v>46333.34</v>
      </c>
      <c r="AY27" s="248">
        <f t="shared" si="0"/>
        <v>59366.580000000009</v>
      </c>
      <c r="AZ27" s="248">
        <f t="shared" si="0"/>
        <v>32881.78</v>
      </c>
      <c r="BA27" s="248">
        <f t="shared" si="0"/>
        <v>9371.5</v>
      </c>
    </row>
    <row r="29" spans="1:70" x14ac:dyDescent="0.3">
      <c r="B29" s="101"/>
      <c r="C29" s="101"/>
      <c r="D29" s="101"/>
      <c r="E29" s="101"/>
      <c r="F29" s="101"/>
      <c r="G29" s="101"/>
      <c r="H29" s="101"/>
      <c r="I29" s="101"/>
      <c r="J29" s="101"/>
      <c r="K29" s="101"/>
      <c r="L29" s="101"/>
      <c r="M29" s="101"/>
      <c r="N29" s="101"/>
      <c r="O29" s="101"/>
      <c r="P29" s="101"/>
      <c r="Q29" s="101"/>
      <c r="R29" s="101"/>
      <c r="S29" s="101"/>
      <c r="T29" s="101"/>
      <c r="U29" s="101"/>
      <c r="V29" s="101"/>
      <c r="W29" s="101"/>
      <c r="X29" s="101"/>
      <c r="Y29" s="101"/>
      <c r="Z29" s="101"/>
      <c r="AA29" s="101"/>
      <c r="AB29" s="101"/>
      <c r="AC29" s="101"/>
      <c r="AD29" s="101"/>
      <c r="AE29" s="101"/>
      <c r="AF29" s="101"/>
      <c r="AG29" s="101"/>
      <c r="AH29" s="101"/>
      <c r="AI29" s="101"/>
      <c r="AJ29" s="101"/>
    </row>
    <row r="30" spans="1:70" ht="31.2" customHeight="1" x14ac:dyDescent="0.3">
      <c r="A30" s="242" t="s">
        <v>281</v>
      </c>
      <c r="B30" s="238"/>
      <c r="C30" s="238"/>
      <c r="D30" s="238"/>
      <c r="E30" s="238"/>
      <c r="F30" s="238"/>
      <c r="G30" s="238"/>
      <c r="H30" s="238"/>
      <c r="I30" s="238"/>
      <c r="J30" s="238"/>
      <c r="K30" s="238"/>
      <c r="L30" s="238"/>
      <c r="M30" s="238"/>
      <c r="N30" s="238"/>
      <c r="O30" s="238"/>
      <c r="P30" s="238"/>
      <c r="Q30" s="238"/>
      <c r="R30" s="238"/>
      <c r="S30" s="238"/>
      <c r="T30" s="238"/>
      <c r="U30" s="238"/>
      <c r="V30" s="238"/>
      <c r="W30" s="238"/>
      <c r="X30" s="238"/>
      <c r="Y30" s="238"/>
      <c r="Z30" s="238"/>
      <c r="AA30" s="238"/>
      <c r="AB30" s="238"/>
      <c r="AC30" s="238"/>
      <c r="AD30" s="238"/>
      <c r="AE30" s="238"/>
      <c r="AF30" s="238"/>
      <c r="AG30" s="238"/>
      <c r="AH30" s="238"/>
      <c r="AI30" s="238"/>
      <c r="AJ30" s="238"/>
      <c r="AK30" s="185"/>
      <c r="AL30" s="185"/>
      <c r="AM30" s="185"/>
      <c r="AN30" s="185"/>
      <c r="AO30" s="185"/>
      <c r="AP30" s="185"/>
      <c r="AQ30" s="185"/>
      <c r="AR30" s="185"/>
      <c r="AS30" s="185"/>
      <c r="AT30" s="185"/>
      <c r="AU30" s="185"/>
      <c r="AV30" s="185"/>
      <c r="AW30" s="185"/>
      <c r="AX30" s="185"/>
      <c r="AY30" s="185"/>
      <c r="AZ30" s="185"/>
      <c r="BA30" s="185"/>
    </row>
    <row r="31" spans="1:70" x14ac:dyDescent="0.3">
      <c r="A31" s="242" t="s">
        <v>289</v>
      </c>
      <c r="B31" s="239">
        <v>1</v>
      </c>
      <c r="C31" s="199">
        <v>2</v>
      </c>
      <c r="D31" s="239">
        <v>3</v>
      </c>
      <c r="E31" s="199">
        <v>4</v>
      </c>
      <c r="F31" s="239">
        <v>5</v>
      </c>
      <c r="G31" s="199">
        <v>6</v>
      </c>
      <c r="H31" s="239">
        <v>7</v>
      </c>
      <c r="I31" s="199">
        <v>8</v>
      </c>
      <c r="J31" s="239">
        <v>9</v>
      </c>
      <c r="K31" s="199">
        <v>10</v>
      </c>
      <c r="L31" s="239">
        <v>11</v>
      </c>
      <c r="M31" s="199">
        <v>12</v>
      </c>
      <c r="N31" s="239">
        <v>13</v>
      </c>
      <c r="O31" s="199">
        <v>14</v>
      </c>
      <c r="P31" s="239">
        <v>15</v>
      </c>
      <c r="Q31" s="199">
        <v>16</v>
      </c>
      <c r="R31" s="239">
        <v>17</v>
      </c>
      <c r="S31" s="199">
        <v>18</v>
      </c>
      <c r="T31" s="239">
        <v>19</v>
      </c>
      <c r="U31" s="199">
        <v>20</v>
      </c>
      <c r="V31" s="239">
        <v>21</v>
      </c>
      <c r="W31" s="199">
        <v>22</v>
      </c>
      <c r="X31" s="239">
        <v>23</v>
      </c>
      <c r="Y31" s="199">
        <v>24</v>
      </c>
      <c r="Z31" s="239">
        <v>25</v>
      </c>
      <c r="AA31" s="199">
        <v>26</v>
      </c>
      <c r="AB31" s="239">
        <v>27</v>
      </c>
      <c r="AC31" s="199">
        <v>28</v>
      </c>
      <c r="AD31" s="239">
        <v>29</v>
      </c>
      <c r="AE31" s="199">
        <v>30</v>
      </c>
      <c r="AF31" s="239">
        <v>31</v>
      </c>
      <c r="AG31" s="199">
        <v>32</v>
      </c>
      <c r="AH31" s="239">
        <v>33</v>
      </c>
      <c r="AI31" s="199">
        <v>34</v>
      </c>
      <c r="AJ31" s="239">
        <v>35</v>
      </c>
      <c r="AK31" s="199">
        <v>36</v>
      </c>
      <c r="AL31" s="239">
        <v>37</v>
      </c>
      <c r="AM31" s="199">
        <v>38</v>
      </c>
      <c r="AN31" s="239">
        <v>39</v>
      </c>
      <c r="AO31" s="199">
        <v>40</v>
      </c>
      <c r="AP31" s="239">
        <v>41</v>
      </c>
      <c r="AQ31" s="199">
        <v>42</v>
      </c>
      <c r="AR31" s="239">
        <v>43</v>
      </c>
      <c r="AS31" s="199">
        <v>44</v>
      </c>
      <c r="AT31" s="239">
        <v>45</v>
      </c>
      <c r="AU31" s="199">
        <v>46</v>
      </c>
      <c r="AV31" s="239">
        <v>47</v>
      </c>
      <c r="AW31" s="199">
        <v>48</v>
      </c>
      <c r="AX31" s="239">
        <v>49</v>
      </c>
      <c r="AY31" s="199">
        <v>50</v>
      </c>
      <c r="AZ31" s="239">
        <v>51</v>
      </c>
      <c r="BA31" s="199">
        <v>52</v>
      </c>
    </row>
    <row r="32" spans="1:70" x14ac:dyDescent="0.3">
      <c r="A32" s="178">
        <v>12</v>
      </c>
      <c r="B32" s="243">
        <v>0</v>
      </c>
      <c r="C32" s="243">
        <v>0</v>
      </c>
      <c r="D32" s="243">
        <v>0</v>
      </c>
      <c r="E32" s="243">
        <v>0</v>
      </c>
      <c r="F32" s="243">
        <v>0</v>
      </c>
      <c r="G32" s="243">
        <v>0</v>
      </c>
      <c r="H32" s="243">
        <v>0</v>
      </c>
      <c r="I32" s="243">
        <v>0</v>
      </c>
      <c r="J32" s="243">
        <v>0</v>
      </c>
      <c r="K32" s="243">
        <v>0</v>
      </c>
      <c r="L32" s="243">
        <v>0</v>
      </c>
      <c r="M32" s="243">
        <v>0</v>
      </c>
      <c r="N32" s="243">
        <v>0</v>
      </c>
      <c r="O32" s="243">
        <v>0</v>
      </c>
      <c r="P32" s="243">
        <v>0</v>
      </c>
      <c r="Q32" s="243">
        <v>0</v>
      </c>
      <c r="R32" s="243">
        <v>0</v>
      </c>
      <c r="S32" s="243">
        <v>0</v>
      </c>
      <c r="T32" s="243">
        <v>0</v>
      </c>
      <c r="U32" s="243">
        <v>0</v>
      </c>
      <c r="V32" s="243">
        <v>0</v>
      </c>
      <c r="W32" s="243">
        <v>0</v>
      </c>
      <c r="X32" s="243">
        <v>0</v>
      </c>
      <c r="Y32" s="243">
        <v>0</v>
      </c>
      <c r="Z32" s="243">
        <v>0</v>
      </c>
      <c r="AA32" s="243">
        <v>0</v>
      </c>
      <c r="AB32" s="243">
        <v>0</v>
      </c>
      <c r="AC32" s="243">
        <v>0</v>
      </c>
      <c r="AD32" s="243">
        <v>0</v>
      </c>
      <c r="AE32" s="243">
        <v>0</v>
      </c>
      <c r="AF32" s="243">
        <v>0</v>
      </c>
      <c r="AG32" s="243">
        <v>0</v>
      </c>
      <c r="AH32" s="243">
        <v>0</v>
      </c>
      <c r="AI32" s="243">
        <v>0</v>
      </c>
      <c r="AJ32" s="243">
        <v>0</v>
      </c>
      <c r="AK32" s="243">
        <v>0</v>
      </c>
      <c r="AL32" s="243">
        <v>0</v>
      </c>
      <c r="AM32" s="243">
        <v>0</v>
      </c>
      <c r="AN32" s="243">
        <v>0</v>
      </c>
      <c r="AO32" s="243">
        <v>0</v>
      </c>
      <c r="AP32" s="243">
        <v>0</v>
      </c>
      <c r="AQ32" s="243">
        <v>0</v>
      </c>
      <c r="AR32" s="243">
        <v>0</v>
      </c>
      <c r="AS32" s="243">
        <v>0</v>
      </c>
      <c r="AT32" s="243">
        <v>0</v>
      </c>
      <c r="AU32" s="243">
        <v>0</v>
      </c>
      <c r="AV32" s="243">
        <v>0</v>
      </c>
      <c r="AW32" s="243">
        <v>0</v>
      </c>
      <c r="AX32" s="243">
        <v>0</v>
      </c>
      <c r="AY32" s="243">
        <v>0</v>
      </c>
      <c r="AZ32" s="243">
        <v>0</v>
      </c>
      <c r="BA32" s="243">
        <v>0</v>
      </c>
      <c r="BB32" s="101"/>
      <c r="BC32" s="101"/>
      <c r="BD32" s="101"/>
      <c r="BE32" s="101"/>
      <c r="BF32" s="101"/>
      <c r="BG32" s="101"/>
      <c r="BH32" s="101"/>
      <c r="BI32" s="101"/>
      <c r="BJ32" s="101"/>
      <c r="BK32" s="101"/>
      <c r="BL32" s="101"/>
      <c r="BM32" s="101"/>
      <c r="BN32" s="101"/>
      <c r="BO32" s="101"/>
      <c r="BP32" s="101"/>
      <c r="BQ32" s="101"/>
      <c r="BR32" s="101"/>
    </row>
    <row r="33" spans="1:65" x14ac:dyDescent="0.3">
      <c r="A33" s="178">
        <v>17</v>
      </c>
      <c r="B33" s="243">
        <v>0</v>
      </c>
      <c r="C33" s="243">
        <v>0</v>
      </c>
      <c r="D33" s="243">
        <v>0</v>
      </c>
      <c r="E33" s="243">
        <v>0</v>
      </c>
      <c r="F33" s="243">
        <v>0</v>
      </c>
      <c r="G33" s="243">
        <v>0</v>
      </c>
      <c r="H33" s="243">
        <v>0</v>
      </c>
      <c r="I33" s="243">
        <v>0</v>
      </c>
      <c r="J33" s="243">
        <v>0</v>
      </c>
      <c r="K33" s="243">
        <v>0</v>
      </c>
      <c r="L33" s="243">
        <v>0</v>
      </c>
      <c r="M33" s="243">
        <v>0</v>
      </c>
      <c r="N33" s="243">
        <v>0</v>
      </c>
      <c r="O33" s="243">
        <v>0</v>
      </c>
      <c r="P33" s="243">
        <v>0</v>
      </c>
      <c r="Q33" s="243">
        <v>0</v>
      </c>
      <c r="R33" s="243">
        <v>0</v>
      </c>
      <c r="S33" s="243">
        <v>0</v>
      </c>
      <c r="T33" s="243">
        <v>0</v>
      </c>
      <c r="U33" s="243">
        <v>0</v>
      </c>
      <c r="V33" s="243">
        <v>0</v>
      </c>
      <c r="W33" s="243">
        <v>0</v>
      </c>
      <c r="X33" s="243">
        <v>0</v>
      </c>
      <c r="Y33" s="243">
        <v>0</v>
      </c>
      <c r="Z33" s="243">
        <v>0</v>
      </c>
      <c r="AA33" s="243">
        <v>0</v>
      </c>
      <c r="AB33" s="243">
        <v>0</v>
      </c>
      <c r="AC33" s="243">
        <v>0</v>
      </c>
      <c r="AD33" s="243">
        <v>0</v>
      </c>
      <c r="AE33" s="243">
        <v>0</v>
      </c>
      <c r="AF33" s="243">
        <v>0</v>
      </c>
      <c r="AG33" s="243">
        <v>0</v>
      </c>
      <c r="AH33" s="243">
        <v>0</v>
      </c>
      <c r="AI33" s="243">
        <v>0</v>
      </c>
      <c r="AJ33" s="243">
        <v>0</v>
      </c>
      <c r="AK33" s="243">
        <v>0</v>
      </c>
      <c r="AL33" s="243">
        <v>0</v>
      </c>
      <c r="AM33" s="243">
        <v>0</v>
      </c>
      <c r="AN33" s="243">
        <v>0</v>
      </c>
      <c r="AO33" s="243">
        <v>0</v>
      </c>
      <c r="AP33" s="243">
        <v>0</v>
      </c>
      <c r="AQ33" s="243">
        <v>0</v>
      </c>
      <c r="AR33" s="243">
        <v>0</v>
      </c>
      <c r="AS33" s="243">
        <v>0</v>
      </c>
      <c r="AT33" s="243">
        <v>0</v>
      </c>
      <c r="AU33" s="243">
        <v>0</v>
      </c>
      <c r="AV33" s="243">
        <v>0</v>
      </c>
      <c r="AW33" s="243">
        <v>0</v>
      </c>
      <c r="AX33" s="243">
        <v>0</v>
      </c>
      <c r="AY33" s="243">
        <v>0</v>
      </c>
      <c r="AZ33" s="243">
        <v>0</v>
      </c>
      <c r="BA33" s="243">
        <v>0</v>
      </c>
    </row>
    <row r="34" spans="1:65" x14ac:dyDescent="0.3">
      <c r="A34" s="237">
        <v>21</v>
      </c>
      <c r="B34" s="243">
        <v>8255.880000000001</v>
      </c>
      <c r="C34" s="243">
        <v>9327.9</v>
      </c>
      <c r="D34" s="243">
        <v>15837.54</v>
      </c>
      <c r="E34" s="243">
        <v>16221.06</v>
      </c>
      <c r="F34" s="243">
        <v>9564.5400000000009</v>
      </c>
      <c r="G34" s="243">
        <v>8626.14</v>
      </c>
      <c r="H34" s="243">
        <v>8486.4</v>
      </c>
      <c r="I34" s="243">
        <v>10303.34</v>
      </c>
      <c r="J34" s="243">
        <v>8650.6200000000008</v>
      </c>
      <c r="K34" s="243">
        <v>9888.9</v>
      </c>
      <c r="L34" s="243">
        <v>8381.34</v>
      </c>
      <c r="M34" s="243">
        <v>8981.1</v>
      </c>
      <c r="N34" s="243">
        <v>9240.18</v>
      </c>
      <c r="O34" s="243">
        <v>7222.3</v>
      </c>
      <c r="P34" s="243">
        <v>8689.380000000001</v>
      </c>
      <c r="Q34" s="243">
        <v>6662.64</v>
      </c>
      <c r="R34" s="243">
        <v>7703.04</v>
      </c>
      <c r="S34" s="243">
        <v>7558.26</v>
      </c>
      <c r="T34" s="243">
        <v>6836.12</v>
      </c>
      <c r="U34" s="243">
        <v>8310</v>
      </c>
      <c r="V34" s="243">
        <v>7214.46</v>
      </c>
      <c r="W34" s="243">
        <v>5905.8</v>
      </c>
      <c r="X34" s="243">
        <v>8091.08</v>
      </c>
      <c r="Y34" s="243">
        <v>7005.3</v>
      </c>
      <c r="Z34" s="243">
        <v>9501.5399999999991</v>
      </c>
      <c r="AA34" s="243">
        <v>7461.3</v>
      </c>
      <c r="AB34" s="243">
        <v>7059.9000000000005</v>
      </c>
      <c r="AC34" s="243">
        <v>6454.64</v>
      </c>
      <c r="AD34" s="243">
        <v>6817.02</v>
      </c>
      <c r="AE34" s="243">
        <v>5511.3</v>
      </c>
      <c r="AF34" s="243">
        <v>6723.4000000000005</v>
      </c>
      <c r="AG34" s="243">
        <v>6202.34</v>
      </c>
      <c r="AH34" s="243">
        <v>11686.060000000001</v>
      </c>
      <c r="AI34" s="243">
        <v>6132.6200000000008</v>
      </c>
      <c r="AJ34" s="243">
        <v>9504.5</v>
      </c>
      <c r="AK34" s="243">
        <v>6988</v>
      </c>
      <c r="AL34" s="243">
        <v>10282</v>
      </c>
      <c r="AM34" s="243">
        <v>11904</v>
      </c>
      <c r="AN34" s="243">
        <v>8928</v>
      </c>
      <c r="AO34" s="243">
        <v>6183</v>
      </c>
      <c r="AP34" s="243">
        <v>8594</v>
      </c>
      <c r="AQ34" s="243">
        <v>12712</v>
      </c>
      <c r="AR34" s="243">
        <v>9367</v>
      </c>
      <c r="AS34" s="243">
        <v>8774</v>
      </c>
      <c r="AT34" s="243">
        <v>10596</v>
      </c>
      <c r="AU34" s="243">
        <v>9795</v>
      </c>
      <c r="AV34" s="243">
        <v>9868</v>
      </c>
      <c r="AW34" s="243">
        <v>14264</v>
      </c>
      <c r="AX34" s="243">
        <v>15475</v>
      </c>
      <c r="AY34" s="243">
        <v>13368</v>
      </c>
      <c r="AZ34" s="243">
        <v>5940</v>
      </c>
      <c r="BA34" s="243">
        <v>1230</v>
      </c>
      <c r="BB34" s="101"/>
      <c r="BC34" s="101"/>
      <c r="BD34" s="101"/>
      <c r="BE34" s="101"/>
      <c r="BF34" s="101"/>
    </row>
    <row r="35" spans="1:65" x14ac:dyDescent="0.3">
      <c r="A35" s="178">
        <v>22</v>
      </c>
      <c r="B35" s="243">
        <v>4025</v>
      </c>
      <c r="C35" s="243">
        <v>4139.16</v>
      </c>
      <c r="D35" s="243">
        <v>3046.7400000000002</v>
      </c>
      <c r="E35" s="243">
        <v>4549.2</v>
      </c>
      <c r="F35" s="243">
        <v>3880.08</v>
      </c>
      <c r="G35" s="243">
        <v>3690.36</v>
      </c>
      <c r="H35" s="243">
        <v>3687.3</v>
      </c>
      <c r="I35" s="243">
        <v>4160.58</v>
      </c>
      <c r="J35" s="243">
        <v>4804.2</v>
      </c>
      <c r="K35" s="243">
        <v>3765.84</v>
      </c>
      <c r="L35" s="243">
        <v>4418.6400000000003</v>
      </c>
      <c r="M35" s="243">
        <v>4427.82</v>
      </c>
      <c r="N35" s="243">
        <v>3289.5</v>
      </c>
      <c r="O35" s="243">
        <v>4146.3</v>
      </c>
      <c r="P35" s="243">
        <v>4688.9400000000005</v>
      </c>
      <c r="Q35" s="243">
        <v>2923.32</v>
      </c>
      <c r="R35" s="243">
        <v>3643.44</v>
      </c>
      <c r="S35" s="243">
        <v>2738.7000000000003</v>
      </c>
      <c r="T35" s="243">
        <v>2634.66</v>
      </c>
      <c r="U35" s="243">
        <v>2744.82</v>
      </c>
      <c r="V35" s="243">
        <v>3662.82</v>
      </c>
      <c r="W35" s="243">
        <v>2845.8</v>
      </c>
      <c r="X35" s="243">
        <v>3118.14</v>
      </c>
      <c r="Y35" s="243">
        <v>3289.5</v>
      </c>
      <c r="Z35" s="243">
        <v>3156.9</v>
      </c>
      <c r="AA35" s="243">
        <v>3141.6</v>
      </c>
      <c r="AB35" s="243">
        <v>2581.62</v>
      </c>
      <c r="AC35" s="243">
        <v>2286.84</v>
      </c>
      <c r="AD35" s="243">
        <v>2507.16</v>
      </c>
      <c r="AE35" s="243">
        <v>2945.76</v>
      </c>
      <c r="AF35" s="243">
        <v>2679.54</v>
      </c>
      <c r="AG35" s="243">
        <v>2487.7800000000002</v>
      </c>
      <c r="AH35" s="243">
        <v>2955.96</v>
      </c>
      <c r="AI35" s="243">
        <v>2438.8200000000002</v>
      </c>
      <c r="AJ35" s="243">
        <v>2843.76</v>
      </c>
      <c r="AK35" s="243">
        <v>3076.32</v>
      </c>
      <c r="AL35" s="243">
        <v>3155.88</v>
      </c>
      <c r="AM35" s="243">
        <v>3390.48</v>
      </c>
      <c r="AN35" s="243">
        <v>3095.7000000000003</v>
      </c>
      <c r="AO35" s="243">
        <v>4644.0600000000004</v>
      </c>
      <c r="AP35" s="243">
        <v>4549.2</v>
      </c>
      <c r="AQ35" s="243">
        <v>4254.42</v>
      </c>
      <c r="AR35" s="243">
        <v>3612.84</v>
      </c>
      <c r="AS35" s="243">
        <v>3683.2200000000003</v>
      </c>
      <c r="AT35" s="243">
        <v>4291.1400000000003</v>
      </c>
      <c r="AU35" s="243">
        <v>3521.04</v>
      </c>
      <c r="AV35" s="243">
        <v>7123.68</v>
      </c>
      <c r="AW35" s="243">
        <v>4242.18</v>
      </c>
      <c r="AX35" s="243">
        <v>5174.46</v>
      </c>
      <c r="AY35" s="243">
        <v>4448.22</v>
      </c>
      <c r="AZ35" s="243">
        <v>1856.4</v>
      </c>
      <c r="BA35" s="243">
        <v>1868.64</v>
      </c>
      <c r="BB35" s="101"/>
      <c r="BC35" s="101"/>
      <c r="BD35" s="101"/>
      <c r="BE35" s="101"/>
      <c r="BF35" s="101"/>
      <c r="BG35" s="101"/>
    </row>
    <row r="36" spans="1:65" x14ac:dyDescent="0.3">
      <c r="A36" s="178">
        <v>25</v>
      </c>
      <c r="B36" s="243">
        <v>471</v>
      </c>
      <c r="C36" s="243">
        <v>2300.1</v>
      </c>
      <c r="D36" s="243">
        <v>1090.3800000000001</v>
      </c>
      <c r="E36" s="243">
        <v>1095.48</v>
      </c>
      <c r="F36" s="243">
        <v>1267.8600000000001</v>
      </c>
      <c r="G36" s="243">
        <v>1555.5</v>
      </c>
      <c r="H36" s="243">
        <v>1555.5</v>
      </c>
      <c r="I36" s="243">
        <v>1321.92</v>
      </c>
      <c r="J36" s="243">
        <v>2716.26</v>
      </c>
      <c r="K36" s="243">
        <v>1744.2</v>
      </c>
      <c r="L36" s="243">
        <v>1811.52</v>
      </c>
      <c r="M36" s="243">
        <v>1991.04</v>
      </c>
      <c r="N36" s="243">
        <v>1809.48</v>
      </c>
      <c r="O36" s="243">
        <v>2017.56</v>
      </c>
      <c r="P36" s="243">
        <v>2916.18</v>
      </c>
      <c r="Q36" s="243">
        <v>2558.16</v>
      </c>
      <c r="R36" s="243">
        <v>2059.38</v>
      </c>
      <c r="S36" s="243">
        <v>1609.56</v>
      </c>
      <c r="T36" s="243">
        <v>1505.52</v>
      </c>
      <c r="U36" s="243">
        <v>2085.9</v>
      </c>
      <c r="V36" s="243">
        <v>2616.3000000000002</v>
      </c>
      <c r="W36" s="243">
        <v>2026.74</v>
      </c>
      <c r="X36" s="243">
        <v>2236.86</v>
      </c>
      <c r="Y36" s="243">
        <v>1882.92</v>
      </c>
      <c r="Z36" s="243">
        <v>2884.56</v>
      </c>
      <c r="AA36" s="243">
        <v>2418.42</v>
      </c>
      <c r="AB36" s="243">
        <v>1783.98</v>
      </c>
      <c r="AC36" s="243">
        <v>2054.2800000000002</v>
      </c>
      <c r="AD36" s="243">
        <v>2167.5</v>
      </c>
      <c r="AE36" s="243">
        <v>1903.32</v>
      </c>
      <c r="AF36" s="243">
        <v>1794.18</v>
      </c>
      <c r="AG36" s="243">
        <v>2613.2400000000002</v>
      </c>
      <c r="AH36" s="243">
        <v>1386.18</v>
      </c>
      <c r="AI36" s="243">
        <v>1573.8600000000001</v>
      </c>
      <c r="AJ36" s="243">
        <v>2611.1999999999998</v>
      </c>
      <c r="AK36" s="243">
        <v>2312.34</v>
      </c>
      <c r="AL36" s="243">
        <v>2404.14</v>
      </c>
      <c r="AM36" s="243">
        <v>2316.42</v>
      </c>
      <c r="AN36" s="243">
        <v>3767.88</v>
      </c>
      <c r="AO36" s="243">
        <v>2714.2200000000003</v>
      </c>
      <c r="AP36" s="243">
        <v>3120.18</v>
      </c>
      <c r="AQ36" s="243">
        <v>2858.04</v>
      </c>
      <c r="AR36" s="243">
        <v>4219.74</v>
      </c>
      <c r="AS36" s="243">
        <v>3107.94</v>
      </c>
      <c r="AT36" s="243">
        <v>4260.54</v>
      </c>
      <c r="AU36" s="243">
        <v>3432.3</v>
      </c>
      <c r="AV36" s="243">
        <v>5216.28</v>
      </c>
      <c r="AW36" s="243">
        <v>3046.7400000000002</v>
      </c>
      <c r="AX36" s="243">
        <v>3398.64</v>
      </c>
      <c r="AY36" s="243">
        <v>4145.28</v>
      </c>
      <c r="AZ36" s="243">
        <v>687.48</v>
      </c>
      <c r="BA36" s="243">
        <v>0</v>
      </c>
      <c r="BB36" s="101"/>
      <c r="BC36" s="101"/>
      <c r="BD36" s="101"/>
      <c r="BE36" s="101"/>
      <c r="BF36" s="101"/>
      <c r="BG36" s="101"/>
    </row>
    <row r="37" spans="1:65" x14ac:dyDescent="0.3">
      <c r="A37" s="178">
        <v>26</v>
      </c>
      <c r="B37" s="243">
        <v>1799</v>
      </c>
      <c r="C37" s="243">
        <v>2121.6</v>
      </c>
      <c r="D37" s="243">
        <v>1162.8</v>
      </c>
      <c r="E37" s="243">
        <v>1087.32</v>
      </c>
      <c r="F37" s="243">
        <v>1692.18</v>
      </c>
      <c r="G37" s="243">
        <v>1763.58</v>
      </c>
      <c r="H37" s="243">
        <v>1763.58</v>
      </c>
      <c r="I37" s="243">
        <v>1005.72</v>
      </c>
      <c r="J37" s="243">
        <v>1119.96</v>
      </c>
      <c r="K37" s="243">
        <v>1000.62</v>
      </c>
      <c r="L37" s="243">
        <v>1446.3600000000001</v>
      </c>
      <c r="M37" s="243">
        <v>958.80000000000007</v>
      </c>
      <c r="N37" s="243">
        <v>243.78</v>
      </c>
      <c r="O37" s="243">
        <v>1025.0999999999999</v>
      </c>
      <c r="P37" s="243">
        <v>608.94000000000005</v>
      </c>
      <c r="Q37" s="243">
        <v>1123.02</v>
      </c>
      <c r="R37" s="243">
        <v>1718.7</v>
      </c>
      <c r="S37" s="243">
        <v>594.66</v>
      </c>
      <c r="T37" s="243">
        <v>758.88</v>
      </c>
      <c r="U37" s="243">
        <v>702.78</v>
      </c>
      <c r="V37" s="243">
        <v>1907.4</v>
      </c>
      <c r="W37" s="243">
        <v>183.6</v>
      </c>
      <c r="X37" s="243">
        <v>763.98</v>
      </c>
      <c r="Y37" s="243">
        <v>367.2</v>
      </c>
      <c r="Z37" s="243">
        <v>597.72</v>
      </c>
      <c r="AA37" s="243">
        <v>686.46</v>
      </c>
      <c r="AB37" s="243">
        <v>290.7</v>
      </c>
      <c r="AC37" s="243">
        <v>259.08</v>
      </c>
      <c r="AD37" s="243">
        <v>263.16000000000003</v>
      </c>
      <c r="AE37" s="243">
        <v>180.54</v>
      </c>
      <c r="AF37" s="243">
        <v>414.12</v>
      </c>
      <c r="AG37" s="243">
        <v>675.24</v>
      </c>
      <c r="AH37" s="243">
        <v>539.58000000000004</v>
      </c>
      <c r="AI37" s="243">
        <v>642.6</v>
      </c>
      <c r="AJ37" s="243">
        <v>610.98</v>
      </c>
      <c r="AK37" s="243">
        <v>812.94</v>
      </c>
      <c r="AL37" s="243">
        <v>810.9</v>
      </c>
      <c r="AM37" s="243">
        <v>561</v>
      </c>
      <c r="AN37" s="243">
        <v>474.3</v>
      </c>
      <c r="AO37" s="243">
        <v>480.42</v>
      </c>
      <c r="AP37" s="243">
        <v>761.94</v>
      </c>
      <c r="AQ37" s="243">
        <v>250.92000000000002</v>
      </c>
      <c r="AR37" s="243">
        <v>884.34</v>
      </c>
      <c r="AS37" s="243">
        <v>384.54</v>
      </c>
      <c r="AT37" s="243">
        <v>784.38</v>
      </c>
      <c r="AU37" s="243">
        <v>1029.18</v>
      </c>
      <c r="AV37" s="243">
        <v>439.62</v>
      </c>
      <c r="AW37" s="243">
        <v>583.44000000000005</v>
      </c>
      <c r="AX37" s="243">
        <v>1191.3600000000001</v>
      </c>
      <c r="AY37" s="243">
        <v>142.80000000000001</v>
      </c>
      <c r="AZ37" s="243">
        <v>7.1400000000000006</v>
      </c>
      <c r="BA37" s="243">
        <v>0</v>
      </c>
      <c r="BB37" s="101"/>
      <c r="BC37" s="101"/>
      <c r="BD37" s="101"/>
      <c r="BE37" s="101"/>
      <c r="BF37" s="101"/>
    </row>
    <row r="38" spans="1:65" x14ac:dyDescent="0.3">
      <c r="A38" s="178">
        <v>27</v>
      </c>
      <c r="B38" s="243">
        <v>8</v>
      </c>
      <c r="C38" s="243">
        <v>95.88</v>
      </c>
      <c r="D38" s="243">
        <v>33.660000000000004</v>
      </c>
      <c r="E38" s="243">
        <v>11.22</v>
      </c>
      <c r="F38" s="243">
        <v>59.160000000000004</v>
      </c>
      <c r="G38" s="243">
        <v>24.48</v>
      </c>
      <c r="H38" s="243">
        <v>24.48</v>
      </c>
      <c r="I38" s="243">
        <v>8.16</v>
      </c>
      <c r="J38" s="243">
        <v>65.28</v>
      </c>
      <c r="K38" s="243">
        <v>33.660000000000004</v>
      </c>
      <c r="L38" s="243">
        <v>33.660000000000004</v>
      </c>
      <c r="M38" s="243">
        <v>38.76</v>
      </c>
      <c r="N38" s="243">
        <v>6.12</v>
      </c>
      <c r="O38" s="243">
        <v>47.94</v>
      </c>
      <c r="P38" s="243">
        <v>12.24</v>
      </c>
      <c r="Q38" s="243">
        <v>54.06</v>
      </c>
      <c r="R38" s="243">
        <v>19.38</v>
      </c>
      <c r="S38" s="243">
        <v>71.400000000000006</v>
      </c>
      <c r="T38" s="243">
        <v>3.06</v>
      </c>
      <c r="U38" s="243">
        <v>53.04</v>
      </c>
      <c r="V38" s="243">
        <v>11.22</v>
      </c>
      <c r="W38" s="243">
        <v>29.580000000000002</v>
      </c>
      <c r="X38" s="243">
        <v>11.22</v>
      </c>
      <c r="Y38" s="243">
        <v>35.700000000000003</v>
      </c>
      <c r="Z38" s="243">
        <v>28.560000000000002</v>
      </c>
      <c r="AA38" s="243">
        <v>23.46</v>
      </c>
      <c r="AB38" s="243">
        <v>2.04</v>
      </c>
      <c r="AC38" s="243">
        <v>28.560000000000002</v>
      </c>
      <c r="AD38" s="243">
        <v>21.42</v>
      </c>
      <c r="AE38" s="243">
        <v>28.560000000000002</v>
      </c>
      <c r="AF38" s="243">
        <v>75.48</v>
      </c>
      <c r="AG38" s="243">
        <v>6.12</v>
      </c>
      <c r="AH38" s="243">
        <v>32.64</v>
      </c>
      <c r="AI38" s="243">
        <v>46.92</v>
      </c>
      <c r="AJ38" s="243">
        <v>9.18</v>
      </c>
      <c r="AK38" s="243">
        <v>35.700000000000003</v>
      </c>
      <c r="AL38" s="243">
        <v>12.24</v>
      </c>
      <c r="AM38" s="243">
        <v>72.42</v>
      </c>
      <c r="AN38" s="243">
        <v>32.64</v>
      </c>
      <c r="AO38" s="243">
        <v>35.700000000000003</v>
      </c>
      <c r="AP38" s="243">
        <v>80.58</v>
      </c>
      <c r="AQ38" s="243">
        <v>16.32</v>
      </c>
      <c r="AR38" s="243">
        <v>53.04</v>
      </c>
      <c r="AS38" s="243">
        <v>4.08</v>
      </c>
      <c r="AT38" s="243">
        <v>67.320000000000007</v>
      </c>
      <c r="AU38" s="243">
        <v>59.160000000000004</v>
      </c>
      <c r="AV38" s="243">
        <v>72.42</v>
      </c>
      <c r="AW38" s="243">
        <v>177.48</v>
      </c>
      <c r="AX38" s="243">
        <v>45.9</v>
      </c>
      <c r="AY38" s="243">
        <v>137.69999999999999</v>
      </c>
      <c r="AZ38" s="243">
        <v>6.12</v>
      </c>
      <c r="BA38" s="243">
        <v>0</v>
      </c>
      <c r="BB38" s="101"/>
      <c r="BC38" s="101"/>
      <c r="BD38" s="101"/>
      <c r="BE38" s="101"/>
      <c r="BF38" s="101"/>
      <c r="BG38" s="101"/>
    </row>
    <row r="39" spans="1:65" x14ac:dyDescent="0.3">
      <c r="A39" s="237">
        <v>28</v>
      </c>
      <c r="B39" s="243">
        <v>2856.58</v>
      </c>
      <c r="C39" s="243">
        <v>3606.7200000000003</v>
      </c>
      <c r="D39" s="243">
        <v>2701.98</v>
      </c>
      <c r="E39" s="243">
        <v>4005.54</v>
      </c>
      <c r="F39" s="243">
        <v>3746.46</v>
      </c>
      <c r="G39" s="243">
        <v>3079.38</v>
      </c>
      <c r="H39" s="243">
        <v>3458.82</v>
      </c>
      <c r="I39" s="243">
        <v>4955.16</v>
      </c>
      <c r="J39" s="243">
        <v>4315.62</v>
      </c>
      <c r="K39" s="243">
        <v>4134.0599999999995</v>
      </c>
      <c r="L39" s="243">
        <v>4059.6000000000004</v>
      </c>
      <c r="M39" s="243">
        <v>5271.3600000000006</v>
      </c>
      <c r="N39" s="243">
        <v>4164.66</v>
      </c>
      <c r="O39" s="243">
        <v>4058.58</v>
      </c>
      <c r="P39" s="243">
        <v>4051.44</v>
      </c>
      <c r="Q39" s="243">
        <v>3989.2200000000003</v>
      </c>
      <c r="R39" s="243">
        <v>3774</v>
      </c>
      <c r="S39" s="243">
        <v>4841.9400000000005</v>
      </c>
      <c r="T39" s="243">
        <v>4617.54</v>
      </c>
      <c r="U39" s="243">
        <v>4796.04</v>
      </c>
      <c r="V39" s="243">
        <v>4140.18</v>
      </c>
      <c r="W39" s="243">
        <v>4260.54</v>
      </c>
      <c r="X39" s="243">
        <v>5158.1399999999994</v>
      </c>
      <c r="Y39" s="243">
        <v>5518.2</v>
      </c>
      <c r="Z39" s="243">
        <v>5124.4799999999996</v>
      </c>
      <c r="AA39" s="243">
        <v>4846.0200000000004</v>
      </c>
      <c r="AB39" s="243">
        <v>5430.4800000000005</v>
      </c>
      <c r="AC39" s="243">
        <v>5209.1400000000003</v>
      </c>
      <c r="AD39" s="243">
        <v>5254.02</v>
      </c>
      <c r="AE39" s="243">
        <v>5777.2800000000007</v>
      </c>
      <c r="AF39" s="243">
        <v>6050.6399999999994</v>
      </c>
      <c r="AG39" s="243">
        <v>5619.18</v>
      </c>
      <c r="AH39" s="243">
        <v>2208.3000000000002</v>
      </c>
      <c r="AI39" s="243">
        <v>5909.88</v>
      </c>
      <c r="AJ39" s="243">
        <v>6217.92</v>
      </c>
      <c r="AK39" s="243">
        <v>5750</v>
      </c>
      <c r="AL39" s="243">
        <v>7519</v>
      </c>
      <c r="AM39" s="243">
        <v>5810</v>
      </c>
      <c r="AN39" s="243">
        <v>5657</v>
      </c>
      <c r="AO39" s="243">
        <v>3799</v>
      </c>
      <c r="AP39" s="243">
        <v>6763</v>
      </c>
      <c r="AQ39" s="243">
        <v>8199</v>
      </c>
      <c r="AR39" s="243">
        <v>7871</v>
      </c>
      <c r="AS39" s="243">
        <v>8332</v>
      </c>
      <c r="AT39" s="243">
        <v>6812</v>
      </c>
      <c r="AU39" s="243">
        <v>5352</v>
      </c>
      <c r="AV39" s="243">
        <v>5665</v>
      </c>
      <c r="AW39" s="243">
        <v>6401</v>
      </c>
      <c r="AX39" s="244">
        <v>8199</v>
      </c>
      <c r="AY39" s="244">
        <v>9455</v>
      </c>
      <c r="AZ39" s="244">
        <v>5244</v>
      </c>
      <c r="BA39" s="244">
        <v>592</v>
      </c>
    </row>
    <row r="40" spans="1:65" x14ac:dyDescent="0.3">
      <c r="A40" s="178">
        <v>30</v>
      </c>
      <c r="B40" s="243">
        <v>6946.2</v>
      </c>
      <c r="C40" s="243">
        <v>6278.1</v>
      </c>
      <c r="D40" s="243">
        <v>5799.72</v>
      </c>
      <c r="E40" s="243">
        <v>4064.7000000000003</v>
      </c>
      <c r="F40" s="243">
        <v>8726.1</v>
      </c>
      <c r="G40" s="243">
        <v>10847.7</v>
      </c>
      <c r="H40" s="243">
        <v>9617.58</v>
      </c>
      <c r="I40" s="243">
        <v>9554.48</v>
      </c>
      <c r="J40" s="243">
        <v>13666.98</v>
      </c>
      <c r="K40" s="243">
        <v>8045.76</v>
      </c>
      <c r="L40" s="243">
        <v>8581.26</v>
      </c>
      <c r="M40" s="243">
        <v>9296.2800000000007</v>
      </c>
      <c r="N40" s="243">
        <v>5985.36</v>
      </c>
      <c r="O40" s="243">
        <v>6351.4000000000005</v>
      </c>
      <c r="P40" s="243">
        <v>7012.5</v>
      </c>
      <c r="Q40" s="243">
        <v>7619.4000000000005</v>
      </c>
      <c r="R40" s="243">
        <v>6957.42</v>
      </c>
      <c r="S40" s="243">
        <v>5689.56</v>
      </c>
      <c r="T40" s="243">
        <v>6730.9800000000005</v>
      </c>
      <c r="U40" s="243">
        <v>6816.66</v>
      </c>
      <c r="V40" s="243">
        <v>4846.0200000000004</v>
      </c>
      <c r="W40" s="243">
        <v>5056.1400000000003</v>
      </c>
      <c r="X40" s="243">
        <v>4688.9400000000005</v>
      </c>
      <c r="Y40" s="243">
        <v>4318.68</v>
      </c>
      <c r="Z40" s="243">
        <v>5342.76</v>
      </c>
      <c r="AA40" s="243">
        <v>4856.22</v>
      </c>
      <c r="AB40" s="243">
        <v>4722.6000000000004</v>
      </c>
      <c r="AC40" s="243">
        <v>6600.42</v>
      </c>
      <c r="AD40" s="243">
        <v>5282.58</v>
      </c>
      <c r="AE40" s="243">
        <v>4901.1000000000004</v>
      </c>
      <c r="AF40" s="243">
        <v>5396.82</v>
      </c>
      <c r="AG40" s="243">
        <v>6060.84</v>
      </c>
      <c r="AH40" s="243">
        <v>7435.8</v>
      </c>
      <c r="AI40" s="243">
        <v>8081.46</v>
      </c>
      <c r="AJ40" s="243">
        <v>8685.2999999999993</v>
      </c>
      <c r="AK40" s="243">
        <v>7824.42</v>
      </c>
      <c r="AL40" s="243">
        <v>9301.380000000001</v>
      </c>
      <c r="AM40" s="243">
        <v>6490.26</v>
      </c>
      <c r="AN40" s="243">
        <v>8391.5400000000009</v>
      </c>
      <c r="AO40" s="243">
        <v>4555.32</v>
      </c>
      <c r="AP40" s="243">
        <v>12049.26</v>
      </c>
      <c r="AQ40" s="243">
        <v>7678.56</v>
      </c>
      <c r="AR40" s="243">
        <v>10473.36</v>
      </c>
      <c r="AS40" s="243">
        <v>7672.4400000000005</v>
      </c>
      <c r="AT40" s="243">
        <v>11067</v>
      </c>
      <c r="AU40" s="243">
        <v>8443.56</v>
      </c>
      <c r="AV40" s="243">
        <v>10350.960000000001</v>
      </c>
      <c r="AW40" s="243">
        <v>11785.08</v>
      </c>
      <c r="AX40" s="243">
        <v>12034.98</v>
      </c>
      <c r="AY40" s="243">
        <v>10419.299999999999</v>
      </c>
      <c r="AZ40" s="243">
        <v>7684.68</v>
      </c>
      <c r="BA40" s="243">
        <v>584.46</v>
      </c>
      <c r="BB40" s="101"/>
      <c r="BC40" s="101"/>
      <c r="BD40" s="101"/>
      <c r="BE40" s="101"/>
      <c r="BF40" s="101"/>
      <c r="BG40" s="101"/>
      <c r="BH40" s="101"/>
      <c r="BI40" s="101"/>
      <c r="BJ40" s="101"/>
      <c r="BK40" s="101"/>
      <c r="BL40" s="101"/>
      <c r="BM40" s="101"/>
    </row>
    <row r="41" spans="1:65" x14ac:dyDescent="0.3">
      <c r="A41" s="178">
        <v>32</v>
      </c>
      <c r="B41" s="243">
        <v>1383.1200000000001</v>
      </c>
      <c r="C41" s="243">
        <v>1177.08</v>
      </c>
      <c r="D41" s="243">
        <v>1571.82</v>
      </c>
      <c r="E41" s="243">
        <v>800.7</v>
      </c>
      <c r="F41" s="243">
        <v>1199.52</v>
      </c>
      <c r="G41" s="243">
        <v>1453.5</v>
      </c>
      <c r="H41" s="243">
        <v>1453.5</v>
      </c>
      <c r="I41" s="243">
        <v>903.72</v>
      </c>
      <c r="J41" s="243">
        <v>1502.46</v>
      </c>
      <c r="K41" s="243">
        <v>1281.1200000000001</v>
      </c>
      <c r="L41" s="243">
        <v>875.16</v>
      </c>
      <c r="M41" s="243">
        <v>1028.1600000000001</v>
      </c>
      <c r="N41" s="243">
        <v>1135.26</v>
      </c>
      <c r="O41" s="243">
        <v>819.06000000000006</v>
      </c>
      <c r="P41" s="243">
        <v>1266.8399999999999</v>
      </c>
      <c r="Q41" s="243">
        <v>1290.3</v>
      </c>
      <c r="R41" s="243">
        <v>786.42</v>
      </c>
      <c r="S41" s="243">
        <v>812.88</v>
      </c>
      <c r="T41" s="243">
        <v>1283.08</v>
      </c>
      <c r="U41" s="243">
        <v>938.34</v>
      </c>
      <c r="V41" s="243">
        <v>965.94</v>
      </c>
      <c r="W41" s="243">
        <v>850.68000000000006</v>
      </c>
      <c r="X41" s="243">
        <v>922.66</v>
      </c>
      <c r="Y41" s="243">
        <v>986.4</v>
      </c>
      <c r="Z41" s="243">
        <v>945.30000000000007</v>
      </c>
      <c r="AA41" s="243">
        <v>812.94</v>
      </c>
      <c r="AB41" s="243">
        <v>1098.06</v>
      </c>
      <c r="AC41" s="243">
        <v>978.1</v>
      </c>
      <c r="AD41" s="243">
        <v>971.7</v>
      </c>
      <c r="AE41" s="243">
        <v>890.22</v>
      </c>
      <c r="AF41" s="243">
        <v>871.52</v>
      </c>
      <c r="AG41" s="243">
        <v>982.54</v>
      </c>
      <c r="AH41" s="243">
        <v>1342.4</v>
      </c>
      <c r="AI41" s="243">
        <v>1393.96</v>
      </c>
      <c r="AJ41" s="243">
        <v>1074.94</v>
      </c>
      <c r="AK41" s="243">
        <v>974.30000000000007</v>
      </c>
      <c r="AL41" s="243">
        <v>1486.06</v>
      </c>
      <c r="AM41" s="243">
        <v>1147.08</v>
      </c>
      <c r="AN41" s="243">
        <v>1211.72</v>
      </c>
      <c r="AO41" s="243">
        <v>680.16</v>
      </c>
      <c r="AP41" s="243">
        <v>1142.72</v>
      </c>
      <c r="AQ41" s="243">
        <v>1677.6000000000001</v>
      </c>
      <c r="AR41" s="243">
        <v>1618.56</v>
      </c>
      <c r="AS41" s="243">
        <v>676.14</v>
      </c>
      <c r="AT41" s="243">
        <v>2078.6999999999998</v>
      </c>
      <c r="AU41" s="243">
        <v>1109.48</v>
      </c>
      <c r="AV41" s="243">
        <v>1425.54</v>
      </c>
      <c r="AW41" s="243">
        <v>1469.22</v>
      </c>
      <c r="AX41" s="243">
        <v>1456.56</v>
      </c>
      <c r="AY41" s="243">
        <v>1340.28</v>
      </c>
      <c r="AZ41" s="243">
        <v>969</v>
      </c>
      <c r="BA41" s="243">
        <v>313.14</v>
      </c>
      <c r="BB41" s="101"/>
      <c r="BC41" s="101"/>
      <c r="BD41" s="101"/>
      <c r="BE41" s="101"/>
      <c r="BF41" s="101"/>
      <c r="BG41" s="101"/>
      <c r="BH41" s="101"/>
      <c r="BI41" s="101"/>
      <c r="BJ41" s="101"/>
      <c r="BK41" s="101"/>
      <c r="BL41" s="101"/>
      <c r="BM41" s="101"/>
    </row>
    <row r="42" spans="1:65" x14ac:dyDescent="0.3">
      <c r="A42" s="178">
        <v>34</v>
      </c>
      <c r="B42" s="243">
        <v>0</v>
      </c>
      <c r="C42" s="243">
        <v>0</v>
      </c>
      <c r="D42" s="243">
        <v>0</v>
      </c>
      <c r="E42" s="243">
        <v>0</v>
      </c>
      <c r="F42" s="243">
        <v>0</v>
      </c>
      <c r="G42" s="243">
        <v>0</v>
      </c>
      <c r="H42" s="243">
        <v>0</v>
      </c>
      <c r="I42" s="243">
        <v>0</v>
      </c>
      <c r="J42" s="243">
        <v>0</v>
      </c>
      <c r="K42" s="243">
        <v>0</v>
      </c>
      <c r="L42" s="243">
        <v>0</v>
      </c>
      <c r="M42" s="243">
        <v>0</v>
      </c>
      <c r="N42" s="243">
        <v>0</v>
      </c>
      <c r="O42" s="243">
        <v>0</v>
      </c>
      <c r="P42" s="243">
        <v>0</v>
      </c>
      <c r="Q42" s="243">
        <v>0</v>
      </c>
      <c r="R42" s="243">
        <v>0</v>
      </c>
      <c r="S42" s="243">
        <v>0</v>
      </c>
      <c r="T42" s="243">
        <v>0</v>
      </c>
      <c r="U42" s="243">
        <v>0</v>
      </c>
      <c r="V42" s="243">
        <v>0</v>
      </c>
      <c r="W42" s="243">
        <v>0</v>
      </c>
      <c r="X42" s="243">
        <v>0</v>
      </c>
      <c r="Y42" s="243">
        <v>0</v>
      </c>
      <c r="Z42" s="243">
        <v>0</v>
      </c>
      <c r="AA42" s="243">
        <v>0</v>
      </c>
      <c r="AB42" s="243">
        <v>0</v>
      </c>
      <c r="AC42" s="243">
        <v>0</v>
      </c>
      <c r="AD42" s="243">
        <v>0</v>
      </c>
      <c r="AE42" s="243">
        <v>0</v>
      </c>
      <c r="AF42" s="243">
        <v>0</v>
      </c>
      <c r="AG42" s="243">
        <v>0</v>
      </c>
      <c r="AH42" s="243">
        <v>0</v>
      </c>
      <c r="AI42" s="243">
        <v>0</v>
      </c>
      <c r="AJ42" s="243">
        <v>0</v>
      </c>
      <c r="AK42" s="243">
        <v>0</v>
      </c>
      <c r="AL42" s="243">
        <v>0</v>
      </c>
      <c r="AM42" s="243">
        <v>0</v>
      </c>
      <c r="AN42" s="243">
        <v>0</v>
      </c>
      <c r="AO42" s="243">
        <v>0</v>
      </c>
      <c r="AP42" s="243">
        <v>0</v>
      </c>
      <c r="AQ42" s="243">
        <v>0</v>
      </c>
      <c r="AR42" s="243">
        <v>0</v>
      </c>
      <c r="AS42" s="243">
        <v>0</v>
      </c>
      <c r="AT42" s="243">
        <v>0</v>
      </c>
      <c r="AU42" s="243">
        <v>0</v>
      </c>
      <c r="AV42" s="243">
        <v>0</v>
      </c>
      <c r="AW42" s="243">
        <v>0</v>
      </c>
      <c r="AX42" s="243">
        <v>0</v>
      </c>
      <c r="AY42" s="243">
        <v>0</v>
      </c>
      <c r="AZ42" s="243">
        <v>0</v>
      </c>
      <c r="BA42" s="243">
        <v>0</v>
      </c>
    </row>
    <row r="43" spans="1:65" x14ac:dyDescent="0.3">
      <c r="A43" s="178">
        <v>35</v>
      </c>
      <c r="B43" s="243">
        <v>0</v>
      </c>
      <c r="C43" s="243">
        <v>0</v>
      </c>
      <c r="D43" s="243">
        <v>0</v>
      </c>
      <c r="E43" s="243">
        <v>0</v>
      </c>
      <c r="F43" s="243">
        <v>0</v>
      </c>
      <c r="G43" s="243">
        <v>0</v>
      </c>
      <c r="H43" s="243">
        <v>0</v>
      </c>
      <c r="I43" s="243">
        <v>0</v>
      </c>
      <c r="J43" s="243">
        <v>0</v>
      </c>
      <c r="K43" s="243">
        <v>0</v>
      </c>
      <c r="L43" s="243">
        <v>0</v>
      </c>
      <c r="M43" s="243">
        <v>0</v>
      </c>
      <c r="N43" s="243">
        <v>0</v>
      </c>
      <c r="O43" s="243">
        <v>0</v>
      </c>
      <c r="P43" s="243">
        <v>0</v>
      </c>
      <c r="Q43" s="243">
        <v>0</v>
      </c>
      <c r="R43" s="243">
        <v>0</v>
      </c>
      <c r="S43" s="243">
        <v>0</v>
      </c>
      <c r="T43" s="243">
        <v>0</v>
      </c>
      <c r="U43" s="243">
        <v>0</v>
      </c>
      <c r="V43" s="243">
        <v>0</v>
      </c>
      <c r="W43" s="243">
        <v>0</v>
      </c>
      <c r="X43" s="243">
        <v>0</v>
      </c>
      <c r="Y43" s="243">
        <v>0</v>
      </c>
      <c r="Z43" s="243">
        <v>0</v>
      </c>
      <c r="AA43" s="243">
        <v>0</v>
      </c>
      <c r="AB43" s="243">
        <v>0</v>
      </c>
      <c r="AC43" s="243">
        <v>0</v>
      </c>
      <c r="AD43" s="243">
        <v>0</v>
      </c>
      <c r="AE43" s="243">
        <v>0</v>
      </c>
      <c r="AF43" s="243">
        <v>0</v>
      </c>
      <c r="AG43" s="243">
        <v>0</v>
      </c>
      <c r="AH43" s="243">
        <v>0</v>
      </c>
      <c r="AI43" s="243">
        <v>0</v>
      </c>
      <c r="AJ43" s="243">
        <v>0</v>
      </c>
      <c r="AK43" s="243">
        <v>0</v>
      </c>
      <c r="AL43" s="243">
        <v>0</v>
      </c>
      <c r="AM43" s="243">
        <v>0</v>
      </c>
      <c r="AN43" s="243">
        <v>0</v>
      </c>
      <c r="AO43" s="243">
        <v>0</v>
      </c>
      <c r="AP43" s="243">
        <v>0</v>
      </c>
      <c r="AQ43" s="243">
        <v>0</v>
      </c>
      <c r="AR43" s="243">
        <v>0</v>
      </c>
      <c r="AS43" s="243">
        <v>0</v>
      </c>
      <c r="AT43" s="243">
        <v>0</v>
      </c>
      <c r="AU43" s="243">
        <v>0</v>
      </c>
      <c r="AV43" s="243">
        <v>0</v>
      </c>
      <c r="AW43" s="243">
        <v>0</v>
      </c>
      <c r="AX43" s="243">
        <v>0</v>
      </c>
      <c r="AY43" s="243">
        <v>0</v>
      </c>
      <c r="AZ43" s="243">
        <v>0</v>
      </c>
      <c r="BA43" s="243">
        <v>0</v>
      </c>
    </row>
    <row r="44" spans="1:65" x14ac:dyDescent="0.3">
      <c r="A44" s="178">
        <v>37</v>
      </c>
      <c r="B44" s="243">
        <v>38.76</v>
      </c>
      <c r="C44" s="243">
        <v>3.06</v>
      </c>
      <c r="D44" s="243">
        <v>3.06</v>
      </c>
      <c r="E44" s="243">
        <v>9.18</v>
      </c>
      <c r="F44" s="243">
        <v>2.04</v>
      </c>
      <c r="G44" s="243">
        <v>0</v>
      </c>
      <c r="H44" s="243">
        <v>0</v>
      </c>
      <c r="I44" s="243">
        <v>6.12</v>
      </c>
      <c r="J44" s="243">
        <v>4.08</v>
      </c>
      <c r="K44" s="243">
        <v>0</v>
      </c>
      <c r="L44" s="243">
        <v>5.0999999999999996</v>
      </c>
      <c r="M44" s="243">
        <v>5.0999999999999996</v>
      </c>
      <c r="N44" s="243">
        <v>2.04</v>
      </c>
      <c r="O44" s="243">
        <v>1.02</v>
      </c>
      <c r="P44" s="243">
        <v>0</v>
      </c>
      <c r="Q44" s="243">
        <v>9.18</v>
      </c>
      <c r="R44" s="243">
        <v>12.24</v>
      </c>
      <c r="S44" s="243">
        <v>1.02</v>
      </c>
      <c r="T44" s="243">
        <v>3.06</v>
      </c>
      <c r="U44" s="243">
        <v>0</v>
      </c>
      <c r="V44" s="243">
        <v>3.06</v>
      </c>
      <c r="W44" s="243">
        <v>4.08</v>
      </c>
      <c r="X44" s="243">
        <v>0</v>
      </c>
      <c r="Y44" s="243">
        <v>31.62</v>
      </c>
      <c r="Z44" s="243">
        <v>0</v>
      </c>
      <c r="AA44" s="243">
        <v>1.02</v>
      </c>
      <c r="AB44" s="243">
        <v>7.1400000000000006</v>
      </c>
      <c r="AC44" s="243">
        <v>16.32</v>
      </c>
      <c r="AD44" s="243">
        <v>47.94</v>
      </c>
      <c r="AE44" s="243">
        <v>56.1</v>
      </c>
      <c r="AF44" s="243">
        <v>18.36</v>
      </c>
      <c r="AG44" s="243">
        <v>14.280000000000001</v>
      </c>
      <c r="AH44" s="243">
        <v>12.24</v>
      </c>
      <c r="AI44" s="243">
        <v>12.24</v>
      </c>
      <c r="AJ44" s="243">
        <v>0</v>
      </c>
      <c r="AK44" s="243">
        <v>1.02</v>
      </c>
      <c r="AL44" s="243">
        <v>8.16</v>
      </c>
      <c r="AM44" s="243">
        <v>15.3</v>
      </c>
      <c r="AN44" s="243">
        <v>4.08</v>
      </c>
      <c r="AO44" s="243">
        <v>1.02</v>
      </c>
      <c r="AP44" s="243">
        <v>0</v>
      </c>
      <c r="AQ44" s="243">
        <v>2.04</v>
      </c>
      <c r="AR44" s="243">
        <v>11.22</v>
      </c>
      <c r="AS44" s="243">
        <v>3.06</v>
      </c>
      <c r="AT44" s="243">
        <v>3.06</v>
      </c>
      <c r="AU44" s="243">
        <v>16.32</v>
      </c>
      <c r="AV44" s="243">
        <v>5.0999999999999996</v>
      </c>
      <c r="AW44" s="243">
        <v>2.04</v>
      </c>
      <c r="AX44" s="243">
        <v>17.34</v>
      </c>
      <c r="AY44" s="243">
        <v>0</v>
      </c>
      <c r="AZ44" s="243">
        <v>0</v>
      </c>
      <c r="BA44" s="243">
        <v>1.02</v>
      </c>
      <c r="BB44" s="101"/>
      <c r="BC44" s="101"/>
      <c r="BD44" s="101"/>
      <c r="BE44" s="101"/>
      <c r="BF44" s="101"/>
      <c r="BG44" s="101"/>
    </row>
    <row r="45" spans="1:65" x14ac:dyDescent="0.3">
      <c r="A45" s="178">
        <v>41</v>
      </c>
      <c r="B45" s="243">
        <v>11</v>
      </c>
      <c r="C45" s="243">
        <v>45.9</v>
      </c>
      <c r="D45" s="243">
        <v>7.1400000000000006</v>
      </c>
      <c r="E45" s="243">
        <v>76.5</v>
      </c>
      <c r="F45" s="243">
        <v>11.22</v>
      </c>
      <c r="G45" s="243">
        <v>25.5</v>
      </c>
      <c r="H45" s="243">
        <v>10.199999999999999</v>
      </c>
      <c r="I45" s="243">
        <v>2.04</v>
      </c>
      <c r="J45" s="243">
        <v>15.3</v>
      </c>
      <c r="K45" s="243">
        <v>4.08</v>
      </c>
      <c r="L45" s="243">
        <v>37.74</v>
      </c>
      <c r="M45" s="243">
        <v>2.04</v>
      </c>
      <c r="N45" s="243">
        <v>9.18</v>
      </c>
      <c r="O45" s="243">
        <v>22.44</v>
      </c>
      <c r="P45" s="243">
        <v>14.280000000000001</v>
      </c>
      <c r="Q45" s="243">
        <v>14.280000000000001</v>
      </c>
      <c r="R45" s="243">
        <v>37.74</v>
      </c>
      <c r="S45" s="243">
        <v>11.22</v>
      </c>
      <c r="T45" s="243">
        <v>10.199999999999999</v>
      </c>
      <c r="U45" s="243">
        <v>3.06</v>
      </c>
      <c r="V45" s="243">
        <v>10.199999999999999</v>
      </c>
      <c r="W45" s="243">
        <v>17.34</v>
      </c>
      <c r="X45" s="243">
        <v>8.16</v>
      </c>
      <c r="Y45" s="243">
        <v>19.38</v>
      </c>
      <c r="Z45" s="243">
        <v>6.12</v>
      </c>
      <c r="AA45" s="243">
        <v>55.08</v>
      </c>
      <c r="AB45" s="243">
        <v>18.36</v>
      </c>
      <c r="AC45" s="243">
        <v>7.1400000000000006</v>
      </c>
      <c r="AD45" s="243">
        <v>14.280000000000001</v>
      </c>
      <c r="AE45" s="243">
        <v>6.12</v>
      </c>
      <c r="AF45" s="243">
        <v>25.5</v>
      </c>
      <c r="AG45" s="243">
        <v>11.22</v>
      </c>
      <c r="AH45" s="243">
        <v>39.78</v>
      </c>
      <c r="AI45" s="243">
        <v>29.580000000000002</v>
      </c>
      <c r="AJ45" s="243">
        <v>18.36</v>
      </c>
      <c r="AK45" s="243">
        <v>20.399999999999999</v>
      </c>
      <c r="AL45" s="243">
        <v>7.1400000000000006</v>
      </c>
      <c r="AM45" s="243">
        <v>2.04</v>
      </c>
      <c r="AN45" s="243">
        <v>1.02</v>
      </c>
      <c r="AO45" s="243">
        <v>3.06</v>
      </c>
      <c r="AP45" s="243">
        <v>2.04</v>
      </c>
      <c r="AQ45" s="243">
        <v>29.580000000000002</v>
      </c>
      <c r="AR45" s="243">
        <v>6.12</v>
      </c>
      <c r="AS45" s="243">
        <v>6.12</v>
      </c>
      <c r="AT45" s="243">
        <v>3.06</v>
      </c>
      <c r="AU45" s="243">
        <v>1.02</v>
      </c>
      <c r="AV45" s="243">
        <v>10.199999999999999</v>
      </c>
      <c r="AW45" s="243">
        <v>5.0999999999999996</v>
      </c>
      <c r="AX45" s="243">
        <v>4.08</v>
      </c>
      <c r="AY45" s="243"/>
      <c r="AZ45" s="243"/>
      <c r="BA45" s="243"/>
      <c r="BB45" s="101"/>
      <c r="BC45" s="101"/>
    </row>
    <row r="46" spans="1:65" x14ac:dyDescent="0.3">
      <c r="A46" s="178">
        <v>46</v>
      </c>
      <c r="B46" s="243">
        <v>7</v>
      </c>
      <c r="C46" s="243">
        <v>26.52</v>
      </c>
      <c r="D46" s="243">
        <v>23.46</v>
      </c>
      <c r="E46" s="243">
        <v>6.12</v>
      </c>
      <c r="F46" s="243">
        <v>13.26</v>
      </c>
      <c r="G46" s="243">
        <v>14.280000000000001</v>
      </c>
      <c r="H46" s="243">
        <v>14.280000000000001</v>
      </c>
      <c r="I46" s="243">
        <v>16.32</v>
      </c>
      <c r="J46" s="243">
        <v>13.26</v>
      </c>
      <c r="K46" s="243">
        <v>8.16</v>
      </c>
      <c r="L46" s="243">
        <v>5.0999999999999996</v>
      </c>
      <c r="M46" s="243">
        <v>19.38</v>
      </c>
      <c r="N46" s="243">
        <v>12.24</v>
      </c>
      <c r="O46" s="243">
        <v>19.38</v>
      </c>
      <c r="P46" s="243">
        <v>6.12</v>
      </c>
      <c r="Q46" s="243">
        <v>18.36</v>
      </c>
      <c r="R46" s="243">
        <v>9.18</v>
      </c>
      <c r="S46" s="243">
        <v>9.18</v>
      </c>
      <c r="T46" s="243">
        <v>17.34</v>
      </c>
      <c r="U46" s="243">
        <v>21.42</v>
      </c>
      <c r="V46" s="243">
        <v>3.06</v>
      </c>
      <c r="W46" s="243">
        <v>11.22</v>
      </c>
      <c r="X46" s="243">
        <v>11.22</v>
      </c>
      <c r="Y46" s="243">
        <v>11.22</v>
      </c>
      <c r="Z46" s="243">
        <v>3.06</v>
      </c>
      <c r="AA46" s="243">
        <v>1.02</v>
      </c>
      <c r="AB46" s="243">
        <v>10.199999999999999</v>
      </c>
      <c r="AC46" s="243">
        <v>12.24</v>
      </c>
      <c r="AD46" s="243">
        <v>5.0999999999999996</v>
      </c>
      <c r="AE46" s="243">
        <v>10.199999999999999</v>
      </c>
      <c r="AF46" s="243">
        <v>18.36</v>
      </c>
      <c r="AG46" s="243">
        <v>16.32</v>
      </c>
      <c r="AH46" s="243">
        <v>10.199999999999999</v>
      </c>
      <c r="AI46" s="243">
        <v>9.18</v>
      </c>
      <c r="AJ46" s="243">
        <v>29.580000000000002</v>
      </c>
      <c r="AK46" s="243">
        <v>6.12</v>
      </c>
      <c r="AL46" s="243">
        <v>2.04</v>
      </c>
      <c r="AM46" s="243">
        <v>22.44</v>
      </c>
      <c r="AN46" s="243">
        <v>15.3</v>
      </c>
      <c r="AO46" s="243">
        <v>17.34</v>
      </c>
      <c r="AP46" s="243">
        <v>14.280000000000001</v>
      </c>
      <c r="AQ46" s="243">
        <v>5.0999999999999996</v>
      </c>
      <c r="AR46" s="243">
        <v>15.3</v>
      </c>
      <c r="AS46" s="243">
        <v>18.36</v>
      </c>
      <c r="AT46" s="243">
        <v>24.48</v>
      </c>
      <c r="AU46" s="243">
        <v>27.54</v>
      </c>
      <c r="AV46" s="243">
        <v>22.44</v>
      </c>
      <c r="AW46" s="243">
        <v>12.24</v>
      </c>
      <c r="AX46" s="243">
        <v>17.34</v>
      </c>
      <c r="AY46" s="243">
        <v>27.54</v>
      </c>
      <c r="AZ46" s="243">
        <v>14.280000000000001</v>
      </c>
      <c r="BA46" s="243">
        <v>2.04</v>
      </c>
      <c r="BB46" s="101"/>
      <c r="BC46" s="101"/>
      <c r="BD46" s="101"/>
      <c r="BE46" s="101"/>
      <c r="BF46" s="101"/>
    </row>
    <row r="47" spans="1:65" x14ac:dyDescent="0.3">
      <c r="A47" s="178">
        <v>47</v>
      </c>
      <c r="B47" s="243">
        <v>0</v>
      </c>
      <c r="C47" s="243">
        <v>0</v>
      </c>
      <c r="D47" s="243">
        <v>0</v>
      </c>
      <c r="E47" s="243">
        <v>0</v>
      </c>
      <c r="F47" s="243">
        <v>0</v>
      </c>
      <c r="G47" s="243">
        <v>0</v>
      </c>
      <c r="H47" s="243">
        <v>0</v>
      </c>
      <c r="I47" s="243">
        <v>0</v>
      </c>
      <c r="J47" s="243">
        <v>0</v>
      </c>
      <c r="K47" s="243">
        <v>0</v>
      </c>
      <c r="L47" s="243">
        <v>0</v>
      </c>
      <c r="M47" s="243">
        <v>0</v>
      </c>
      <c r="N47" s="243">
        <v>0</v>
      </c>
      <c r="O47" s="243">
        <v>0</v>
      </c>
      <c r="P47" s="243">
        <v>0</v>
      </c>
      <c r="Q47" s="243">
        <v>0</v>
      </c>
      <c r="R47" s="243">
        <v>0</v>
      </c>
      <c r="S47" s="243">
        <v>0</v>
      </c>
      <c r="T47" s="243">
        <v>0</v>
      </c>
      <c r="U47" s="243">
        <v>0</v>
      </c>
      <c r="V47" s="243">
        <v>0</v>
      </c>
      <c r="W47" s="243">
        <v>0</v>
      </c>
      <c r="X47" s="243">
        <v>0</v>
      </c>
      <c r="Y47" s="243">
        <v>0</v>
      </c>
      <c r="Z47" s="243">
        <v>0</v>
      </c>
      <c r="AA47" s="243">
        <v>0</v>
      </c>
      <c r="AB47" s="243">
        <v>0</v>
      </c>
      <c r="AC47" s="243">
        <v>0</v>
      </c>
      <c r="AD47" s="243">
        <v>0</v>
      </c>
      <c r="AE47" s="243">
        <v>0</v>
      </c>
      <c r="AF47" s="243">
        <v>0</v>
      </c>
      <c r="AG47" s="243">
        <v>0</v>
      </c>
      <c r="AH47" s="243">
        <v>0</v>
      </c>
      <c r="AI47" s="243">
        <v>0</v>
      </c>
      <c r="AJ47" s="243">
        <v>0</v>
      </c>
      <c r="AK47" s="243">
        <v>0</v>
      </c>
      <c r="AL47" s="243">
        <v>0</v>
      </c>
      <c r="AM47" s="243">
        <v>0</v>
      </c>
      <c r="AN47" s="243">
        <v>0</v>
      </c>
      <c r="AO47" s="243">
        <v>0</v>
      </c>
      <c r="AP47" s="243">
        <v>0</v>
      </c>
      <c r="AQ47" s="243">
        <v>0</v>
      </c>
      <c r="AR47" s="243">
        <v>0</v>
      </c>
      <c r="AS47" s="243">
        <v>0</v>
      </c>
      <c r="AT47" s="243">
        <v>0</v>
      </c>
      <c r="AU47" s="243">
        <v>0</v>
      </c>
      <c r="AV47" s="243">
        <v>0</v>
      </c>
      <c r="AW47" s="243">
        <v>0</v>
      </c>
      <c r="AX47" s="243">
        <v>0</v>
      </c>
      <c r="AY47" s="243">
        <v>0</v>
      </c>
      <c r="AZ47" s="243">
        <v>0</v>
      </c>
      <c r="BA47" s="243">
        <v>0</v>
      </c>
    </row>
    <row r="48" spans="1:65" x14ac:dyDescent="0.3">
      <c r="A48" s="178">
        <v>48</v>
      </c>
      <c r="B48" s="243">
        <v>0</v>
      </c>
      <c r="C48" s="243">
        <v>0</v>
      </c>
      <c r="D48" s="243">
        <v>0</v>
      </c>
      <c r="E48" s="243">
        <v>0</v>
      </c>
      <c r="F48" s="243">
        <v>0</v>
      </c>
      <c r="G48" s="243">
        <v>0</v>
      </c>
      <c r="H48" s="243">
        <v>0</v>
      </c>
      <c r="I48" s="243">
        <v>0</v>
      </c>
      <c r="J48" s="243">
        <v>0</v>
      </c>
      <c r="K48" s="243">
        <v>0</v>
      </c>
      <c r="L48" s="243">
        <v>0</v>
      </c>
      <c r="M48" s="243">
        <v>0</v>
      </c>
      <c r="N48" s="243">
        <v>0</v>
      </c>
      <c r="O48" s="243">
        <v>0</v>
      </c>
      <c r="P48" s="243">
        <v>0</v>
      </c>
      <c r="Q48" s="243">
        <v>0</v>
      </c>
      <c r="R48" s="243">
        <v>0</v>
      </c>
      <c r="S48" s="243">
        <v>0</v>
      </c>
      <c r="T48" s="243">
        <v>0</v>
      </c>
      <c r="U48" s="243">
        <v>0</v>
      </c>
      <c r="V48" s="243">
        <v>0</v>
      </c>
      <c r="W48" s="243">
        <v>0</v>
      </c>
      <c r="X48" s="243">
        <v>0</v>
      </c>
      <c r="Y48" s="243">
        <v>0</v>
      </c>
      <c r="Z48" s="243">
        <v>0</v>
      </c>
      <c r="AA48" s="243">
        <v>0</v>
      </c>
      <c r="AB48" s="243">
        <v>0</v>
      </c>
      <c r="AC48" s="243">
        <v>0</v>
      </c>
      <c r="AD48" s="243">
        <v>0</v>
      </c>
      <c r="AE48" s="243">
        <v>0</v>
      </c>
      <c r="AF48" s="243">
        <v>0</v>
      </c>
      <c r="AG48" s="243">
        <v>0</v>
      </c>
      <c r="AH48" s="243">
        <v>0</v>
      </c>
      <c r="AI48" s="243">
        <v>0</v>
      </c>
      <c r="AJ48" s="243">
        <v>0</v>
      </c>
      <c r="AK48" s="243">
        <v>0</v>
      </c>
      <c r="AL48" s="243">
        <v>0</v>
      </c>
      <c r="AM48" s="243">
        <v>0</v>
      </c>
      <c r="AN48" s="243">
        <v>0</v>
      </c>
      <c r="AO48" s="243">
        <v>0</v>
      </c>
      <c r="AP48" s="243">
        <v>0</v>
      </c>
      <c r="AQ48" s="243">
        <v>0</v>
      </c>
      <c r="AR48" s="243">
        <v>0</v>
      </c>
      <c r="AS48" s="243">
        <v>0</v>
      </c>
      <c r="AT48" s="243">
        <v>0</v>
      </c>
      <c r="AU48" s="243">
        <v>0</v>
      </c>
      <c r="AV48" s="243">
        <v>0</v>
      </c>
      <c r="AW48" s="243">
        <v>0</v>
      </c>
      <c r="AX48" s="243">
        <v>0</v>
      </c>
      <c r="AY48" s="243">
        <v>0</v>
      </c>
      <c r="AZ48" s="243">
        <v>0</v>
      </c>
      <c r="BA48" s="243">
        <v>0</v>
      </c>
    </row>
    <row r="49" spans="1:64" x14ac:dyDescent="0.3">
      <c r="A49" s="178">
        <v>66</v>
      </c>
      <c r="B49" s="243">
        <v>47.94</v>
      </c>
      <c r="C49" s="243">
        <v>95.88</v>
      </c>
      <c r="D49" s="243">
        <v>93.84</v>
      </c>
      <c r="E49" s="243">
        <v>51</v>
      </c>
      <c r="F49" s="243">
        <v>69.36</v>
      </c>
      <c r="G49" s="243">
        <v>32.64</v>
      </c>
      <c r="H49" s="243">
        <v>32.64</v>
      </c>
      <c r="I49" s="243">
        <v>15.3</v>
      </c>
      <c r="J49" s="243">
        <v>34.68</v>
      </c>
      <c r="K49" s="243">
        <v>20.399999999999999</v>
      </c>
      <c r="L49" s="243">
        <v>70.38</v>
      </c>
      <c r="M49" s="243">
        <v>44.88</v>
      </c>
      <c r="N49" s="243">
        <v>33.660000000000004</v>
      </c>
      <c r="O49" s="243">
        <v>19.38</v>
      </c>
      <c r="P49" s="243">
        <v>20.399999999999999</v>
      </c>
      <c r="Q49" s="243">
        <v>43.86</v>
      </c>
      <c r="R49" s="243">
        <v>116.28</v>
      </c>
      <c r="S49" s="243">
        <v>20.399999999999999</v>
      </c>
      <c r="T49" s="243">
        <v>15.3</v>
      </c>
      <c r="U49" s="243">
        <v>86.7</v>
      </c>
      <c r="V49" s="243">
        <v>80.58</v>
      </c>
      <c r="W49" s="243">
        <v>18.36</v>
      </c>
      <c r="X49" s="243">
        <v>30.6</v>
      </c>
      <c r="Y49" s="243">
        <v>52.02</v>
      </c>
      <c r="Z49" s="243">
        <v>18.36</v>
      </c>
      <c r="AA49" s="243">
        <v>59.160000000000004</v>
      </c>
      <c r="AB49" s="243">
        <v>23.46</v>
      </c>
      <c r="AC49" s="243">
        <v>31.62</v>
      </c>
      <c r="AD49" s="243">
        <v>23.46</v>
      </c>
      <c r="AE49" s="243">
        <v>94.86</v>
      </c>
      <c r="AF49" s="243">
        <v>17.34</v>
      </c>
      <c r="AG49" s="243">
        <v>2.04</v>
      </c>
      <c r="AH49" s="243">
        <v>15.3</v>
      </c>
      <c r="AI49" s="243">
        <v>40.799999999999997</v>
      </c>
      <c r="AJ49" s="243">
        <v>82.62</v>
      </c>
      <c r="AK49" s="243">
        <v>31.62</v>
      </c>
      <c r="AL49" s="243">
        <v>60.18</v>
      </c>
      <c r="AM49" s="243">
        <v>175.44</v>
      </c>
      <c r="AN49" s="243">
        <v>23.46</v>
      </c>
      <c r="AO49" s="243">
        <v>37.74</v>
      </c>
      <c r="AP49" s="243">
        <v>116.28</v>
      </c>
      <c r="AQ49" s="243">
        <v>62.22</v>
      </c>
      <c r="AR49" s="243">
        <v>53.04</v>
      </c>
      <c r="AS49" s="243">
        <v>66.3</v>
      </c>
      <c r="AT49" s="243">
        <v>111.18</v>
      </c>
      <c r="AU49" s="243">
        <v>92.820000000000007</v>
      </c>
      <c r="AV49" s="243">
        <v>48.96</v>
      </c>
      <c r="AW49" s="243">
        <v>60.18</v>
      </c>
      <c r="AX49" s="243">
        <v>59.160000000000004</v>
      </c>
      <c r="AY49" s="243">
        <v>74.460000000000008</v>
      </c>
      <c r="AZ49" s="243">
        <v>43.86</v>
      </c>
      <c r="BA49" s="243">
        <v>4.08</v>
      </c>
      <c r="BB49" s="101"/>
      <c r="BC49" s="101"/>
      <c r="BD49" s="101"/>
      <c r="BE49" s="101"/>
      <c r="BF49" s="101"/>
      <c r="BG49" s="101"/>
      <c r="BH49" s="101"/>
    </row>
    <row r="50" spans="1:64" x14ac:dyDescent="0.3">
      <c r="A50" s="178">
        <v>91</v>
      </c>
      <c r="B50" s="243">
        <v>7.1400000000000006</v>
      </c>
      <c r="C50" s="243">
        <v>28.560000000000002</v>
      </c>
      <c r="D50" s="243">
        <v>10.199999999999999</v>
      </c>
      <c r="E50" s="243">
        <v>2.04</v>
      </c>
      <c r="F50" s="243">
        <v>5.0999999999999996</v>
      </c>
      <c r="G50" s="243">
        <v>3.06</v>
      </c>
      <c r="H50" s="243">
        <v>3.06</v>
      </c>
      <c r="I50" s="243">
        <v>14.280000000000001</v>
      </c>
      <c r="J50" s="243">
        <v>12.24</v>
      </c>
      <c r="K50" s="243">
        <v>4.08</v>
      </c>
      <c r="L50" s="243">
        <v>5.0999999999999996</v>
      </c>
      <c r="M50" s="243">
        <v>0</v>
      </c>
      <c r="N50" s="243">
        <v>6.12</v>
      </c>
      <c r="O50" s="243">
        <v>10.199999999999999</v>
      </c>
      <c r="P50" s="243">
        <v>6.12</v>
      </c>
      <c r="Q50" s="243">
        <v>73.44</v>
      </c>
      <c r="R50" s="243">
        <v>75.48</v>
      </c>
      <c r="S50" s="243">
        <v>2.04</v>
      </c>
      <c r="T50" s="243">
        <v>15.3</v>
      </c>
      <c r="U50" s="243">
        <v>29.580000000000002</v>
      </c>
      <c r="V50" s="243">
        <v>7.1400000000000006</v>
      </c>
      <c r="W50" s="243">
        <v>18.36</v>
      </c>
      <c r="X50" s="243">
        <v>5.0999999999999996</v>
      </c>
      <c r="Y50" s="243">
        <v>8.16</v>
      </c>
      <c r="Z50" s="243">
        <v>19.38</v>
      </c>
      <c r="AA50" s="243">
        <v>5.0999999999999996</v>
      </c>
      <c r="AB50" s="243">
        <v>13.26</v>
      </c>
      <c r="AC50" s="243">
        <v>15.3</v>
      </c>
      <c r="AD50" s="243">
        <v>127.5</v>
      </c>
      <c r="AE50" s="243">
        <v>7.1400000000000006</v>
      </c>
      <c r="AF50" s="243">
        <v>45.9</v>
      </c>
      <c r="AG50" s="243">
        <v>4.08</v>
      </c>
      <c r="AH50" s="243">
        <v>21.42</v>
      </c>
      <c r="AI50" s="243">
        <v>6.12</v>
      </c>
      <c r="AJ50" s="243">
        <v>13.26</v>
      </c>
      <c r="AK50" s="243">
        <v>6.12</v>
      </c>
      <c r="AL50" s="243">
        <v>8.16</v>
      </c>
      <c r="AM50" s="243">
        <v>6.12</v>
      </c>
      <c r="AN50" s="243">
        <v>2.04</v>
      </c>
      <c r="AO50" s="243">
        <v>16.32</v>
      </c>
      <c r="AP50" s="243">
        <v>18.36</v>
      </c>
      <c r="AQ50" s="243">
        <v>0</v>
      </c>
      <c r="AR50" s="243">
        <v>21.42</v>
      </c>
      <c r="AS50" s="243">
        <v>3.06</v>
      </c>
      <c r="AT50" s="243">
        <v>0</v>
      </c>
      <c r="AU50" s="243">
        <v>38.76</v>
      </c>
      <c r="AV50" s="243">
        <v>9.18</v>
      </c>
      <c r="AW50" s="243">
        <v>22.44</v>
      </c>
      <c r="AX50" s="243">
        <v>5.0999999999999996</v>
      </c>
      <c r="AY50" s="243">
        <v>8.16</v>
      </c>
      <c r="AZ50" s="243">
        <v>112.2</v>
      </c>
      <c r="BA50" s="243">
        <v>0</v>
      </c>
      <c r="BB50" s="101"/>
      <c r="BC50" s="101"/>
      <c r="BD50" s="101"/>
      <c r="BE50" s="101"/>
      <c r="BF50" s="101"/>
      <c r="BG50" s="101"/>
      <c r="BH50" s="101"/>
    </row>
    <row r="51" spans="1:64" x14ac:dyDescent="0.3">
      <c r="A51" s="178" t="s">
        <v>256</v>
      </c>
      <c r="B51" s="243">
        <v>64.260000000000005</v>
      </c>
      <c r="C51" s="243">
        <v>135.66</v>
      </c>
      <c r="D51" s="243">
        <v>125.46000000000001</v>
      </c>
      <c r="E51" s="243">
        <v>140.76</v>
      </c>
      <c r="F51" s="243">
        <v>147.9</v>
      </c>
      <c r="G51" s="243">
        <v>130.56</v>
      </c>
      <c r="H51" s="243">
        <v>102</v>
      </c>
      <c r="I51" s="243">
        <v>204</v>
      </c>
      <c r="J51" s="243">
        <v>120.36</v>
      </c>
      <c r="K51" s="243">
        <v>123.42</v>
      </c>
      <c r="L51" s="243">
        <v>142.80000000000001</v>
      </c>
      <c r="M51" s="243">
        <v>95.88</v>
      </c>
      <c r="N51" s="243">
        <v>76.5</v>
      </c>
      <c r="O51" s="243">
        <v>130.56</v>
      </c>
      <c r="P51" s="243">
        <v>79.56</v>
      </c>
      <c r="Q51" s="243">
        <v>102</v>
      </c>
      <c r="R51" s="243">
        <v>98.94</v>
      </c>
      <c r="S51" s="243">
        <v>48.96</v>
      </c>
      <c r="T51" s="243">
        <v>82.62</v>
      </c>
      <c r="U51" s="243">
        <v>95.88</v>
      </c>
      <c r="V51" s="243">
        <v>153</v>
      </c>
      <c r="W51" s="243">
        <v>64.260000000000005</v>
      </c>
      <c r="X51" s="243">
        <v>113.22</v>
      </c>
      <c r="Y51" s="243">
        <v>105.06</v>
      </c>
      <c r="Z51" s="243">
        <v>89.76</v>
      </c>
      <c r="AA51" s="243">
        <v>113.22</v>
      </c>
      <c r="AB51" s="243">
        <v>54.06</v>
      </c>
      <c r="AC51" s="243">
        <v>167.28</v>
      </c>
      <c r="AD51" s="243">
        <v>97.92</v>
      </c>
      <c r="AE51" s="243">
        <v>126.48</v>
      </c>
      <c r="AF51" s="243">
        <v>104.04</v>
      </c>
      <c r="AG51" s="243">
        <v>92.820000000000007</v>
      </c>
      <c r="AH51" s="243">
        <v>78.540000000000006</v>
      </c>
      <c r="AI51" s="243">
        <v>196.86</v>
      </c>
      <c r="AJ51" s="243">
        <v>130.56</v>
      </c>
      <c r="AK51" s="243">
        <v>77.52</v>
      </c>
      <c r="AL51" s="243">
        <v>91.8</v>
      </c>
      <c r="AM51" s="243">
        <v>142.80000000000001</v>
      </c>
      <c r="AN51" s="243">
        <v>140.76</v>
      </c>
      <c r="AO51" s="243">
        <v>181.56</v>
      </c>
      <c r="AP51" s="243">
        <v>141.78</v>
      </c>
      <c r="AQ51" s="243">
        <v>40.799999999999997</v>
      </c>
      <c r="AR51" s="243">
        <v>107.10000000000001</v>
      </c>
      <c r="AS51" s="243">
        <v>126.48</v>
      </c>
      <c r="AT51" s="243">
        <v>121.38</v>
      </c>
      <c r="AU51" s="243">
        <v>121.38</v>
      </c>
      <c r="AV51" s="243">
        <v>123.42</v>
      </c>
      <c r="AW51" s="243">
        <v>234.6</v>
      </c>
      <c r="AX51" s="243">
        <v>153</v>
      </c>
      <c r="AY51" s="243">
        <v>123.42</v>
      </c>
      <c r="AZ51" s="243">
        <v>82.62</v>
      </c>
      <c r="BA51" s="243">
        <v>26.52</v>
      </c>
    </row>
    <row r="52" spans="1:64" x14ac:dyDescent="0.3">
      <c r="B52" s="101"/>
      <c r="C52" s="101"/>
      <c r="D52" s="101"/>
      <c r="E52" s="101"/>
      <c r="F52" s="101"/>
      <c r="G52" s="101"/>
      <c r="H52" s="101"/>
      <c r="I52" s="101"/>
      <c r="J52" s="101"/>
      <c r="K52" s="101"/>
      <c r="L52" s="101"/>
      <c r="M52" s="101"/>
      <c r="N52" s="101"/>
      <c r="O52" s="101"/>
      <c r="P52" s="101"/>
      <c r="Q52" s="101"/>
      <c r="R52" s="101"/>
      <c r="S52" s="101"/>
      <c r="T52" s="101"/>
      <c r="U52" s="101"/>
      <c r="V52" s="101"/>
      <c r="W52" s="101"/>
      <c r="X52" s="101"/>
      <c r="Y52" s="101"/>
      <c r="Z52" s="101"/>
      <c r="AA52" s="101"/>
      <c r="AB52" s="101"/>
      <c r="AC52" s="101"/>
      <c r="AD52" s="101"/>
      <c r="AE52" s="101"/>
      <c r="AF52" s="101"/>
      <c r="AG52" s="101"/>
      <c r="AH52" s="101"/>
      <c r="AI52" s="101"/>
      <c r="AJ52" s="101"/>
      <c r="AK52" s="101"/>
      <c r="AL52" s="101"/>
      <c r="AM52" s="101"/>
      <c r="AN52" s="101"/>
      <c r="AO52" s="101"/>
      <c r="AP52" s="101"/>
      <c r="AQ52" s="101"/>
      <c r="AR52" s="101"/>
      <c r="AS52" s="101"/>
      <c r="AT52" s="101"/>
      <c r="AU52" s="101"/>
      <c r="AV52" s="101"/>
      <c r="AW52" s="101"/>
      <c r="AX52" s="101"/>
      <c r="AY52" s="101"/>
      <c r="AZ52" s="101"/>
      <c r="BA52" s="101"/>
      <c r="BB52" s="101"/>
      <c r="BC52" s="101"/>
      <c r="BD52" s="101"/>
      <c r="BE52" s="101"/>
      <c r="BF52" s="101"/>
      <c r="BG52" s="101"/>
      <c r="BH52" s="101"/>
      <c r="BI52" s="101"/>
      <c r="BJ52" s="101"/>
      <c r="BK52" s="101"/>
      <c r="BL52" s="101"/>
    </row>
    <row r="53" spans="1:64" x14ac:dyDescent="0.3">
      <c r="B53" s="101"/>
      <c r="C53" s="101"/>
      <c r="D53" s="101"/>
      <c r="E53" s="101"/>
      <c r="F53" s="101"/>
      <c r="G53" s="101"/>
      <c r="H53" s="101"/>
      <c r="I53" s="101"/>
      <c r="J53" s="101"/>
      <c r="K53" s="101"/>
      <c r="L53" s="101"/>
      <c r="M53" s="101"/>
      <c r="N53" s="101"/>
      <c r="O53" s="101"/>
      <c r="P53" s="101"/>
      <c r="Q53" s="101"/>
      <c r="R53" s="101"/>
      <c r="S53" s="101"/>
      <c r="T53" s="101"/>
      <c r="U53" s="101"/>
      <c r="V53" s="101"/>
      <c r="W53" s="101"/>
      <c r="X53" s="101"/>
      <c r="Y53" s="101"/>
      <c r="Z53" s="101"/>
      <c r="AA53" s="101"/>
      <c r="AB53" s="101"/>
      <c r="AC53" s="101"/>
      <c r="AD53" s="101"/>
      <c r="AE53" s="101"/>
      <c r="AF53" s="101"/>
      <c r="AG53" s="101"/>
      <c r="AH53" s="101"/>
      <c r="AI53" s="101"/>
      <c r="AJ53" s="101"/>
      <c r="AK53" s="101"/>
      <c r="AL53" s="101"/>
      <c r="AM53" s="101"/>
      <c r="AN53" s="101"/>
      <c r="AO53" s="101"/>
      <c r="AP53" s="101"/>
      <c r="AQ53" s="101"/>
      <c r="AR53" s="101"/>
      <c r="AS53" s="101"/>
      <c r="AT53" s="101"/>
      <c r="AU53" s="101"/>
      <c r="AV53" s="101"/>
      <c r="AW53" s="101"/>
      <c r="AX53" s="101"/>
      <c r="AY53" s="101"/>
      <c r="AZ53" s="101"/>
      <c r="BA53" s="101"/>
    </row>
    <row r="54" spans="1:64" x14ac:dyDescent="0.3">
      <c r="A54" s="242"/>
      <c r="B54" s="238" t="s">
        <v>282</v>
      </c>
      <c r="C54" s="238" t="s">
        <v>283</v>
      </c>
      <c r="D54" s="238" t="s">
        <v>284</v>
      </c>
      <c r="E54" s="238" t="s">
        <v>285</v>
      </c>
    </row>
    <row r="55" spans="1:64" x14ac:dyDescent="0.3">
      <c r="A55" s="246" t="s">
        <v>287</v>
      </c>
      <c r="B55" s="240">
        <v>12</v>
      </c>
      <c r="C55" s="240">
        <v>14</v>
      </c>
      <c r="D55" s="240">
        <v>16</v>
      </c>
      <c r="E55" s="240">
        <v>18</v>
      </c>
    </row>
    <row r="56" spans="1:64" x14ac:dyDescent="0.3">
      <c r="A56" s="246"/>
      <c r="B56" s="240"/>
      <c r="C56" s="240"/>
      <c r="D56" s="240"/>
      <c r="E56" s="240"/>
    </row>
    <row r="57" spans="1:64" x14ac:dyDescent="0.3">
      <c r="A57" s="246" t="s">
        <v>288</v>
      </c>
      <c r="B57" s="238">
        <v>48</v>
      </c>
      <c r="C57" s="238">
        <v>30</v>
      </c>
      <c r="D57" s="185"/>
      <c r="E57" s="185"/>
    </row>
    <row r="58" spans="1:64" x14ac:dyDescent="0.3">
      <c r="A58" s="246"/>
      <c r="B58" s="238">
        <v>66</v>
      </c>
      <c r="C58" s="238">
        <v>32</v>
      </c>
      <c r="D58" s="185"/>
      <c r="E58" s="185"/>
    </row>
    <row r="59" spans="1:64" x14ac:dyDescent="0.3">
      <c r="A59" s="246"/>
      <c r="B59" s="238">
        <v>91</v>
      </c>
      <c r="C59" s="238"/>
      <c r="D59" s="185"/>
      <c r="E59" s="185"/>
    </row>
    <row r="60" spans="1:64" x14ac:dyDescent="0.3">
      <c r="A60" s="246"/>
      <c r="B60" s="238"/>
      <c r="C60" s="238"/>
      <c r="D60" s="185"/>
      <c r="E60" s="185"/>
    </row>
    <row r="61" spans="1:64" x14ac:dyDescent="0.3">
      <c r="A61" s="246"/>
      <c r="B61" s="238"/>
      <c r="C61" s="238"/>
      <c r="D61" s="185"/>
      <c r="E61" s="185"/>
    </row>
    <row r="62" spans="1:64" x14ac:dyDescent="0.3">
      <c r="A62" s="246"/>
      <c r="B62" s="238"/>
      <c r="C62" s="238"/>
      <c r="D62" s="185"/>
      <c r="E62" s="185"/>
    </row>
    <row r="63" spans="1:64" x14ac:dyDescent="0.3">
      <c r="A63" s="246"/>
      <c r="B63" s="238"/>
      <c r="C63" s="238"/>
      <c r="D63" s="185"/>
      <c r="E63" s="185"/>
    </row>
    <row r="64" spans="1:64" x14ac:dyDescent="0.3">
      <c r="A64" s="246"/>
      <c r="B64" s="238"/>
      <c r="C64" s="238"/>
      <c r="D64" s="185"/>
      <c r="E64" s="185"/>
    </row>
    <row r="65" spans="1:5" x14ac:dyDescent="0.3">
      <c r="A65" s="246"/>
      <c r="B65" s="238"/>
      <c r="C65" s="238"/>
      <c r="D65" s="185"/>
      <c r="E65" s="185"/>
    </row>
    <row r="66" spans="1:5" x14ac:dyDescent="0.3">
      <c r="A66" s="246"/>
      <c r="B66" s="238"/>
      <c r="C66" s="238"/>
      <c r="D66" s="185"/>
      <c r="E66" s="185"/>
    </row>
    <row r="67" spans="1:5" x14ac:dyDescent="0.3">
      <c r="A67" s="246"/>
      <c r="B67" s="238"/>
      <c r="C67" s="238"/>
      <c r="D67" s="185"/>
      <c r="E67" s="185"/>
    </row>
    <row r="68" spans="1:5" x14ac:dyDescent="0.3">
      <c r="A68" s="246"/>
      <c r="B68" s="238"/>
      <c r="C68" s="238"/>
      <c r="D68" s="185"/>
      <c r="E68" s="185"/>
    </row>
    <row r="69" spans="1:5" x14ac:dyDescent="0.3">
      <c r="A69" s="246"/>
      <c r="B69" s="238"/>
      <c r="C69" s="238"/>
      <c r="D69" s="185"/>
      <c r="E69" s="185"/>
    </row>
    <row r="70" spans="1:5" x14ac:dyDescent="0.3">
      <c r="A70" s="246"/>
      <c r="B70" s="238"/>
      <c r="C70" s="238"/>
      <c r="D70" s="185"/>
      <c r="E70" s="185"/>
    </row>
    <row r="71" spans="1:5" x14ac:dyDescent="0.3">
      <c r="A71" s="246"/>
      <c r="B71" s="238"/>
      <c r="C71" s="238"/>
      <c r="D71" s="185"/>
      <c r="E71" s="185"/>
    </row>
    <row r="72" spans="1:5" x14ac:dyDescent="0.3">
      <c r="A72" s="246"/>
      <c r="B72" s="238"/>
      <c r="C72" s="238"/>
      <c r="D72" s="185"/>
      <c r="E72" s="185"/>
    </row>
    <row r="73" spans="1:5" x14ac:dyDescent="0.3">
      <c r="A73" s="246"/>
      <c r="B73" s="238"/>
      <c r="C73" s="238"/>
      <c r="D73" s="185"/>
      <c r="E73" s="185"/>
    </row>
    <row r="74" spans="1:5" x14ac:dyDescent="0.3">
      <c r="A74" s="246"/>
      <c r="B74" s="238"/>
      <c r="C74" s="238"/>
      <c r="D74" s="185"/>
      <c r="E74" s="185"/>
    </row>
    <row r="75" spans="1:5" x14ac:dyDescent="0.3">
      <c r="A75" s="246"/>
      <c r="B75" s="238"/>
      <c r="C75" s="238"/>
      <c r="D75" s="185"/>
      <c r="E75" s="185"/>
    </row>
    <row r="76" spans="1:5" x14ac:dyDescent="0.3">
      <c r="A76" s="246"/>
      <c r="B76" s="238"/>
      <c r="C76" s="238"/>
      <c r="D76" s="185"/>
      <c r="E76" s="185"/>
    </row>
    <row r="77" spans="1:5" x14ac:dyDescent="0.3">
      <c r="B77" s="101"/>
      <c r="C77" s="101"/>
    </row>
    <row r="78" spans="1:5" x14ac:dyDescent="0.3">
      <c r="B78" s="101"/>
      <c r="C78" s="101"/>
    </row>
    <row r="79" spans="1:5" x14ac:dyDescent="0.3">
      <c r="B79" s="101"/>
      <c r="C79" s="101"/>
    </row>
    <row r="80" spans="1:5" x14ac:dyDescent="0.3">
      <c r="B80" s="101"/>
      <c r="C80" s="101"/>
    </row>
    <row r="81" spans="2:3" x14ac:dyDescent="0.3">
      <c r="B81" s="101"/>
      <c r="C81" s="101"/>
    </row>
    <row r="82" spans="2:3" x14ac:dyDescent="0.3">
      <c r="B82" s="101"/>
    </row>
    <row r="83" spans="2:3" x14ac:dyDescent="0.3">
      <c r="B83" s="101"/>
    </row>
    <row r="84" spans="2:3" x14ac:dyDescent="0.3">
      <c r="B84" s="101"/>
    </row>
    <row r="85" spans="2:3" x14ac:dyDescent="0.3">
      <c r="B85" s="101"/>
    </row>
    <row r="86" spans="2:3" x14ac:dyDescent="0.3">
      <c r="B86" s="101"/>
    </row>
    <row r="87" spans="2:3" x14ac:dyDescent="0.3">
      <c r="B87" s="101"/>
    </row>
    <row r="88" spans="2:3" x14ac:dyDescent="0.3">
      <c r="B88" s="101"/>
    </row>
    <row r="89" spans="2:3" x14ac:dyDescent="0.3">
      <c r="B89" s="101"/>
    </row>
    <row r="90" spans="2:3" x14ac:dyDescent="0.3">
      <c r="B90" s="101"/>
    </row>
    <row r="91" spans="2:3" x14ac:dyDescent="0.3">
      <c r="B91" s="101"/>
    </row>
    <row r="92" spans="2:3" x14ac:dyDescent="0.3">
      <c r="B92" s="101"/>
    </row>
    <row r="93" spans="2:3" x14ac:dyDescent="0.3">
      <c r="B93" s="101"/>
    </row>
    <row r="94" spans="2:3" x14ac:dyDescent="0.3">
      <c r="B94" s="101"/>
    </row>
    <row r="95" spans="2:3" x14ac:dyDescent="0.3">
      <c r="B95" s="101"/>
    </row>
    <row r="96" spans="2:3" x14ac:dyDescent="0.3">
      <c r="B96" s="101"/>
    </row>
    <row r="97" spans="2:2" x14ac:dyDescent="0.3">
      <c r="B97" s="101"/>
    </row>
    <row r="98" spans="2:2" x14ac:dyDescent="0.3">
      <c r="B98" s="101"/>
    </row>
    <row r="99" spans="2:2" x14ac:dyDescent="0.3">
      <c r="B99" s="101"/>
    </row>
    <row r="100" spans="2:2" x14ac:dyDescent="0.3">
      <c r="B100" s="101"/>
    </row>
    <row r="101" spans="2:2" x14ac:dyDescent="0.3">
      <c r="B101" s="101"/>
    </row>
    <row r="102" spans="2:2" x14ac:dyDescent="0.3">
      <c r="B102" s="101"/>
    </row>
    <row r="103" spans="2:2" x14ac:dyDescent="0.3">
      <c r="B103" s="101"/>
    </row>
    <row r="104" spans="2:2" x14ac:dyDescent="0.3">
      <c r="B104" s="101"/>
    </row>
    <row r="105" spans="2:2" x14ac:dyDescent="0.3">
      <c r="B105" s="101"/>
    </row>
    <row r="106" spans="2:2" x14ac:dyDescent="0.3">
      <c r="B106" s="101"/>
    </row>
    <row r="107" spans="2:2" x14ac:dyDescent="0.3">
      <c r="B107" s="101"/>
    </row>
    <row r="108" spans="2:2" x14ac:dyDescent="0.3">
      <c r="B108" s="101"/>
    </row>
    <row r="109" spans="2:2" x14ac:dyDescent="0.3">
      <c r="B109" s="101"/>
    </row>
    <row r="110" spans="2:2" x14ac:dyDescent="0.3">
      <c r="B110" s="101"/>
    </row>
    <row r="111" spans="2:2" x14ac:dyDescent="0.3">
      <c r="B111" s="101"/>
    </row>
    <row r="112" spans="2:2" x14ac:dyDescent="0.3">
      <c r="B112" s="101"/>
    </row>
    <row r="113" spans="2:2" x14ac:dyDescent="0.3">
      <c r="B113" s="101"/>
    </row>
    <row r="114" spans="2:2" x14ac:dyDescent="0.3">
      <c r="B114" s="101"/>
    </row>
    <row r="115" spans="2:2" x14ac:dyDescent="0.3">
      <c r="B115" s="101"/>
    </row>
    <row r="116" spans="2:2" x14ac:dyDescent="0.3">
      <c r="B116" s="101"/>
    </row>
    <row r="117" spans="2:2" x14ac:dyDescent="0.3">
      <c r="B117" s="101"/>
    </row>
  </sheetData>
  <mergeCells count="6">
    <mergeCell ref="A55:A56"/>
    <mergeCell ref="B55:B56"/>
    <mergeCell ref="C55:C56"/>
    <mergeCell ref="D55:D56"/>
    <mergeCell ref="E55:E56"/>
    <mergeCell ref="A57:A76"/>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2305" r:id="rId3" name="Button 17">
              <controlPr defaultSize="0" print="0" autoFill="0" autoPict="0" macro="[0]!HIDE_DST">
                <anchor moveWithCells="1" sizeWithCells="1">
                  <from>
                    <xdr:col>1</xdr:col>
                    <xdr:colOff>182880</xdr:colOff>
                    <xdr:row>0</xdr:row>
                    <xdr:rowOff>60960</xdr:rowOff>
                  </from>
                  <to>
                    <xdr:col>4</xdr:col>
                    <xdr:colOff>350520</xdr:colOff>
                    <xdr:row>0</xdr:row>
                    <xdr:rowOff>335280</xdr:rowOff>
                  </to>
                </anchor>
              </controlPr>
            </control>
          </mc:Choice>
        </mc:AlternateContent>
        <mc:AlternateContent xmlns:mc="http://schemas.openxmlformats.org/markup-compatibility/2006">
          <mc:Choice Requires="x14">
            <control shapeId="12306" r:id="rId4" name="Button 18">
              <controlPr defaultSize="0" print="0" autoFill="0" autoPict="0" macro="[0]!Show_DST">
                <anchor moveWithCells="1" sizeWithCells="1">
                  <from>
                    <xdr:col>5</xdr:col>
                    <xdr:colOff>7620</xdr:colOff>
                    <xdr:row>0</xdr:row>
                    <xdr:rowOff>45720</xdr:rowOff>
                  </from>
                  <to>
                    <xdr:col>8</xdr:col>
                    <xdr:colOff>403860</xdr:colOff>
                    <xdr:row>0</xdr:row>
                    <xdr:rowOff>335280</xdr:rowOff>
                  </to>
                </anchor>
              </controlPr>
            </control>
          </mc:Choice>
        </mc:AlternateContent>
        <mc:AlternateContent xmlns:mc="http://schemas.openxmlformats.org/markup-compatibility/2006">
          <mc:Choice Requires="x14">
            <control shapeId="12307" r:id="rId5" name="Button 19">
              <controlPr defaultSize="0" print="0" autoFill="0" autoPict="0" macro="[0]!HIDE_BERGK">
                <anchor moveWithCells="1" sizeWithCells="1">
                  <from>
                    <xdr:col>1</xdr:col>
                    <xdr:colOff>228600</xdr:colOff>
                    <xdr:row>29</xdr:row>
                    <xdr:rowOff>60960</xdr:rowOff>
                  </from>
                  <to>
                    <xdr:col>4</xdr:col>
                    <xdr:colOff>289560</xdr:colOff>
                    <xdr:row>29</xdr:row>
                    <xdr:rowOff>342900</xdr:rowOff>
                  </to>
                </anchor>
              </controlPr>
            </control>
          </mc:Choice>
        </mc:AlternateContent>
        <mc:AlternateContent xmlns:mc="http://schemas.openxmlformats.org/markup-compatibility/2006">
          <mc:Choice Requires="x14">
            <control shapeId="12308" r:id="rId6" name="Button 20">
              <controlPr defaultSize="0" print="0" autoFill="0" autoPict="0" macro="[0]!SHOW_BERGK">
                <anchor moveWithCells="1" sizeWithCells="1">
                  <from>
                    <xdr:col>5</xdr:col>
                    <xdr:colOff>7620</xdr:colOff>
                    <xdr:row>29</xdr:row>
                    <xdr:rowOff>60960</xdr:rowOff>
                  </from>
                  <to>
                    <xdr:col>8</xdr:col>
                    <xdr:colOff>365760</xdr:colOff>
                    <xdr:row>29</xdr:row>
                    <xdr:rowOff>350520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1E86BD-3A2D-408E-8F38-E2F1EDC5708A}">
  <sheetPr codeName="Feuil8"/>
  <dimension ref="A1:T53"/>
  <sheetViews>
    <sheetView topLeftCell="A2" zoomScale="80" zoomScaleNormal="80" workbookViewId="0">
      <selection activeCell="F3" sqref="F3:F22"/>
    </sheetView>
  </sheetViews>
  <sheetFormatPr baseColWidth="10" defaultRowHeight="14.4" x14ac:dyDescent="0.3"/>
  <cols>
    <col min="2" max="2" width="14" style="9" bestFit="1" customWidth="1"/>
    <col min="5" max="5" width="14.109375" bestFit="1" customWidth="1"/>
    <col min="6" max="6" width="11.5546875" style="9"/>
    <col min="7" max="7" width="25.77734375" bestFit="1" customWidth="1"/>
    <col min="10" max="10" width="24" customWidth="1"/>
    <col min="11" max="11" width="12.33203125" style="4" customWidth="1"/>
    <col min="14" max="14" width="13" bestFit="1" customWidth="1"/>
    <col min="18" max="18" width="13.21875" bestFit="1" customWidth="1"/>
  </cols>
  <sheetData>
    <row r="1" spans="1:20" x14ac:dyDescent="0.3">
      <c r="B1" s="9" t="s">
        <v>194</v>
      </c>
    </row>
    <row r="2" spans="1:20" ht="43.2" x14ac:dyDescent="0.3">
      <c r="A2" s="9" t="s">
        <v>196</v>
      </c>
      <c r="B2" s="161">
        <v>33756</v>
      </c>
      <c r="C2" t="s">
        <v>248</v>
      </c>
      <c r="D2" s="167">
        <f>SUM(B2:B53)</f>
        <v>1340236.4400000002</v>
      </c>
      <c r="F2" s="9" t="s">
        <v>262</v>
      </c>
      <c r="G2" s="181" t="s">
        <v>257</v>
      </c>
      <c r="I2" s="9" t="s">
        <v>262</v>
      </c>
      <c r="J2" s="181" t="s">
        <v>258</v>
      </c>
      <c r="K2" s="197"/>
      <c r="M2" s="199" t="s">
        <v>262</v>
      </c>
      <c r="N2" s="199" t="s">
        <v>263</v>
      </c>
      <c r="O2" s="199" t="s">
        <v>260</v>
      </c>
      <c r="P2" s="199" t="s">
        <v>261</v>
      </c>
      <c r="Q2" s="200"/>
      <c r="R2" s="201" t="s">
        <v>267</v>
      </c>
      <c r="S2" s="201" t="s">
        <v>274</v>
      </c>
      <c r="T2" s="200" t="s">
        <v>269</v>
      </c>
    </row>
    <row r="3" spans="1:20" x14ac:dyDescent="0.3">
      <c r="A3" s="9" t="s">
        <v>197</v>
      </c>
      <c r="B3" s="161">
        <v>32684</v>
      </c>
      <c r="F3" s="178">
        <v>12</v>
      </c>
      <c r="G3" s="182">
        <f>SUMIF(Bergkamen!$C$5:$C$830,'Forecast  '!F3,Bergkamen!$V$5:$V$830)*1.02</f>
        <v>22.888799999999993</v>
      </c>
      <c r="I3" s="178">
        <v>12</v>
      </c>
      <c r="J3" s="190">
        <f>SUMIF(Bergkamen!$C$5:$C$416,'Forecast  '!I3,Bergkamen!$V$5:$V$416)*1.02</f>
        <v>14.565599999999998</v>
      </c>
      <c r="K3" s="198"/>
      <c r="M3" s="178">
        <v>47</v>
      </c>
      <c r="N3" s="190">
        <f>J17</f>
        <v>0</v>
      </c>
      <c r="O3" s="187">
        <f t="shared" ref="O3:O20" si="0">N3/N$21</f>
        <v>0</v>
      </c>
      <c r="P3" s="188">
        <f>O3</f>
        <v>0</v>
      </c>
      <c r="Q3" s="178" t="s">
        <v>264</v>
      </c>
      <c r="R3" s="190">
        <f>SUM(N3:N15)</f>
        <v>34273.897199999999</v>
      </c>
      <c r="S3" s="196">
        <f>SUM(O3:O15)</f>
        <v>6.727836669341368E-2</v>
      </c>
      <c r="T3" s="185" t="s">
        <v>270</v>
      </c>
    </row>
    <row r="4" spans="1:20" x14ac:dyDescent="0.3">
      <c r="A4" s="9" t="s">
        <v>198</v>
      </c>
      <c r="B4" s="161">
        <v>30555</v>
      </c>
      <c r="F4" s="178">
        <v>17</v>
      </c>
      <c r="G4" s="182">
        <f>SUMIF(Bergkamen!$C$5:$C$830,'Forecast  '!F4,Bergkamen!$V$5:$V$830)*1.02</f>
        <v>1.0404</v>
      </c>
      <c r="I4" s="178">
        <v>17</v>
      </c>
      <c r="J4" s="190">
        <f>SUMIF(Bergkamen!$C$5:$C$416,'Forecast  '!I4,Bergkamen!$V$5:$V$416)*1.02</f>
        <v>1.0404</v>
      </c>
      <c r="K4" s="198"/>
      <c r="M4" s="178">
        <v>48</v>
      </c>
      <c r="N4" s="190">
        <f>J18</f>
        <v>0</v>
      </c>
      <c r="O4" s="187">
        <f t="shared" si="0"/>
        <v>0</v>
      </c>
      <c r="P4" s="188">
        <f>O4+P3</f>
        <v>0</v>
      </c>
      <c r="Q4" s="178" t="s">
        <v>265</v>
      </c>
      <c r="R4" s="190">
        <f>SUM(N16:N17)</f>
        <v>79554.39</v>
      </c>
      <c r="S4" s="196">
        <f>SUM(O16:O17)</f>
        <v>0.15616226515643636</v>
      </c>
      <c r="T4" s="185" t="s">
        <v>271</v>
      </c>
    </row>
    <row r="5" spans="1:20" x14ac:dyDescent="0.3">
      <c r="A5" s="9" t="s">
        <v>199</v>
      </c>
      <c r="B5" s="161">
        <v>23032</v>
      </c>
      <c r="F5" s="207">
        <v>21</v>
      </c>
      <c r="G5" s="208">
        <f>(SUMIF(Bergkamen!$C$5:$C$830,'Forecast  '!F5,Bergkamen!$V$5:$V$830)+SUMIF(Dornstadt!C5:C1269,'Forecast  '!F5,Dornstadt!V5:V1269)*1.02)</f>
        <v>465757.70279999997</v>
      </c>
      <c r="I5" s="207">
        <v>21</v>
      </c>
      <c r="J5" s="209">
        <f>SUMIF(Bergkamen!$C$5:$C$416,'Forecast  '!I5,Bergkamen!$V$5:$V$416)*1.02</f>
        <v>21071.221199999996</v>
      </c>
      <c r="K5" s="198"/>
      <c r="M5" s="178">
        <v>17</v>
      </c>
      <c r="N5" s="190">
        <f>J4</f>
        <v>1.0404</v>
      </c>
      <c r="O5" s="187">
        <f t="shared" si="0"/>
        <v>2.0422659349000905E-6</v>
      </c>
      <c r="P5" s="188">
        <f t="shared" ref="P5:P20" si="1">O5+P4</f>
        <v>2.0422659349000905E-6</v>
      </c>
      <c r="Q5" s="178" t="s">
        <v>266</v>
      </c>
      <c r="R5" s="190">
        <f>(N18+N20)</f>
        <v>283882.5036</v>
      </c>
      <c r="S5" s="196">
        <f>(O18+O20)</f>
        <v>0.5572506407309038</v>
      </c>
      <c r="T5" s="185" t="s">
        <v>272</v>
      </c>
    </row>
    <row r="6" spans="1:20" x14ac:dyDescent="0.3">
      <c r="A6" s="9" t="s">
        <v>200</v>
      </c>
      <c r="B6" s="161">
        <v>24854</v>
      </c>
      <c r="F6" s="178">
        <v>22</v>
      </c>
      <c r="G6" s="182">
        <f>SUMIF(Bergkamen!$C$5:$C$830,'Forecast  '!F6,Bergkamen!$V$5:$V$830)*1.02</f>
        <v>188021.08800000005</v>
      </c>
      <c r="I6" s="178">
        <v>22</v>
      </c>
      <c r="J6" s="190">
        <f>SUMIF(Bergkamen!$C$5:$C$416,'Forecast  '!I6,Bergkamen!$V$5:$V$416)*1.02</f>
        <v>96511.665600000022</v>
      </c>
      <c r="K6" s="198"/>
      <c r="M6" s="178">
        <v>35</v>
      </c>
      <c r="N6" s="190">
        <f>J13</f>
        <v>1.0404</v>
      </c>
      <c r="O6" s="187">
        <f t="shared" si="0"/>
        <v>2.0422659349000905E-6</v>
      </c>
      <c r="P6" s="188">
        <f t="shared" si="1"/>
        <v>4.0845318698001809E-6</v>
      </c>
      <c r="Q6" s="178" t="s">
        <v>268</v>
      </c>
      <c r="R6" s="190">
        <f>N19</f>
        <v>111723.35399999998</v>
      </c>
      <c r="S6" s="196">
        <f>O19</f>
        <v>0.21930872741924615</v>
      </c>
      <c r="T6" s="185" t="s">
        <v>273</v>
      </c>
    </row>
    <row r="7" spans="1:20" x14ac:dyDescent="0.3">
      <c r="A7" s="9" t="s">
        <v>201</v>
      </c>
      <c r="B7" s="161">
        <v>22910</v>
      </c>
      <c r="F7" s="178">
        <v>25</v>
      </c>
      <c r="G7" s="182">
        <f>SUMIF(Bergkamen!$C$5:$C$830,'Forecast  '!F7,Bergkamen!$V$5:$V$830)*1.02</f>
        <v>120813.32879999999</v>
      </c>
      <c r="I7" s="178">
        <v>25</v>
      </c>
      <c r="J7" s="190">
        <f>SUMIF(Bergkamen!$C$5:$C$416,'Forecast  '!I7,Bergkamen!$V$5:$V$416)*1.02</f>
        <v>50539.510800000004</v>
      </c>
      <c r="K7" s="198"/>
      <c r="M7" s="178">
        <v>34</v>
      </c>
      <c r="N7" s="190">
        <f>J12</f>
        <v>2.0808</v>
      </c>
      <c r="O7" s="187">
        <f t="shared" si="0"/>
        <v>4.0845318698001809E-6</v>
      </c>
      <c r="P7" s="188">
        <f t="shared" si="1"/>
        <v>8.1690637396003618E-6</v>
      </c>
    </row>
    <row r="8" spans="1:20" x14ac:dyDescent="0.3">
      <c r="A8" s="9" t="s">
        <v>202</v>
      </c>
      <c r="B8" s="161">
        <v>22546</v>
      </c>
      <c r="F8" s="178">
        <v>26</v>
      </c>
      <c r="G8" s="182">
        <f>SUMIF(Bergkamen!$C$5:$C$830,'Forecast  '!F8,Bergkamen!$V$5:$V$830)*1.02</f>
        <v>42512.824800000017</v>
      </c>
      <c r="I8" s="178">
        <v>26</v>
      </c>
      <c r="J8" s="190">
        <f>SUMIF(Bergkamen!$C$5:$C$416,'Forecast  '!I8,Bergkamen!$V$5:$V$416)*1.02</f>
        <v>28768.100399999999</v>
      </c>
      <c r="K8" s="198"/>
      <c r="M8" s="178">
        <v>12</v>
      </c>
      <c r="N8" s="190">
        <f>J3</f>
        <v>14.565599999999998</v>
      </c>
      <c r="O8" s="187">
        <f t="shared" si="0"/>
        <v>2.8591723088601261E-5</v>
      </c>
      <c r="P8" s="188">
        <f t="shared" si="1"/>
        <v>3.6760786828201627E-5</v>
      </c>
    </row>
    <row r="9" spans="1:20" x14ac:dyDescent="0.3">
      <c r="A9" s="9" t="s">
        <v>203</v>
      </c>
      <c r="B9" s="161">
        <v>28656</v>
      </c>
      <c r="F9" s="180">
        <v>28</v>
      </c>
      <c r="G9" s="184">
        <f>(SUMIF(Bergkamen!$C$5:$C$830,'Forecast  '!F9,Bergkamen!$V$5:$V$830)+SUMIF(Dornstadt!C5:C1269,'Forecast  '!F9,Dornstadt!V5:V1269))*1.02</f>
        <v>269922.13079999998</v>
      </c>
      <c r="I9" s="180">
        <v>28</v>
      </c>
      <c r="J9" s="203">
        <f>(SUMIF(Bergkamen!$C$5:$C$416,'Forecast  '!I9,Bergkamen!$V$5:$V$416)+SUMIF(Dornstadt!C5:C630,'Forecast  '!I9,Dornstadt!V5:V630))*1.02</f>
        <v>111723.35399999998</v>
      </c>
      <c r="K9" s="198"/>
      <c r="M9" s="178">
        <v>37</v>
      </c>
      <c r="N9" s="190">
        <f>J14</f>
        <v>147.73679999999999</v>
      </c>
      <c r="O9" s="187">
        <f t="shared" si="0"/>
        <v>2.9000176275581279E-4</v>
      </c>
      <c r="P9" s="188">
        <f t="shared" si="1"/>
        <v>3.2676254958401445E-4</v>
      </c>
    </row>
    <row r="10" spans="1:20" x14ac:dyDescent="0.3">
      <c r="A10" s="9" t="s">
        <v>204</v>
      </c>
      <c r="B10" s="161">
        <v>25258</v>
      </c>
      <c r="F10" s="178">
        <v>30</v>
      </c>
      <c r="G10" s="182">
        <f>SUMIF(Bergkamen!$C$5:$C$830,'Forecast  '!F10,Bergkamen!$V$5:$V$830)*1.02</f>
        <v>395423.78760000004</v>
      </c>
      <c r="I10" s="178">
        <v>30</v>
      </c>
      <c r="J10" s="190">
        <f>SUMIF(Bergkamen!$C$5:$C$416,'Forecast  '!I10,Bergkamen!$V$5:$V$416)*1.02</f>
        <v>187370.83799999999</v>
      </c>
      <c r="K10" s="198"/>
      <c r="M10" s="178">
        <v>46</v>
      </c>
      <c r="N10" s="190">
        <f>J16</f>
        <v>327.72600000000006</v>
      </c>
      <c r="O10" s="187">
        <f t="shared" si="0"/>
        <v>6.4331376949352853E-4</v>
      </c>
      <c r="P10" s="188">
        <f t="shared" si="1"/>
        <v>9.7007631907754298E-4</v>
      </c>
    </row>
    <row r="11" spans="1:20" x14ac:dyDescent="0.3">
      <c r="A11" s="9" t="s">
        <v>205</v>
      </c>
      <c r="B11" s="161">
        <v>24358</v>
      </c>
      <c r="F11" s="178">
        <v>32</v>
      </c>
      <c r="G11" s="182">
        <f>SUMIF(Bergkamen!$C$5:$C$830,'Forecast  '!F11,Bergkamen!$V$5:$V$830)*1.02</f>
        <v>60002.173200000005</v>
      </c>
      <c r="I11" s="178">
        <v>32</v>
      </c>
      <c r="J11" s="190">
        <f>SUMIF(Bergkamen!$C$5:$C$416,'Forecast  '!I11,Bergkamen!$V$5:$V$416)*1.02</f>
        <v>29014.879199999996</v>
      </c>
      <c r="K11" s="198"/>
      <c r="M11" s="178">
        <v>91</v>
      </c>
      <c r="N11" s="190">
        <f>J21</f>
        <v>383.90760000000012</v>
      </c>
      <c r="O11" s="187">
        <f t="shared" si="0"/>
        <v>7.5359612997813355E-4</v>
      </c>
      <c r="P11" s="188">
        <f t="shared" si="1"/>
        <v>1.7236724490556766E-3</v>
      </c>
    </row>
    <row r="12" spans="1:20" x14ac:dyDescent="0.3">
      <c r="A12" s="9" t="s">
        <v>206</v>
      </c>
      <c r="B12" s="161">
        <v>23017</v>
      </c>
      <c r="F12" s="178">
        <v>34</v>
      </c>
      <c r="G12" s="182">
        <f>SUMIF(Bergkamen!$C$5:$C$830,'Forecast  '!F12,Bergkamen!$V$5:$V$830)*1.02</f>
        <v>2.0808</v>
      </c>
      <c r="I12" s="178">
        <v>34</v>
      </c>
      <c r="J12" s="190">
        <f>SUMIF(Bergkamen!$C$5:$C$416,'Forecast  '!I12,Bergkamen!$V$5:$V$416)*1.02</f>
        <v>2.0808</v>
      </c>
      <c r="K12" s="198"/>
      <c r="M12" s="178">
        <v>41</v>
      </c>
      <c r="N12" s="190">
        <f>J15</f>
        <v>434.88719999999995</v>
      </c>
      <c r="O12" s="187">
        <f t="shared" si="0"/>
        <v>8.5366716078823766E-4</v>
      </c>
      <c r="P12" s="188">
        <f t="shared" si="1"/>
        <v>2.5773396098439142E-3</v>
      </c>
    </row>
    <row r="13" spans="1:20" x14ac:dyDescent="0.3">
      <c r="A13" s="9" t="s">
        <v>207</v>
      </c>
      <c r="B13" s="161">
        <v>30999</v>
      </c>
      <c r="F13" s="178">
        <v>35</v>
      </c>
      <c r="G13" s="182">
        <f>SUMIF(Bergkamen!$C$5:$C$830,'Forecast  '!F13,Bergkamen!$V$5:$V$830)*1.02</f>
        <v>1.0404</v>
      </c>
      <c r="I13" s="178">
        <v>35</v>
      </c>
      <c r="J13" s="190">
        <f>SUMIF(Bergkamen!$C$5:$C$416,'Forecast  '!I13,Bergkamen!$V$5:$V$416)*1.02</f>
        <v>1.0404</v>
      </c>
      <c r="K13" s="198"/>
      <c r="M13" s="178">
        <v>66</v>
      </c>
      <c r="N13" s="190">
        <f>J19</f>
        <v>1248.4799999999996</v>
      </c>
      <c r="O13" s="187">
        <f t="shared" si="0"/>
        <v>2.4507191218801076E-3</v>
      </c>
      <c r="P13" s="188">
        <f t="shared" si="1"/>
        <v>5.0280587317240218E-3</v>
      </c>
    </row>
    <row r="14" spans="1:20" x14ac:dyDescent="0.3">
      <c r="A14" s="9" t="s">
        <v>208</v>
      </c>
      <c r="B14" s="161">
        <v>22786</v>
      </c>
      <c r="F14" s="178">
        <v>37</v>
      </c>
      <c r="G14" s="182">
        <f>SUMIF(Bergkamen!$C$5:$C$830,'Forecast  '!F14,Bergkamen!$V$5:$V$830)*1.02</f>
        <v>428.64480000000009</v>
      </c>
      <c r="I14" s="178">
        <v>37</v>
      </c>
      <c r="J14" s="190">
        <f>SUMIF(Bergkamen!$C$5:$C$416,'Forecast  '!I14,Bergkamen!$V$5:$V$416)*1.02</f>
        <v>147.73679999999999</v>
      </c>
      <c r="K14" s="198"/>
      <c r="M14" s="178" t="s">
        <v>256</v>
      </c>
      <c r="N14" s="190">
        <f>J22</f>
        <v>2944.3319999999999</v>
      </c>
      <c r="O14" s="187">
        <f t="shared" si="0"/>
        <v>5.7796125957672549E-3</v>
      </c>
      <c r="P14" s="188">
        <f t="shared" si="1"/>
        <v>1.0807671327491277E-2</v>
      </c>
    </row>
    <row r="15" spans="1:20" x14ac:dyDescent="0.3">
      <c r="A15" s="9" t="s">
        <v>209</v>
      </c>
      <c r="B15" s="161">
        <v>20207</v>
      </c>
      <c r="F15" s="178">
        <v>41</v>
      </c>
      <c r="G15" s="182">
        <f>SUMIF(Bergkamen!$C$5:$C$830,'Forecast  '!F15,Bergkamen!$V$5:$V$830)*1.02</f>
        <v>774.05759999999987</v>
      </c>
      <c r="I15" s="178">
        <v>41</v>
      </c>
      <c r="J15" s="190">
        <f>SUMIF(Bergkamen!$C$5:$C$416,'Forecast  '!I15,Bergkamen!$V$5:$V$416)*1.02</f>
        <v>434.88719999999995</v>
      </c>
      <c r="K15" s="198"/>
      <c r="M15" s="178">
        <v>26</v>
      </c>
      <c r="N15" s="190">
        <f>J8</f>
        <v>28768.100399999999</v>
      </c>
      <c r="O15" s="187">
        <f t="shared" si="0"/>
        <v>5.6470695365922398E-2</v>
      </c>
      <c r="P15" s="188">
        <f t="shared" si="1"/>
        <v>6.727836669341368E-2</v>
      </c>
    </row>
    <row r="16" spans="1:20" x14ac:dyDescent="0.3">
      <c r="A16" s="9" t="s">
        <v>210</v>
      </c>
      <c r="B16" s="161">
        <v>22136</v>
      </c>
      <c r="F16" s="178">
        <v>46</v>
      </c>
      <c r="G16" s="182">
        <f>SUMIF(Bergkamen!$C$5:$C$830,'Forecast  '!F16,Bergkamen!$V$5:$V$830)*1.02</f>
        <v>720.99720000000002</v>
      </c>
      <c r="I16" s="178">
        <v>46</v>
      </c>
      <c r="J16" s="190">
        <f>SUMIF(Bergkamen!$C$5:$C$416,'Forecast  '!I16,Bergkamen!$V$5:$V$416)*1.02</f>
        <v>327.72600000000006</v>
      </c>
      <c r="K16" s="198"/>
      <c r="M16" s="178">
        <v>32</v>
      </c>
      <c r="N16" s="190">
        <f>J11</f>
        <v>29014.879199999996</v>
      </c>
      <c r="O16" s="187">
        <f t="shared" si="0"/>
        <v>5.695511283679467E-2</v>
      </c>
      <c r="P16" s="188">
        <f t="shared" si="1"/>
        <v>0.12423347953020836</v>
      </c>
    </row>
    <row r="17" spans="1:20" x14ac:dyDescent="0.3">
      <c r="A17" s="9" t="s">
        <v>211</v>
      </c>
      <c r="B17" s="161">
        <v>15765</v>
      </c>
      <c r="F17" s="178">
        <v>47</v>
      </c>
      <c r="G17" s="182">
        <f>SUMIF(Bergkamen!$C$5:$C$830,'Forecast  '!F17,Bergkamen!$V$5:$V$830)*1.02</f>
        <v>3.1212</v>
      </c>
      <c r="I17" s="178">
        <v>47</v>
      </c>
      <c r="J17" s="190">
        <f>SUMIF(Bergkamen!$C$5:$C$416,'Forecast  '!I17,Bergkamen!$V$5:$V$416)*1.02</f>
        <v>0</v>
      </c>
      <c r="K17" s="198"/>
      <c r="M17" s="178">
        <v>25</v>
      </c>
      <c r="N17" s="190">
        <f>J7</f>
        <v>50539.510800000004</v>
      </c>
      <c r="O17" s="187">
        <f t="shared" si="0"/>
        <v>9.9207152319641695E-2</v>
      </c>
      <c r="P17" s="188">
        <f t="shared" si="1"/>
        <v>0.22344063184985005</v>
      </c>
    </row>
    <row r="18" spans="1:20" x14ac:dyDescent="0.3">
      <c r="A18" s="9" t="s">
        <v>212</v>
      </c>
      <c r="B18" s="161">
        <v>20099</v>
      </c>
      <c r="F18" s="178">
        <v>48</v>
      </c>
      <c r="G18" s="182">
        <f>SUMIF(Bergkamen!$C$5:$C$830,'Forecast  '!F18,Bergkamen!$V$5:$V$830)*1.02</f>
        <v>1.0404</v>
      </c>
      <c r="I18" s="178">
        <v>48</v>
      </c>
      <c r="J18" s="190">
        <f>SUMIF(Bergkamen!$C$5:$C$416,'Forecast  '!I18,Bergkamen!$V$5:$V$416)*1.02</f>
        <v>0</v>
      </c>
      <c r="K18" s="198"/>
      <c r="M18" s="178">
        <v>22</v>
      </c>
      <c r="N18" s="190">
        <f>J6</f>
        <v>96511.665600000022</v>
      </c>
      <c r="O18" s="187">
        <f t="shared" si="0"/>
        <v>0.18944875718507201</v>
      </c>
      <c r="P18" s="188">
        <f t="shared" si="1"/>
        <v>0.41288938903492206</v>
      </c>
    </row>
    <row r="19" spans="1:20" x14ac:dyDescent="0.3">
      <c r="A19" s="9" t="s">
        <v>213</v>
      </c>
      <c r="B19" s="161">
        <v>18761</v>
      </c>
      <c r="F19" s="178">
        <v>66</v>
      </c>
      <c r="G19" s="182">
        <f>SUMIF(Bergkamen!$C$5:$C$830,'Forecast  '!F19,Bergkamen!$V$5:$V$830)*1.02</f>
        <v>2730.009599999999</v>
      </c>
      <c r="I19" s="178">
        <v>66</v>
      </c>
      <c r="J19" s="190">
        <f>SUMIF(Bergkamen!$C$5:$C$416,'Forecast  '!I19,Bergkamen!$V$5:$V$416)*1.02</f>
        <v>1248.4799999999996</v>
      </c>
      <c r="K19" s="198"/>
      <c r="M19" s="178">
        <v>28</v>
      </c>
      <c r="N19" s="190">
        <f>J9</f>
        <v>111723.35399999998</v>
      </c>
      <c r="O19" s="187">
        <f t="shared" si="0"/>
        <v>0.21930872741924615</v>
      </c>
      <c r="P19" s="188">
        <f t="shared" si="1"/>
        <v>0.63219811645416824</v>
      </c>
    </row>
    <row r="20" spans="1:20" x14ac:dyDescent="0.3">
      <c r="A20" s="9" t="s">
        <v>214</v>
      </c>
      <c r="B20" s="161">
        <v>22543</v>
      </c>
      <c r="F20" s="179">
        <v>71</v>
      </c>
      <c r="G20" s="183">
        <f>SUMIF(Bergkamen!$C$5:$C$830,'Forecast  '!F20,Bergkamen!$V$5:$V$830)*1.02</f>
        <v>272253.6876</v>
      </c>
      <c r="I20" s="179">
        <v>71</v>
      </c>
      <c r="J20" s="202">
        <f>SUMIF(Bergkamen!$C$5:$C$416,'Forecast  '!I20,Bergkamen!$V$5:$V$416)*1.02</f>
        <v>208732.10640000005</v>
      </c>
      <c r="K20" s="198"/>
      <c r="M20" s="178">
        <v>30</v>
      </c>
      <c r="N20" s="190">
        <f>J10</f>
        <v>187370.83799999999</v>
      </c>
      <c r="O20" s="187">
        <f t="shared" si="0"/>
        <v>0.36780188354583176</v>
      </c>
      <c r="P20" s="188">
        <f t="shared" si="1"/>
        <v>1</v>
      </c>
    </row>
    <row r="21" spans="1:20" x14ac:dyDescent="0.3">
      <c r="A21" s="9" t="s">
        <v>215</v>
      </c>
      <c r="B21" s="161">
        <v>22989</v>
      </c>
      <c r="F21" s="178">
        <v>91</v>
      </c>
      <c r="G21" s="182">
        <f>SUMIF(Bergkamen!$C$5:$C$830,'Forecast  '!F21,Bergkamen!$V$5:$V$830)*1.02</f>
        <v>925.95600000000002</v>
      </c>
      <c r="I21" s="178">
        <v>91</v>
      </c>
      <c r="J21" s="190">
        <f>SUMIF(Bergkamen!$C$5:$C$416,'Forecast  '!I21,Bergkamen!$V$5:$V$416)*1.02</f>
        <v>383.90760000000012</v>
      </c>
      <c r="K21" s="198"/>
      <c r="M21" s="178" t="s">
        <v>259</v>
      </c>
      <c r="N21" s="190">
        <f>SUM(N3:N20)</f>
        <v>509434.14480000001</v>
      </c>
      <c r="O21" s="178"/>
      <c r="P21" s="178"/>
    </row>
    <row r="22" spans="1:20" x14ac:dyDescent="0.3">
      <c r="A22" s="9" t="s">
        <v>216</v>
      </c>
      <c r="B22" s="161">
        <v>25609</v>
      </c>
      <c r="F22" s="178" t="s">
        <v>256</v>
      </c>
      <c r="G22" s="182">
        <f>SUMIF(Bergkamen!$C$5:$C$830,1,Bergkamen!$V$5:$V$830)*1.02</f>
        <v>6091.5420000000022</v>
      </c>
      <c r="I22" s="178" t="s">
        <v>256</v>
      </c>
      <c r="J22" s="190">
        <f>SUMIF(Bergkamen!$C$5:$C$416,1,Bergkamen!$V$5:$V$416)*1.02</f>
        <v>2944.3319999999999</v>
      </c>
      <c r="K22" s="198"/>
      <c r="M22" s="192"/>
      <c r="N22" s="193"/>
      <c r="O22" s="195"/>
      <c r="P22" s="194"/>
      <c r="Q22" s="191"/>
    </row>
    <row r="23" spans="1:20" x14ac:dyDescent="0.3">
      <c r="A23" s="9" t="s">
        <v>217</v>
      </c>
      <c r="B23" s="161">
        <v>16321</v>
      </c>
    </row>
    <row r="24" spans="1:20" x14ac:dyDescent="0.3">
      <c r="A24" s="9" t="s">
        <v>218</v>
      </c>
      <c r="B24" s="161">
        <v>20028.100000000002</v>
      </c>
      <c r="C24" t="s">
        <v>195</v>
      </c>
      <c r="M24" s="200" t="s">
        <v>262</v>
      </c>
      <c r="N24" s="200" t="s">
        <v>263</v>
      </c>
      <c r="O24" s="200" t="s">
        <v>260</v>
      </c>
      <c r="P24" s="200" t="s">
        <v>261</v>
      </c>
      <c r="Q24" s="200"/>
      <c r="R24" s="200" t="s">
        <v>267</v>
      </c>
      <c r="S24" s="200" t="s">
        <v>260</v>
      </c>
      <c r="T24" s="200" t="s">
        <v>269</v>
      </c>
    </row>
    <row r="25" spans="1:20" x14ac:dyDescent="0.3">
      <c r="A25" s="9" t="s">
        <v>219</v>
      </c>
      <c r="B25" s="161">
        <v>18338.12</v>
      </c>
      <c r="M25" s="185">
        <v>47</v>
      </c>
      <c r="N25" s="189">
        <v>0</v>
      </c>
      <c r="O25" s="186">
        <f>N25/N$43</f>
        <v>0</v>
      </c>
      <c r="P25" s="186">
        <v>0</v>
      </c>
      <c r="Q25" s="185" t="s">
        <v>264</v>
      </c>
      <c r="R25" s="190">
        <f>SUM(N25:N37)</f>
        <v>34273.897199999999</v>
      </c>
      <c r="S25" s="196">
        <f>SUM(O25:O37)</f>
        <v>6.727836669341368E-2</v>
      </c>
      <c r="T25" s="185" t="s">
        <v>276</v>
      </c>
    </row>
    <row r="26" spans="1:20" ht="28.8" x14ac:dyDescent="0.3">
      <c r="A26" s="9" t="s">
        <v>220</v>
      </c>
      <c r="B26" s="161">
        <v>19735.52</v>
      </c>
      <c r="F26" s="9" t="s">
        <v>262</v>
      </c>
      <c r="G26" s="181" t="s">
        <v>275</v>
      </c>
      <c r="M26" s="185">
        <v>48</v>
      </c>
      <c r="N26" s="189">
        <v>0</v>
      </c>
      <c r="O26" s="186">
        <f>N26/N$43</f>
        <v>0</v>
      </c>
      <c r="P26" s="186">
        <f>P25+O26</f>
        <v>0</v>
      </c>
      <c r="Q26" s="185" t="s">
        <v>265</v>
      </c>
      <c r="R26" s="206">
        <f>SUM(N40,N38)</f>
        <v>125526.54480000002</v>
      </c>
      <c r="S26" s="196">
        <f>SUM(O40,O38)</f>
        <v>0.24640387002186667</v>
      </c>
      <c r="T26" s="185" t="s">
        <v>277</v>
      </c>
    </row>
    <row r="27" spans="1:20" x14ac:dyDescent="0.3">
      <c r="A27" s="9" t="s">
        <v>221</v>
      </c>
      <c r="B27" s="161">
        <v>16568.280000000006</v>
      </c>
      <c r="F27" s="178">
        <v>12</v>
      </c>
      <c r="G27" s="190"/>
      <c r="M27" s="185">
        <v>17</v>
      </c>
      <c r="N27" s="189">
        <v>1.0404</v>
      </c>
      <c r="O27" s="186">
        <f>N27/N$43</f>
        <v>2.0422659349000905E-6</v>
      </c>
      <c r="P27" s="186">
        <f t="shared" ref="P27:P42" si="2">P26+O27</f>
        <v>2.0422659349000905E-6</v>
      </c>
      <c r="Q27" s="185" t="s">
        <v>266</v>
      </c>
      <c r="R27" s="206">
        <f>N39+N41</f>
        <v>162262.86479999998</v>
      </c>
      <c r="S27" s="196">
        <f>O39+O41</f>
        <v>0.31851587973888784</v>
      </c>
      <c r="T27" s="185" t="s">
        <v>278</v>
      </c>
    </row>
    <row r="28" spans="1:20" x14ac:dyDescent="0.3">
      <c r="A28" s="9" t="s">
        <v>222</v>
      </c>
      <c r="B28" s="161">
        <v>18736.54</v>
      </c>
      <c r="F28" s="178">
        <v>17</v>
      </c>
      <c r="G28" s="190"/>
      <c r="M28" s="185">
        <v>35</v>
      </c>
      <c r="N28" s="189">
        <v>1.0404</v>
      </c>
      <c r="O28" s="186">
        <f>N28/N$43</f>
        <v>2.0422659349000905E-6</v>
      </c>
      <c r="P28" s="186">
        <f t="shared" si="2"/>
        <v>4.0845318698001809E-6</v>
      </c>
      <c r="Q28" s="185" t="s">
        <v>268</v>
      </c>
      <c r="R28" s="206">
        <f>N42</f>
        <v>187370.83799999999</v>
      </c>
      <c r="S28" s="196">
        <f>O42</f>
        <v>0.36780188354583176</v>
      </c>
      <c r="T28" s="185" t="s">
        <v>279</v>
      </c>
    </row>
    <row r="29" spans="1:20" x14ac:dyDescent="0.3">
      <c r="A29" s="9" t="s">
        <v>223</v>
      </c>
      <c r="B29" s="161">
        <v>21771.040000000001</v>
      </c>
      <c r="F29" s="180">
        <v>21</v>
      </c>
      <c r="G29" s="203"/>
      <c r="M29" s="185">
        <v>34</v>
      </c>
      <c r="N29" s="189">
        <v>2.0808</v>
      </c>
      <c r="O29" s="186">
        <f>N29/N$43</f>
        <v>4.0845318698001809E-6</v>
      </c>
      <c r="P29" s="186">
        <f t="shared" si="2"/>
        <v>8.1690637396003618E-6</v>
      </c>
    </row>
    <row r="30" spans="1:20" x14ac:dyDescent="0.3">
      <c r="A30" s="9" t="s">
        <v>224</v>
      </c>
      <c r="B30" s="161">
        <v>17518.019999999997</v>
      </c>
      <c r="F30" s="178">
        <v>22</v>
      </c>
      <c r="G30" s="190"/>
      <c r="M30" s="185">
        <v>12</v>
      </c>
      <c r="N30" s="189">
        <v>14.565599999999998</v>
      </c>
      <c r="O30" s="186">
        <f>N30/N$43</f>
        <v>2.8591723088601261E-5</v>
      </c>
      <c r="P30" s="186">
        <f t="shared" si="2"/>
        <v>3.6760786828201627E-5</v>
      </c>
    </row>
    <row r="31" spans="1:20" x14ac:dyDescent="0.3">
      <c r="A31" s="9" t="s">
        <v>225</v>
      </c>
      <c r="B31" s="161">
        <v>18033.140000000003</v>
      </c>
      <c r="F31" s="178">
        <v>25</v>
      </c>
      <c r="G31" s="190"/>
      <c r="M31" s="185">
        <v>37</v>
      </c>
      <c r="N31" s="189">
        <v>147.73679999999999</v>
      </c>
      <c r="O31" s="186">
        <f>N31/N$43</f>
        <v>2.9000176275581279E-4</v>
      </c>
      <c r="P31" s="186">
        <f t="shared" si="2"/>
        <v>3.2676254958401445E-4</v>
      </c>
    </row>
    <row r="32" spans="1:20" x14ac:dyDescent="0.3">
      <c r="A32" s="9" t="s">
        <v>226</v>
      </c>
      <c r="B32" s="161">
        <v>19282.3</v>
      </c>
      <c r="F32" s="178">
        <v>26</v>
      </c>
      <c r="G32" s="190"/>
      <c r="M32" s="185">
        <v>46</v>
      </c>
      <c r="N32" s="189">
        <v>327.72600000000006</v>
      </c>
      <c r="O32" s="186">
        <f>N32/N$43</f>
        <v>6.4331376949352853E-4</v>
      </c>
      <c r="P32" s="186">
        <f t="shared" si="2"/>
        <v>9.7007631907754298E-4</v>
      </c>
    </row>
    <row r="33" spans="1:16" x14ac:dyDescent="0.3">
      <c r="A33" s="9" t="s">
        <v>227</v>
      </c>
      <c r="B33" s="161">
        <v>18134.060000000001</v>
      </c>
      <c r="F33" s="180">
        <v>28</v>
      </c>
      <c r="G33" s="203"/>
      <c r="M33" s="185">
        <v>91</v>
      </c>
      <c r="N33" s="189">
        <v>383.90760000000012</v>
      </c>
      <c r="O33" s="186">
        <f>N33/N$43</f>
        <v>7.5359612997813355E-4</v>
      </c>
      <c r="P33" s="186">
        <f t="shared" si="2"/>
        <v>1.7236724490556766E-3</v>
      </c>
    </row>
    <row r="34" spans="1:16" x14ac:dyDescent="0.3">
      <c r="A34" s="9" t="s">
        <v>228</v>
      </c>
      <c r="B34" s="161">
        <v>20682</v>
      </c>
      <c r="F34" s="178">
        <v>30</v>
      </c>
      <c r="G34" s="190"/>
      <c r="M34" s="185">
        <v>41</v>
      </c>
      <c r="N34" s="189">
        <v>434.88719999999995</v>
      </c>
      <c r="O34" s="186">
        <f>N34/N$43</f>
        <v>8.5366716078823766E-4</v>
      </c>
      <c r="P34" s="186">
        <f t="shared" si="2"/>
        <v>2.5773396098439142E-3</v>
      </c>
    </row>
    <row r="35" spans="1:16" x14ac:dyDescent="0.3">
      <c r="A35" s="9" t="s">
        <v>229</v>
      </c>
      <c r="B35" s="161">
        <v>22265.7</v>
      </c>
      <c r="F35" s="178">
        <v>32</v>
      </c>
      <c r="G35" s="190"/>
      <c r="M35" s="185">
        <v>66</v>
      </c>
      <c r="N35" s="189">
        <v>1248.4799999999996</v>
      </c>
      <c r="O35" s="186">
        <f>N35/N$43</f>
        <v>2.4507191218801076E-3</v>
      </c>
      <c r="P35" s="186">
        <f t="shared" si="2"/>
        <v>5.0280587317240218E-3</v>
      </c>
    </row>
    <row r="36" spans="1:16" x14ac:dyDescent="0.3">
      <c r="A36" s="9" t="s">
        <v>230</v>
      </c>
      <c r="B36" s="161">
        <v>24885.360000000004</v>
      </c>
      <c r="F36" s="178">
        <v>34</v>
      </c>
      <c r="G36" s="190"/>
      <c r="M36" s="185" t="s">
        <v>256</v>
      </c>
      <c r="N36" s="189">
        <v>2944.3319999999999</v>
      </c>
      <c r="O36" s="186">
        <f>N36/N$43</f>
        <v>5.7796125957672549E-3</v>
      </c>
      <c r="P36" s="186">
        <f t="shared" si="2"/>
        <v>1.0807671327491277E-2</v>
      </c>
    </row>
    <row r="37" spans="1:16" x14ac:dyDescent="0.3">
      <c r="A37" s="9" t="s">
        <v>231</v>
      </c>
      <c r="B37" s="161">
        <v>27407.019999999997</v>
      </c>
      <c r="F37" s="178">
        <v>37</v>
      </c>
      <c r="G37" s="190"/>
      <c r="M37" s="185">
        <v>26</v>
      </c>
      <c r="N37" s="189">
        <v>28768.100399999999</v>
      </c>
      <c r="O37" s="186">
        <f>N37/N$43</f>
        <v>5.6470695365922398E-2</v>
      </c>
      <c r="P37" s="186" t="e">
        <f>#REF!+O37</f>
        <v>#REF!</v>
      </c>
    </row>
    <row r="38" spans="1:16" x14ac:dyDescent="0.3">
      <c r="A38" s="9" t="s">
        <v>232</v>
      </c>
      <c r="B38" s="161">
        <v>34559.30000000001</v>
      </c>
      <c r="F38" s="178">
        <v>41</v>
      </c>
      <c r="G38" s="190"/>
      <c r="M38" s="185">
        <v>32</v>
      </c>
      <c r="N38" s="189">
        <v>29014.879199999996</v>
      </c>
      <c r="O38" s="186">
        <f>N38/N$43</f>
        <v>5.695511283679467E-2</v>
      </c>
      <c r="P38" s="186" t="e">
        <f t="shared" si="2"/>
        <v>#REF!</v>
      </c>
    </row>
    <row r="39" spans="1:16" x14ac:dyDescent="0.3">
      <c r="A39" s="9" t="s">
        <v>233</v>
      </c>
      <c r="B39" s="161">
        <v>31433.16</v>
      </c>
      <c r="F39" s="178">
        <v>46</v>
      </c>
      <c r="G39" s="190"/>
      <c r="M39" s="185">
        <v>25</v>
      </c>
      <c r="N39" s="189">
        <v>50539.510800000004</v>
      </c>
      <c r="O39" s="186">
        <f>N39/N$43</f>
        <v>9.9207152319641695E-2</v>
      </c>
      <c r="P39" s="186" t="e">
        <f t="shared" si="2"/>
        <v>#REF!</v>
      </c>
    </row>
    <row r="40" spans="1:16" x14ac:dyDescent="0.3">
      <c r="A40" s="9" t="s">
        <v>234</v>
      </c>
      <c r="B40" s="161">
        <v>31298.600000000002</v>
      </c>
      <c r="F40" s="178">
        <v>47</v>
      </c>
      <c r="G40" s="190"/>
      <c r="M40" s="185">
        <v>22</v>
      </c>
      <c r="N40" s="189">
        <v>96511.665600000022</v>
      </c>
      <c r="O40" s="186">
        <f>N40/N$43</f>
        <v>0.18944875718507201</v>
      </c>
      <c r="P40" s="186" t="e">
        <f t="shared" si="2"/>
        <v>#REF!</v>
      </c>
    </row>
    <row r="41" spans="1:16" x14ac:dyDescent="0.3">
      <c r="A41" s="9" t="s">
        <v>235</v>
      </c>
      <c r="B41" s="161">
        <v>22006.9</v>
      </c>
      <c r="F41" s="178">
        <v>48</v>
      </c>
      <c r="G41" s="190"/>
      <c r="M41" s="185">
        <v>28</v>
      </c>
      <c r="N41" s="189">
        <v>111723.35399999998</v>
      </c>
      <c r="O41" s="186">
        <f>N41/N$43</f>
        <v>0.21930872741924615</v>
      </c>
      <c r="P41" s="186" t="e">
        <f t="shared" si="2"/>
        <v>#REF!</v>
      </c>
    </row>
    <row r="42" spans="1:16" x14ac:dyDescent="0.3">
      <c r="A42" s="9" t="s">
        <v>236</v>
      </c>
      <c r="B42" s="161">
        <v>36484.599999999991</v>
      </c>
      <c r="F42" s="178">
        <v>66</v>
      </c>
      <c r="G42" s="190"/>
      <c r="M42" s="185">
        <v>30</v>
      </c>
      <c r="N42" s="189">
        <v>187370.83799999999</v>
      </c>
      <c r="O42" s="186">
        <f>N42/N$43</f>
        <v>0.36780188354583176</v>
      </c>
      <c r="P42" s="186" t="e">
        <f t="shared" si="2"/>
        <v>#REF!</v>
      </c>
    </row>
    <row r="43" spans="1:16" x14ac:dyDescent="0.3">
      <c r="A43" s="9" t="s">
        <v>237</v>
      </c>
      <c r="B43" s="161">
        <v>36965.08</v>
      </c>
      <c r="F43" s="179">
        <v>71</v>
      </c>
      <c r="G43" s="202"/>
      <c r="M43" s="185" t="s">
        <v>259</v>
      </c>
      <c r="N43" s="189">
        <f>SUM(N25:N42)</f>
        <v>509434.14480000001</v>
      </c>
      <c r="O43" s="185"/>
      <c r="P43" s="185"/>
    </row>
    <row r="44" spans="1:16" x14ac:dyDescent="0.3">
      <c r="A44" s="9" t="s">
        <v>238</v>
      </c>
      <c r="B44" s="161">
        <v>37710</v>
      </c>
      <c r="F44" s="178">
        <v>91</v>
      </c>
      <c r="G44" s="190"/>
    </row>
    <row r="45" spans="1:16" x14ac:dyDescent="0.3">
      <c r="A45" s="9" t="s">
        <v>239</v>
      </c>
      <c r="B45" s="161">
        <v>31659.200000000004</v>
      </c>
      <c r="F45" s="178" t="s">
        <v>256</v>
      </c>
      <c r="G45" s="190"/>
    </row>
    <row r="46" spans="1:16" x14ac:dyDescent="0.3">
      <c r="A46" s="9" t="s">
        <v>240</v>
      </c>
      <c r="B46" s="161">
        <v>39462.300000000003</v>
      </c>
    </row>
    <row r="47" spans="1:16" x14ac:dyDescent="0.3">
      <c r="A47" s="9" t="s">
        <v>241</v>
      </c>
      <c r="B47" s="161">
        <v>31632.7</v>
      </c>
    </row>
    <row r="48" spans="1:16" x14ac:dyDescent="0.3">
      <c r="A48" s="9" t="s">
        <v>242</v>
      </c>
      <c r="B48" s="161">
        <v>39183.659999999996</v>
      </c>
    </row>
    <row r="49" spans="1:2" x14ac:dyDescent="0.3">
      <c r="A49" s="9" t="s">
        <v>243</v>
      </c>
      <c r="B49" s="161">
        <v>40898.659999999996</v>
      </c>
    </row>
    <row r="50" spans="1:2" x14ac:dyDescent="0.3">
      <c r="A50" s="9" t="s">
        <v>244</v>
      </c>
      <c r="B50" s="161">
        <v>45892.039999999986</v>
      </c>
    </row>
    <row r="51" spans="1:2" x14ac:dyDescent="0.3">
      <c r="A51" s="9" t="s">
        <v>245</v>
      </c>
      <c r="B51" s="161">
        <v>42136.28</v>
      </c>
    </row>
    <row r="52" spans="1:2" x14ac:dyDescent="0.3">
      <c r="A52" s="9" t="s">
        <v>246</v>
      </c>
      <c r="B52" s="161">
        <v>21625.86</v>
      </c>
    </row>
    <row r="53" spans="1:2" x14ac:dyDescent="0.3">
      <c r="A53" s="9" t="s">
        <v>247</v>
      </c>
      <c r="B53" s="161">
        <v>4061.9</v>
      </c>
    </row>
  </sheetData>
  <sortState xmlns:xlrd2="http://schemas.microsoft.com/office/spreadsheetml/2017/richdata2" ref="M3:N22">
    <sortCondition ref="N3:N22"/>
  </sortState>
  <pageMargins left="0.7" right="0.7" top="0.75" bottom="0.75" header="0.3" footer="0.3"/>
  <pageSetup paperSize="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80828E-D763-4934-ABC5-38E17CA1014B}">
  <sheetPr codeName="Feuil9"/>
  <dimension ref="A2:A53"/>
  <sheetViews>
    <sheetView topLeftCell="A28" workbookViewId="0">
      <selection activeCell="A2" sqref="A2:A53"/>
    </sheetView>
  </sheetViews>
  <sheetFormatPr baseColWidth="10" defaultRowHeight="14.4" x14ac:dyDescent="0.3"/>
  <sheetData>
    <row r="2" spans="1:1" x14ac:dyDescent="0.3">
      <c r="A2">
        <v>1</v>
      </c>
    </row>
    <row r="3" spans="1:1" x14ac:dyDescent="0.3">
      <c r="A3">
        <v>2</v>
      </c>
    </row>
    <row r="4" spans="1:1" x14ac:dyDescent="0.3">
      <c r="A4">
        <v>3</v>
      </c>
    </row>
    <row r="5" spans="1:1" x14ac:dyDescent="0.3">
      <c r="A5">
        <v>4</v>
      </c>
    </row>
    <row r="6" spans="1:1" x14ac:dyDescent="0.3">
      <c r="A6">
        <v>5</v>
      </c>
    </row>
    <row r="7" spans="1:1" x14ac:dyDescent="0.3">
      <c r="A7">
        <v>6</v>
      </c>
    </row>
    <row r="8" spans="1:1" x14ac:dyDescent="0.3">
      <c r="A8">
        <v>7</v>
      </c>
    </row>
    <row r="9" spans="1:1" x14ac:dyDescent="0.3">
      <c r="A9">
        <v>8</v>
      </c>
    </row>
    <row r="10" spans="1:1" x14ac:dyDescent="0.3">
      <c r="A10">
        <v>9</v>
      </c>
    </row>
    <row r="11" spans="1:1" x14ac:dyDescent="0.3">
      <c r="A11">
        <v>10</v>
      </c>
    </row>
    <row r="12" spans="1:1" x14ac:dyDescent="0.3">
      <c r="A12">
        <v>11</v>
      </c>
    </row>
    <row r="13" spans="1:1" x14ac:dyDescent="0.3">
      <c r="A13">
        <v>12</v>
      </c>
    </row>
    <row r="14" spans="1:1" x14ac:dyDescent="0.3">
      <c r="A14">
        <v>13</v>
      </c>
    </row>
    <row r="15" spans="1:1" x14ac:dyDescent="0.3">
      <c r="A15">
        <v>14</v>
      </c>
    </row>
    <row r="16" spans="1:1" x14ac:dyDescent="0.3">
      <c r="A16">
        <v>15</v>
      </c>
    </row>
    <row r="17" spans="1:1" x14ac:dyDescent="0.3">
      <c r="A17">
        <v>16</v>
      </c>
    </row>
    <row r="18" spans="1:1" x14ac:dyDescent="0.3">
      <c r="A18">
        <v>17</v>
      </c>
    </row>
    <row r="19" spans="1:1" x14ac:dyDescent="0.3">
      <c r="A19">
        <v>18</v>
      </c>
    </row>
    <row r="20" spans="1:1" x14ac:dyDescent="0.3">
      <c r="A20">
        <v>19</v>
      </c>
    </row>
    <row r="21" spans="1:1" x14ac:dyDescent="0.3">
      <c r="A21">
        <v>20</v>
      </c>
    </row>
    <row r="22" spans="1:1" x14ac:dyDescent="0.3">
      <c r="A22">
        <v>21</v>
      </c>
    </row>
    <row r="23" spans="1:1" x14ac:dyDescent="0.3">
      <c r="A23">
        <v>22</v>
      </c>
    </row>
    <row r="24" spans="1:1" x14ac:dyDescent="0.3">
      <c r="A24">
        <v>23</v>
      </c>
    </row>
    <row r="25" spans="1:1" x14ac:dyDescent="0.3">
      <c r="A25">
        <v>24</v>
      </c>
    </row>
    <row r="26" spans="1:1" x14ac:dyDescent="0.3">
      <c r="A26">
        <v>25</v>
      </c>
    </row>
    <row r="27" spans="1:1" x14ac:dyDescent="0.3">
      <c r="A27">
        <v>26</v>
      </c>
    </row>
    <row r="28" spans="1:1" x14ac:dyDescent="0.3">
      <c r="A28">
        <v>27</v>
      </c>
    </row>
    <row r="29" spans="1:1" x14ac:dyDescent="0.3">
      <c r="A29">
        <v>28</v>
      </c>
    </row>
    <row r="30" spans="1:1" x14ac:dyDescent="0.3">
      <c r="A30">
        <v>29</v>
      </c>
    </row>
    <row r="31" spans="1:1" x14ac:dyDescent="0.3">
      <c r="A31">
        <v>30</v>
      </c>
    </row>
    <row r="32" spans="1:1" x14ac:dyDescent="0.3">
      <c r="A32">
        <v>31</v>
      </c>
    </row>
    <row r="33" spans="1:1" x14ac:dyDescent="0.3">
      <c r="A33">
        <v>32</v>
      </c>
    </row>
    <row r="34" spans="1:1" x14ac:dyDescent="0.3">
      <c r="A34">
        <v>33</v>
      </c>
    </row>
    <row r="35" spans="1:1" x14ac:dyDescent="0.3">
      <c r="A35">
        <v>34</v>
      </c>
    </row>
    <row r="36" spans="1:1" x14ac:dyDescent="0.3">
      <c r="A36">
        <v>35</v>
      </c>
    </row>
    <row r="37" spans="1:1" x14ac:dyDescent="0.3">
      <c r="A37">
        <v>36</v>
      </c>
    </row>
    <row r="38" spans="1:1" x14ac:dyDescent="0.3">
      <c r="A38">
        <v>37</v>
      </c>
    </row>
    <row r="39" spans="1:1" x14ac:dyDescent="0.3">
      <c r="A39">
        <v>38</v>
      </c>
    </row>
    <row r="40" spans="1:1" x14ac:dyDescent="0.3">
      <c r="A40">
        <v>39</v>
      </c>
    </row>
    <row r="41" spans="1:1" x14ac:dyDescent="0.3">
      <c r="A41">
        <v>40</v>
      </c>
    </row>
    <row r="42" spans="1:1" x14ac:dyDescent="0.3">
      <c r="A42">
        <v>41</v>
      </c>
    </row>
    <row r="43" spans="1:1" x14ac:dyDescent="0.3">
      <c r="A43">
        <v>42</v>
      </c>
    </row>
    <row r="44" spans="1:1" x14ac:dyDescent="0.3">
      <c r="A44">
        <v>43</v>
      </c>
    </row>
    <row r="45" spans="1:1" x14ac:dyDescent="0.3">
      <c r="A45">
        <v>44</v>
      </c>
    </row>
    <row r="46" spans="1:1" x14ac:dyDescent="0.3">
      <c r="A46">
        <v>45</v>
      </c>
    </row>
    <row r="47" spans="1:1" x14ac:dyDescent="0.3">
      <c r="A47">
        <v>46</v>
      </c>
    </row>
    <row r="48" spans="1:1" x14ac:dyDescent="0.3">
      <c r="A48">
        <v>47</v>
      </c>
    </row>
    <row r="49" spans="1:1" x14ac:dyDescent="0.3">
      <c r="A49">
        <v>48</v>
      </c>
    </row>
    <row r="50" spans="1:1" x14ac:dyDescent="0.3">
      <c r="A50">
        <v>49</v>
      </c>
    </row>
    <row r="51" spans="1:1" x14ac:dyDescent="0.3">
      <c r="A51">
        <v>50</v>
      </c>
    </row>
    <row r="52" spans="1:1" x14ac:dyDescent="0.3">
      <c r="A52">
        <v>51</v>
      </c>
    </row>
    <row r="53" spans="1:1" x14ac:dyDescent="0.3">
      <c r="A53">
        <v>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9</vt:i4>
      </vt:variant>
    </vt:vector>
  </HeadingPairs>
  <TitlesOfParts>
    <vt:vector size="9" baseType="lpstr">
      <vt:lpstr>Volumes 2020</vt:lpstr>
      <vt:lpstr>Différence 2018-2019</vt:lpstr>
      <vt:lpstr>Karton AKLBGL</vt:lpstr>
      <vt:lpstr>Feuil1</vt:lpstr>
      <vt:lpstr>Dornstadt</vt:lpstr>
      <vt:lpstr>Bergkamen</vt:lpstr>
      <vt:lpstr>Relocation </vt:lpstr>
      <vt:lpstr>Forecast  </vt:lpstr>
      <vt:lpstr>Parametres</vt:lpstr>
    </vt:vector>
  </TitlesOfParts>
  <Company>WMF Group GmbH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ANTOINE Remy</dc:creator>
  <cp:lastModifiedBy>ANTOINE Remy</cp:lastModifiedBy>
  <dcterms:created xsi:type="dcterms:W3CDTF">2019-06-17T06:46:05Z</dcterms:created>
  <dcterms:modified xsi:type="dcterms:W3CDTF">2019-06-26T09:54:53Z</dcterms:modified>
</cp:coreProperties>
</file>