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.michel\Desktop\"/>
    </mc:Choice>
  </mc:AlternateContent>
  <bookViews>
    <workbookView xWindow="0" yWindow="0" windowWidth="28800" windowHeight="12435" activeTab="6"/>
  </bookViews>
  <sheets>
    <sheet name="BC" sheetId="2" r:id="rId1"/>
    <sheet name="feuille1" sheetId="8" r:id="rId2"/>
    <sheet name="Profils" sheetId="1" r:id="rId3"/>
    <sheet name="Tarif ALBEA" sheetId="3" r:id="rId4"/>
    <sheet name="Liste déroulante" sheetId="5" r:id="rId5"/>
    <sheet name="Groupe de couleur" sheetId="4" r:id="rId6"/>
    <sheet name="logikal" sheetId="7" r:id="rId7"/>
  </sheets>
  <externalReferences>
    <externalReference r:id="rId8"/>
  </externalReferences>
  <definedNames>
    <definedName name="_xlnm._FilterDatabase" localSheetId="5" hidden="1">'Groupe de couleur'!$A$2:$B$2</definedName>
    <definedName name="choix1">#REF!</definedName>
    <definedName name="choix2">#REF!</definedName>
    <definedName name="Coefkerafix">[1]Recap_!$S$1</definedName>
    <definedName name="HauteurHT">#REF!</definedName>
    <definedName name="largeurHT">#REF!</definedName>
    <definedName name="_xlnm.Print_Area" localSheetId="0">BC!$A$1:$H$61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8" i="7" l="1"/>
  <c r="X28" i="7"/>
  <c r="U28" i="7"/>
  <c r="Y27" i="7"/>
  <c r="X27" i="7"/>
  <c r="U27" i="7"/>
  <c r="Y26" i="7"/>
  <c r="X26" i="7"/>
  <c r="U26" i="7"/>
  <c r="Y25" i="7"/>
  <c r="X25" i="7"/>
  <c r="U25" i="7"/>
  <c r="Y24" i="7"/>
  <c r="X24" i="7"/>
  <c r="U24" i="7"/>
  <c r="Y23" i="7"/>
  <c r="X23" i="7"/>
  <c r="U23" i="7"/>
  <c r="Y22" i="7"/>
  <c r="X22" i="7"/>
  <c r="U22" i="7"/>
  <c r="Y21" i="7"/>
  <c r="X21" i="7"/>
  <c r="U21" i="7"/>
  <c r="Y20" i="7"/>
  <c r="X20" i="7"/>
  <c r="U20" i="7"/>
  <c r="Y19" i="7"/>
  <c r="X19" i="7"/>
  <c r="U19" i="7"/>
  <c r="X14" i="7"/>
  <c r="W14" i="7"/>
  <c r="Y14" i="7" s="1"/>
  <c r="U14" i="7"/>
  <c r="X13" i="7"/>
  <c r="W13" i="7"/>
  <c r="Y13" i="7" s="1"/>
  <c r="U13" i="7"/>
  <c r="X12" i="7"/>
  <c r="W12" i="7"/>
  <c r="Y12" i="7" s="1"/>
  <c r="U12" i="7"/>
  <c r="X11" i="7"/>
  <c r="W11" i="7"/>
  <c r="Y11" i="7" s="1"/>
  <c r="U11" i="7"/>
  <c r="X10" i="7"/>
  <c r="W10" i="7"/>
  <c r="Y10" i="7" s="1"/>
  <c r="U10" i="7"/>
  <c r="X9" i="7"/>
  <c r="W9" i="7"/>
  <c r="Y9" i="7" s="1"/>
  <c r="U9" i="7"/>
  <c r="X8" i="7"/>
  <c r="W8" i="7"/>
  <c r="Y8" i="7" s="1"/>
  <c r="U8" i="7"/>
  <c r="X7" i="7"/>
  <c r="W7" i="7"/>
  <c r="Y7" i="7" s="1"/>
  <c r="U7" i="7"/>
  <c r="X6" i="7"/>
  <c r="W6" i="7"/>
  <c r="Y6" i="7" s="1"/>
  <c r="U6" i="7"/>
  <c r="G14" i="2" l="1"/>
  <c r="B7" i="7" l="1"/>
  <c r="C5" i="8" s="1"/>
  <c r="B8" i="7"/>
  <c r="C6" i="8" s="1"/>
  <c r="B9" i="7"/>
  <c r="B10" i="7"/>
  <c r="B11" i="7"/>
  <c r="B12" i="7"/>
  <c r="C10" i="8" s="1"/>
  <c r="B13" i="7"/>
  <c r="C11" i="8" s="1"/>
  <c r="B14" i="7"/>
  <c r="B15" i="7"/>
  <c r="C13" i="8" s="1"/>
  <c r="B16" i="7"/>
  <c r="C14" i="8" s="1"/>
  <c r="B17" i="7"/>
  <c r="B18" i="7"/>
  <c r="B19" i="7"/>
  <c r="B20" i="7"/>
  <c r="C18" i="8" s="1"/>
  <c r="B21" i="7"/>
  <c r="C19" i="8" s="1"/>
  <c r="B22" i="7"/>
  <c r="C20" i="8" s="1"/>
  <c r="B23" i="7"/>
  <c r="B24" i="7"/>
  <c r="C22" i="8" s="1"/>
  <c r="B25" i="7"/>
  <c r="C23" i="8" s="1"/>
  <c r="B26" i="7"/>
  <c r="B27" i="7"/>
  <c r="B28" i="7"/>
  <c r="C26" i="8" s="1"/>
  <c r="B29" i="7"/>
  <c r="C27" i="8" s="1"/>
  <c r="B30" i="7"/>
  <c r="C28" i="8" s="1"/>
  <c r="B31" i="7"/>
  <c r="C29" i="8" s="1"/>
  <c r="B32" i="7"/>
  <c r="C30" i="8" s="1"/>
  <c r="B33" i="7"/>
  <c r="C31" i="8" s="1"/>
  <c r="B34" i="7"/>
  <c r="C32" i="8" s="1"/>
  <c r="B35" i="7"/>
  <c r="B36" i="7"/>
  <c r="B37" i="7"/>
  <c r="B38" i="7"/>
  <c r="B39" i="7"/>
  <c r="B40" i="7"/>
  <c r="B41" i="7"/>
  <c r="B6" i="7"/>
  <c r="G38" i="1"/>
  <c r="G37" i="1"/>
  <c r="A25" i="7"/>
  <c r="D7" i="7"/>
  <c r="C7" i="7" s="1"/>
  <c r="D8" i="7"/>
  <c r="C8" i="7" s="1"/>
  <c r="D9" i="7"/>
  <c r="C9" i="7" s="1"/>
  <c r="D10" i="7"/>
  <c r="C10" i="7" s="1"/>
  <c r="D11" i="7"/>
  <c r="C11" i="7" s="1"/>
  <c r="D12" i="7"/>
  <c r="C12" i="7" s="1"/>
  <c r="D13" i="7"/>
  <c r="C13" i="7" s="1"/>
  <c r="D14" i="7"/>
  <c r="C14" i="7" s="1"/>
  <c r="D15" i="7"/>
  <c r="C15" i="7" s="1"/>
  <c r="D16" i="7"/>
  <c r="C16" i="7" s="1"/>
  <c r="D17" i="7"/>
  <c r="C17" i="7" s="1"/>
  <c r="D18" i="7"/>
  <c r="C18" i="7" s="1"/>
  <c r="D19" i="7"/>
  <c r="C19" i="7" s="1"/>
  <c r="D20" i="7"/>
  <c r="C20" i="7" s="1"/>
  <c r="D21" i="7"/>
  <c r="C21" i="7" s="1"/>
  <c r="D22" i="7"/>
  <c r="C22" i="7" s="1"/>
  <c r="D23" i="7"/>
  <c r="C23" i="7" s="1"/>
  <c r="D24" i="7"/>
  <c r="C24" i="7" s="1"/>
  <c r="D25" i="7"/>
  <c r="C25" i="7" s="1"/>
  <c r="D26" i="7"/>
  <c r="C26" i="7" s="1"/>
  <c r="D27" i="7"/>
  <c r="C27" i="7" s="1"/>
  <c r="D28" i="7"/>
  <c r="C28" i="7" s="1"/>
  <c r="D29" i="7"/>
  <c r="C29" i="7" s="1"/>
  <c r="D30" i="7"/>
  <c r="C30" i="7" s="1"/>
  <c r="D31" i="7"/>
  <c r="C31" i="7" s="1"/>
  <c r="D32" i="7"/>
  <c r="C32" i="7" s="1"/>
  <c r="D33" i="7"/>
  <c r="C33" i="7" s="1"/>
  <c r="D34" i="7"/>
  <c r="C34" i="7" s="1"/>
  <c r="D35" i="7"/>
  <c r="C35" i="7" s="1"/>
  <c r="D36" i="7"/>
  <c r="C36" i="7" s="1"/>
  <c r="D37" i="7"/>
  <c r="C37" i="7" s="1"/>
  <c r="D38" i="7"/>
  <c r="C38" i="7" s="1"/>
  <c r="D39" i="7"/>
  <c r="C39" i="7" s="1"/>
  <c r="D40" i="7"/>
  <c r="C40" i="7" s="1"/>
  <c r="D41" i="7"/>
  <c r="C41" i="7" s="1"/>
  <c r="D6" i="7"/>
  <c r="A40" i="7"/>
  <c r="A34" i="7"/>
  <c r="A35" i="7"/>
  <c r="A36" i="7"/>
  <c r="A37" i="7"/>
  <c r="A38" i="7"/>
  <c r="A39" i="7"/>
  <c r="Y15" i="7" l="1"/>
  <c r="U15" i="7"/>
  <c r="X15" i="7"/>
  <c r="C101" i="8"/>
  <c r="D32" i="8"/>
  <c r="J32" i="8"/>
  <c r="C97" i="8"/>
  <c r="A49" i="2" s="1"/>
  <c r="O49" i="2" s="1"/>
  <c r="D28" i="8"/>
  <c r="J28" i="8"/>
  <c r="C100" i="8"/>
  <c r="D31" i="8"/>
  <c r="J31" i="8"/>
  <c r="C96" i="8"/>
  <c r="A48" i="2" s="1"/>
  <c r="C48" i="2" s="1"/>
  <c r="D27" i="8"/>
  <c r="J27" i="8"/>
  <c r="A51" i="2"/>
  <c r="P51" i="2" s="1"/>
  <c r="C34" i="8"/>
  <c r="C99" i="8"/>
  <c r="J30" i="8"/>
  <c r="D30" i="8"/>
  <c r="H50" i="2"/>
  <c r="C33" i="8"/>
  <c r="J29" i="8"/>
  <c r="C98" i="8"/>
  <c r="A50" i="2" s="1"/>
  <c r="B50" i="2" s="1"/>
  <c r="M50" i="2" s="1"/>
  <c r="D29" i="8"/>
  <c r="E23" i="8"/>
  <c r="C92" i="8"/>
  <c r="A44" i="2" s="1"/>
  <c r="O44" i="2" s="1"/>
  <c r="D23" i="8"/>
  <c r="J23" i="8"/>
  <c r="E19" i="8"/>
  <c r="C88" i="8"/>
  <c r="A40" i="2" s="1"/>
  <c r="J19" i="8"/>
  <c r="D19" i="8"/>
  <c r="C15" i="8"/>
  <c r="E11" i="8"/>
  <c r="C80" i="8"/>
  <c r="A32" i="2" s="1"/>
  <c r="H32" i="2" s="1"/>
  <c r="J11" i="8"/>
  <c r="D11" i="8"/>
  <c r="C7" i="8"/>
  <c r="C95" i="8"/>
  <c r="A47" i="2" s="1"/>
  <c r="H47" i="2" s="1"/>
  <c r="E26" i="8"/>
  <c r="D26" i="8"/>
  <c r="J26" i="8"/>
  <c r="C91" i="8"/>
  <c r="A43" i="2" s="1"/>
  <c r="C43" i="2" s="1"/>
  <c r="J22" i="8"/>
  <c r="E22" i="8"/>
  <c r="D22" i="8"/>
  <c r="C87" i="8"/>
  <c r="A39" i="2" s="1"/>
  <c r="P39" i="2" s="1"/>
  <c r="E18" i="8"/>
  <c r="D18" i="8"/>
  <c r="J18" i="8"/>
  <c r="C83" i="8"/>
  <c r="A35" i="2" s="1"/>
  <c r="H35" i="2" s="1"/>
  <c r="J14" i="8"/>
  <c r="E14" i="8"/>
  <c r="D14" i="8"/>
  <c r="C79" i="8"/>
  <c r="A31" i="2" s="1"/>
  <c r="P31" i="2" s="1"/>
  <c r="D10" i="8"/>
  <c r="E10" i="8"/>
  <c r="J10" i="8"/>
  <c r="C75" i="8"/>
  <c r="A27" i="2" s="1"/>
  <c r="H27" i="2" s="1"/>
  <c r="D6" i="8"/>
  <c r="E6" i="8"/>
  <c r="J6" i="8"/>
  <c r="C25" i="8"/>
  <c r="C17" i="8"/>
  <c r="C9" i="8"/>
  <c r="E5" i="8"/>
  <c r="C74" i="8"/>
  <c r="A26" i="2" s="1"/>
  <c r="P26" i="2" s="1"/>
  <c r="J5" i="8"/>
  <c r="D5" i="8"/>
  <c r="C21" i="8"/>
  <c r="J13" i="8"/>
  <c r="C82" i="8"/>
  <c r="A34" i="2" s="1"/>
  <c r="O34" i="2" s="1"/>
  <c r="E13" i="8"/>
  <c r="D13" i="8"/>
  <c r="C4" i="8"/>
  <c r="E28" i="8"/>
  <c r="L28" i="8" s="1"/>
  <c r="E31" i="8"/>
  <c r="E27" i="8"/>
  <c r="E29" i="8"/>
  <c r="E30" i="8"/>
  <c r="E32" i="8"/>
  <c r="E33" i="8"/>
  <c r="C24" i="8"/>
  <c r="C89" i="8"/>
  <c r="A41" i="2" s="1"/>
  <c r="C41" i="2" s="1"/>
  <c r="D20" i="8"/>
  <c r="J20" i="8"/>
  <c r="E20" i="8"/>
  <c r="C16" i="8"/>
  <c r="C12" i="8"/>
  <c r="C8" i="8"/>
  <c r="C6" i="7"/>
  <c r="P48" i="2"/>
  <c r="C49" i="2"/>
  <c r="P40" i="2"/>
  <c r="C44" i="2"/>
  <c r="O50" i="2"/>
  <c r="C27" i="2"/>
  <c r="C51" i="2"/>
  <c r="C50" i="2"/>
  <c r="H51" i="2"/>
  <c r="O51" i="2"/>
  <c r="P47" i="2"/>
  <c r="P43" i="2"/>
  <c r="H39" i="2"/>
  <c r="O35" i="2"/>
  <c r="H49" i="2"/>
  <c r="P49" i="2"/>
  <c r="P44" i="2"/>
  <c r="P50" i="2"/>
  <c r="B32" i="2"/>
  <c r="B43" i="2"/>
  <c r="M43" i="2" s="1"/>
  <c r="B48" i="2"/>
  <c r="M48" i="2" s="1"/>
  <c r="B49" i="2"/>
  <c r="M49" i="2" s="1"/>
  <c r="B51" i="2"/>
  <c r="M51" i="2" s="1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6" i="7"/>
  <c r="A27" i="7"/>
  <c r="A28" i="7"/>
  <c r="A29" i="7"/>
  <c r="A30" i="7"/>
  <c r="A31" i="7"/>
  <c r="A32" i="7"/>
  <c r="A33" i="7"/>
  <c r="A6" i="7"/>
  <c r="D35" i="1"/>
  <c r="B47" i="2" l="1"/>
  <c r="M47" i="2" s="1"/>
  <c r="B31" i="2"/>
  <c r="O39" i="2"/>
  <c r="O47" i="2"/>
  <c r="C32" i="2"/>
  <c r="C47" i="2"/>
  <c r="K47" i="2" s="1"/>
  <c r="B39" i="2"/>
  <c r="M39" i="2" s="1"/>
  <c r="P32" i="2"/>
  <c r="P35" i="2"/>
  <c r="O43" i="2"/>
  <c r="L18" i="8"/>
  <c r="L19" i="8"/>
  <c r="L23" i="8"/>
  <c r="L29" i="8"/>
  <c r="B27" i="2"/>
  <c r="O31" i="2"/>
  <c r="C39" i="2"/>
  <c r="L13" i="8"/>
  <c r="B44" i="2"/>
  <c r="M44" i="2" s="1"/>
  <c r="B35" i="2"/>
  <c r="M35" i="2" s="1"/>
  <c r="O32" i="2"/>
  <c r="H31" i="2"/>
  <c r="H43" i="2"/>
  <c r="C35" i="2"/>
  <c r="C31" i="2"/>
  <c r="P27" i="2"/>
  <c r="L32" i="8"/>
  <c r="L31" i="8"/>
  <c r="B41" i="2"/>
  <c r="M41" i="2" s="1"/>
  <c r="H41" i="2"/>
  <c r="P41" i="2"/>
  <c r="L11" i="8"/>
  <c r="H44" i="2"/>
  <c r="O48" i="2"/>
  <c r="O27" i="2"/>
  <c r="C26" i="2"/>
  <c r="H48" i="2"/>
  <c r="L20" i="8"/>
  <c r="L27" i="8"/>
  <c r="L22" i="8"/>
  <c r="L26" i="8"/>
  <c r="J33" i="8"/>
  <c r="C102" i="8"/>
  <c r="D33" i="8"/>
  <c r="C103" i="8"/>
  <c r="D34" i="8"/>
  <c r="J34" i="8"/>
  <c r="P34" i="2"/>
  <c r="H26" i="2"/>
  <c r="L30" i="8"/>
  <c r="E34" i="8"/>
  <c r="L5" i="8"/>
  <c r="H34" i="2"/>
  <c r="B34" i="2"/>
  <c r="M34" i="2" s="1"/>
  <c r="B26" i="2"/>
  <c r="O41" i="2"/>
  <c r="O26" i="2"/>
  <c r="C34" i="2"/>
  <c r="K34" i="2" s="1"/>
  <c r="C77" i="8"/>
  <c r="A29" i="2" s="1"/>
  <c r="D8" i="8"/>
  <c r="J8" i="8"/>
  <c r="E8" i="8"/>
  <c r="F54" i="8" s="1"/>
  <c r="C85" i="8"/>
  <c r="A37" i="2" s="1"/>
  <c r="D16" i="8"/>
  <c r="E16" i="8"/>
  <c r="J16" i="8"/>
  <c r="C73" i="8"/>
  <c r="A25" i="2" s="1"/>
  <c r="F43" i="8"/>
  <c r="G43" i="8" s="1"/>
  <c r="G51" i="8" s="1"/>
  <c r="G63" i="8" s="1"/>
  <c r="E4" i="8"/>
  <c r="F56" i="8"/>
  <c r="F42" i="8"/>
  <c r="F41" i="8"/>
  <c r="J4" i="8"/>
  <c r="F40" i="8"/>
  <c r="G40" i="8" s="1"/>
  <c r="G48" i="8" s="1"/>
  <c r="G60" i="8" s="1"/>
  <c r="F55" i="8"/>
  <c r="F39" i="8"/>
  <c r="G39" i="8" s="1"/>
  <c r="G49" i="8" s="1"/>
  <c r="G61" i="8" s="1"/>
  <c r="F44" i="8"/>
  <c r="G44" i="8" s="1"/>
  <c r="G50" i="8" s="1"/>
  <c r="G62" i="8" s="1"/>
  <c r="D4" i="8"/>
  <c r="L4" i="8" s="1"/>
  <c r="F57" i="8"/>
  <c r="F37" i="8"/>
  <c r="J9" i="8"/>
  <c r="C78" i="8"/>
  <c r="A30" i="2" s="1"/>
  <c r="D9" i="8"/>
  <c r="E9" i="8"/>
  <c r="F38" i="8" s="1"/>
  <c r="J25" i="8"/>
  <c r="C94" i="8"/>
  <c r="A46" i="2" s="1"/>
  <c r="E25" i="8"/>
  <c r="D25" i="8"/>
  <c r="L6" i="8"/>
  <c r="L10" i="8"/>
  <c r="E15" i="8"/>
  <c r="C84" i="8"/>
  <c r="A36" i="2" s="1"/>
  <c r="J15" i="8"/>
  <c r="D15" i="8"/>
  <c r="J21" i="8"/>
  <c r="C90" i="8"/>
  <c r="A42" i="2" s="1"/>
  <c r="D21" i="8"/>
  <c r="E21" i="8"/>
  <c r="C81" i="8"/>
  <c r="A33" i="2" s="1"/>
  <c r="D12" i="8"/>
  <c r="E12" i="8"/>
  <c r="J12" i="8"/>
  <c r="C93" i="8"/>
  <c r="A45" i="2" s="1"/>
  <c r="D24" i="8"/>
  <c r="E24" i="8"/>
  <c r="J24" i="8"/>
  <c r="J17" i="8"/>
  <c r="C86" i="8"/>
  <c r="A38" i="2" s="1"/>
  <c r="D17" i="8"/>
  <c r="E17" i="8"/>
  <c r="L14" i="8"/>
  <c r="E7" i="8"/>
  <c r="C76" i="8"/>
  <c r="A28" i="2" s="1"/>
  <c r="J7" i="8"/>
  <c r="D7" i="8"/>
  <c r="K57" i="2"/>
  <c r="K56" i="2"/>
  <c r="B40" i="2"/>
  <c r="M40" i="2" s="1"/>
  <c r="C40" i="2"/>
  <c r="K40" i="2" s="1"/>
  <c r="O40" i="2"/>
  <c r="H40" i="2"/>
  <c r="K49" i="2"/>
  <c r="K48" i="2"/>
  <c r="K51" i="2"/>
  <c r="K39" i="2"/>
  <c r="K35" i="2"/>
  <c r="K44" i="2"/>
  <c r="K50" i="2"/>
  <c r="K43" i="2"/>
  <c r="K41" i="2"/>
  <c r="B14" i="2"/>
  <c r="B13" i="2"/>
  <c r="L7" i="8" l="1"/>
  <c r="L12" i="8"/>
  <c r="L21" i="8"/>
  <c r="L17" i="8"/>
  <c r="L33" i="8"/>
  <c r="L25" i="8"/>
  <c r="L8" i="8"/>
  <c r="L9" i="8"/>
  <c r="L34" i="8"/>
  <c r="L24" i="8"/>
  <c r="L15" i="8"/>
  <c r="L16" i="8"/>
  <c r="P37" i="2"/>
  <c r="H37" i="2"/>
  <c r="B37" i="2"/>
  <c r="M37" i="2" s="1"/>
  <c r="C37" i="2"/>
  <c r="K37" i="2" s="1"/>
  <c r="O37" i="2"/>
  <c r="H28" i="2"/>
  <c r="O28" i="2"/>
  <c r="P28" i="2"/>
  <c r="B28" i="2"/>
  <c r="C28" i="2"/>
  <c r="B45" i="2"/>
  <c r="M45" i="2" s="1"/>
  <c r="C45" i="2"/>
  <c r="K45" i="2" s="1"/>
  <c r="O45" i="2"/>
  <c r="P45" i="2"/>
  <c r="H45" i="2"/>
  <c r="H38" i="8"/>
  <c r="H49" i="8" s="1"/>
  <c r="H61" i="8" s="1"/>
  <c r="F49" i="8"/>
  <c r="F61" i="8" s="1"/>
  <c r="D67" i="8" s="1"/>
  <c r="C29" i="2"/>
  <c r="O29" i="2"/>
  <c r="B29" i="2"/>
  <c r="P29" i="2"/>
  <c r="H29" i="2"/>
  <c r="O42" i="2"/>
  <c r="P42" i="2"/>
  <c r="H42" i="2"/>
  <c r="B42" i="2"/>
  <c r="M42" i="2" s="1"/>
  <c r="C42" i="2"/>
  <c r="K42" i="2" s="1"/>
  <c r="H46" i="2"/>
  <c r="B46" i="2"/>
  <c r="M46" i="2" s="1"/>
  <c r="O46" i="2"/>
  <c r="P46" i="2"/>
  <c r="C46" i="2"/>
  <c r="K46" i="2" s="1"/>
  <c r="H37" i="8"/>
  <c r="H48" i="8" s="1"/>
  <c r="H60" i="8" s="1"/>
  <c r="F48" i="8"/>
  <c r="F60" i="8" s="1"/>
  <c r="D66" i="8" s="1"/>
  <c r="H41" i="8"/>
  <c r="H50" i="8" s="1"/>
  <c r="H62" i="8" s="1"/>
  <c r="F50" i="8"/>
  <c r="F62" i="8" s="1"/>
  <c r="D68" i="8" s="1"/>
  <c r="H33" i="2"/>
  <c r="O33" i="2"/>
  <c r="P33" i="2"/>
  <c r="B33" i="2"/>
  <c r="C33" i="2"/>
  <c r="K33" i="2" s="1"/>
  <c r="H38" i="2"/>
  <c r="P38" i="2"/>
  <c r="O38" i="2"/>
  <c r="C38" i="2"/>
  <c r="K38" i="2" s="1"/>
  <c r="B38" i="2"/>
  <c r="M38" i="2" s="1"/>
  <c r="B36" i="2"/>
  <c r="M36" i="2" s="1"/>
  <c r="O36" i="2"/>
  <c r="P36" i="2"/>
  <c r="C36" i="2"/>
  <c r="K36" i="2" s="1"/>
  <c r="H36" i="2"/>
  <c r="O30" i="2"/>
  <c r="P30" i="2"/>
  <c r="C30" i="2"/>
  <c r="H30" i="2"/>
  <c r="B30" i="2"/>
  <c r="F51" i="8"/>
  <c r="F63" i="8" s="1"/>
  <c r="D69" i="8" s="1"/>
  <c r="H42" i="8"/>
  <c r="H51" i="8" s="1"/>
  <c r="H63" i="8" s="1"/>
  <c r="H25" i="2"/>
  <c r="C25" i="2"/>
  <c r="P25" i="2"/>
  <c r="O25" i="2"/>
  <c r="B25" i="2"/>
  <c r="C55" i="2"/>
  <c r="D55" i="2" s="1"/>
  <c r="K29" i="2"/>
  <c r="K28" i="2"/>
  <c r="K32" i="2"/>
  <c r="K26" i="2"/>
  <c r="K27" i="2"/>
  <c r="K30" i="2"/>
  <c r="K31" i="2"/>
  <c r="A23" i="2" l="1"/>
  <c r="H68" i="8"/>
  <c r="G68" i="8"/>
  <c r="F68" i="8"/>
  <c r="A21" i="2"/>
  <c r="H66" i="8"/>
  <c r="G66" i="8"/>
  <c r="F66" i="8"/>
  <c r="A24" i="2"/>
  <c r="H69" i="8"/>
  <c r="G69" i="8"/>
  <c r="F69" i="8"/>
  <c r="F67" i="8"/>
  <c r="A22" i="2"/>
  <c r="H67" i="8"/>
  <c r="G67" i="8"/>
  <c r="K25" i="2"/>
  <c r="D22" i="2" l="1"/>
  <c r="E22" i="2"/>
  <c r="C22" i="2"/>
  <c r="K22" i="2" s="1"/>
  <c r="O22" i="2"/>
  <c r="H22" i="2"/>
  <c r="B22" i="2"/>
  <c r="P22" i="2"/>
  <c r="E24" i="2"/>
  <c r="D24" i="2"/>
  <c r="C24" i="2"/>
  <c r="K24" i="2" s="1"/>
  <c r="B24" i="2"/>
  <c r="P24" i="2"/>
  <c r="O24" i="2"/>
  <c r="H24" i="2"/>
  <c r="E21" i="2"/>
  <c r="D21" i="2"/>
  <c r="C21" i="2"/>
  <c r="K21" i="2" s="1"/>
  <c r="B21" i="2"/>
  <c r="P21" i="2"/>
  <c r="O21" i="2"/>
  <c r="H21" i="2"/>
  <c r="E23" i="2"/>
  <c r="D23" i="2"/>
  <c r="C23" i="2"/>
  <c r="K23" i="2" s="1"/>
  <c r="H23" i="2"/>
  <c r="P23" i="2"/>
  <c r="O23" i="2"/>
  <c r="B23" i="2"/>
  <c r="M23" i="2" s="1"/>
  <c r="M6" i="2"/>
  <c r="M24" i="2"/>
  <c r="M25" i="2"/>
  <c r="M26" i="2"/>
  <c r="M27" i="2"/>
  <c r="M28" i="2"/>
  <c r="M29" i="2"/>
  <c r="M30" i="2"/>
  <c r="M31" i="2"/>
  <c r="M32" i="2"/>
  <c r="M33" i="2"/>
  <c r="M22" i="2" l="1"/>
  <c r="F16" i="2"/>
  <c r="K52" i="2"/>
  <c r="M7" i="2" s="1"/>
  <c r="O14" i="2"/>
  <c r="D34" i="1"/>
  <c r="D33" i="1"/>
  <c r="D32" i="1"/>
  <c r="D31" i="1"/>
  <c r="D30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" i="1"/>
  <c r="M21" i="2" l="1"/>
  <c r="M52" i="2" s="1"/>
  <c r="D57" i="2" s="1"/>
  <c r="N10" i="2" l="1"/>
  <c r="M10" i="2" s="1"/>
  <c r="G12" i="2" s="1"/>
  <c r="H12" i="2"/>
  <c r="F15" i="2" l="1"/>
  <c r="O12" i="2" l="1"/>
  <c r="M12" i="2" s="1"/>
  <c r="F60" i="2" s="1"/>
</calcChain>
</file>

<file path=xl/comments1.xml><?xml version="1.0" encoding="utf-8"?>
<comments xmlns="http://schemas.openxmlformats.org/spreadsheetml/2006/main">
  <authors>
    <author>Lucas MICHEL</author>
  </authors>
  <commentList>
    <comment ref="G3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F5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G7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G9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G10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F11" authorId="0" shapeId="0">
      <text>
        <r>
          <rPr>
            <sz val="9"/>
            <color indexed="81"/>
            <rFont val="Tahoma"/>
            <family val="2"/>
          </rPr>
          <t xml:space="preserve">à renseigner
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F12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H14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C18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</commentList>
</comments>
</file>

<file path=xl/sharedStrings.xml><?xml version="1.0" encoding="utf-8"?>
<sst xmlns="http://schemas.openxmlformats.org/spreadsheetml/2006/main" count="788" uniqueCount="543">
  <si>
    <t>DATE :</t>
  </si>
  <si>
    <t>Préanodisation :</t>
  </si>
  <si>
    <t>OUI</t>
  </si>
  <si>
    <t>NON</t>
  </si>
  <si>
    <t>P25</t>
  </si>
  <si>
    <t xml:space="preserve">PROFILS </t>
  </si>
  <si>
    <t>Dév.</t>
  </si>
  <si>
    <t>Réf.</t>
  </si>
  <si>
    <t>Lg./m</t>
  </si>
  <si>
    <t>P8</t>
  </si>
  <si>
    <t>P20</t>
  </si>
  <si>
    <t>P15</t>
  </si>
  <si>
    <t>P32</t>
  </si>
  <si>
    <t>Liste de tarificaton</t>
  </si>
  <si>
    <t>Thermolaquage &amp; Anodisation</t>
  </si>
  <si>
    <t>1. Profiles Thermolaquage</t>
  </si>
  <si>
    <t>Materiel:</t>
  </si>
  <si>
    <t>Profiles Aluminium de 5.0 à 6,8 mtr.</t>
  </si>
  <si>
    <t>Traitement:</t>
  </si>
  <si>
    <t>Pretraitement et Thermolaquage</t>
  </si>
  <si>
    <t>Teinte selon standard ALBEA</t>
  </si>
  <si>
    <t>Facturation:</t>
  </si>
  <si>
    <t>Developpe exterieur total x Longeur x EUR/m²</t>
  </si>
  <si>
    <t>Developpe minimum 130 mm</t>
  </si>
  <si>
    <t>Tarif par lot et teinte, EUR / m²</t>
  </si>
  <si>
    <t>m²</t>
  </si>
  <si>
    <t>Groupe 1-2</t>
  </si>
  <si>
    <t>Groupe 3-5</t>
  </si>
  <si>
    <t>9010/9016</t>
  </si>
  <si>
    <t>Groupe 6 et</t>
  </si>
  <si>
    <t>9006/9007</t>
  </si>
  <si>
    <t>DB 701-703</t>
  </si>
  <si>
    <t>0-10</t>
  </si>
  <si>
    <t>61-150</t>
  </si>
  <si>
    <t>151-300</t>
  </si>
  <si>
    <t>301-500</t>
  </si>
  <si>
    <t>501-750</t>
  </si>
  <si>
    <t>&gt; 750</t>
  </si>
  <si>
    <t>sur devis</t>
  </si>
  <si>
    <t>Petites longuers</t>
  </si>
  <si>
    <t>Profiles Aluminium &lt; 5.0 mtr.</t>
  </si>
  <si>
    <t>Minimum de facturation par piece = 0,5 m²</t>
  </si>
  <si>
    <t>Longueur minimum = 1,0 mtr.</t>
  </si>
  <si>
    <t>Majoration:</t>
  </si>
  <si>
    <t>25% sur liste tarifaire ci-dessus</t>
  </si>
  <si>
    <t>2. Toles planes Thermolaquage</t>
  </si>
  <si>
    <t>Toles planes aluminium</t>
  </si>
  <si>
    <t>(3000x1500 mm, 2500x1250 mm, 2000x1000 mm)</t>
  </si>
  <si>
    <t>Thermolaquage 1 face = developpe 1 face</t>
  </si>
  <si>
    <t>Thermolaquage 2 face = developpe total</t>
  </si>
  <si>
    <t>Thermolaquage 1 face  =  plus 10%</t>
  </si>
  <si>
    <t>Important:</t>
  </si>
  <si>
    <t>Les pieces doivent etre percees pour l`accrochage</t>
  </si>
  <si>
    <t>2 face</t>
  </si>
  <si>
    <t>0-60</t>
  </si>
  <si>
    <t>&gt; 60</t>
  </si>
  <si>
    <t>3. Tolerie Thermolaquage</t>
  </si>
  <si>
    <t>Casettes, toles pliees, toles decoupees en Aluminium</t>
  </si>
  <si>
    <t>Thermolaquage 1 face  =  plus 30%</t>
  </si>
  <si>
    <t>Pour une profondeur de</t>
  </si>
  <si>
    <t>100 mm</t>
  </si>
  <si>
    <t>plus 20%</t>
  </si>
  <si>
    <t>200 mm</t>
  </si>
  <si>
    <t>plus 35%</t>
  </si>
  <si>
    <t>300 mm</t>
  </si>
  <si>
    <t>plus 50%</t>
  </si>
  <si>
    <t>0-75</t>
  </si>
  <si>
    <t>76-150</t>
  </si>
  <si>
    <t>151-250</t>
  </si>
  <si>
    <t>251-500</t>
  </si>
  <si>
    <t>Pour profiles et toles:</t>
  </si>
  <si>
    <t>Standard = lisse &amp; semi-brillant</t>
  </si>
  <si>
    <t>Teintes granitees:</t>
  </si>
  <si>
    <t>plus 1,00 EUR / qm</t>
  </si>
  <si>
    <t>Teintes matt:</t>
  </si>
  <si>
    <t>plus 0,50 EUR / qm</t>
  </si>
  <si>
    <t>(Toutes les teintes ne sont pas disponibles)</t>
  </si>
  <si>
    <t>4. Pre-Anodisation</t>
  </si>
  <si>
    <t>Pre-Anodisation</t>
  </si>
  <si>
    <t>61-300</t>
  </si>
  <si>
    <t>&gt; 500</t>
  </si>
  <si>
    <t>Toles planes, toles pliees, toles decoupees en Aluminium</t>
  </si>
  <si>
    <t>Toujours 2 face = developpe total</t>
  </si>
  <si>
    <t>Les points de contact doivent nous etre indiques sur les bordereaux de livraison.</t>
  </si>
  <si>
    <t>Sinon l`accrochage se fera selon notre decision</t>
  </si>
  <si>
    <t>0-20</t>
  </si>
  <si>
    <t>21-60</t>
  </si>
  <si>
    <t>&gt; 300</t>
  </si>
  <si>
    <t>Information importante pour la pre-anodisation:</t>
  </si>
  <si>
    <t>Pour l`accrochage en pre-anodisation comme pour l`anodisation des points de contact sont</t>
  </si>
  <si>
    <t>inevitables. Pour les profiles il faut compter avec 30 mm de chaque cote. Pour la tolerie,</t>
  </si>
  <si>
    <t>a voir selon la geometrie de celle-ci, pour les toles, 30 mm sur toute la longueur des 2 cotes</t>
  </si>
  <si>
    <t>les plus courts. Ces points de contact seront couverts par le laquage et resteront preque</t>
  </si>
  <si>
    <t>invisibles. A ces endroits la protection contre la corrosion est plus faible.</t>
  </si>
  <si>
    <t>Priere de tenir compte de ces details lors de la preparation de vos commandes.</t>
  </si>
  <si>
    <t>5. Profiles Anodisation</t>
  </si>
  <si>
    <t>Pretraitement et Anodisation</t>
  </si>
  <si>
    <r>
      <t xml:space="preserve">Por les profils avec isolant en mousse </t>
    </r>
    <r>
      <rPr>
        <sz val="11"/>
        <rFont val="Calibri"/>
        <family val="2"/>
      </rPr>
      <t>plus 25%</t>
    </r>
  </si>
  <si>
    <t>E6 EV1</t>
  </si>
  <si>
    <t>E6 Bronce</t>
  </si>
  <si>
    <t>EL 23.5</t>
  </si>
  <si>
    <t>natur</t>
  </si>
  <si>
    <t>6. Tolerie Anodisation</t>
  </si>
  <si>
    <t>Poids:</t>
  </si>
  <si>
    <t>maximum 40 kg par piece</t>
  </si>
  <si>
    <t>7. Cadres et gouttieres</t>
  </si>
  <si>
    <t>Cadres, gouttieres et assemblages soudes en Aluminium</t>
  </si>
  <si>
    <t>Selon la difficulte et au moins</t>
  </si>
  <si>
    <t xml:space="preserve">Longueur x largeur x 2 cotes x EUR/m² de la grille tarifaire </t>
  </si>
  <si>
    <t>plus majoration 50%</t>
  </si>
  <si>
    <t>8. Filmage des toles planes</t>
  </si>
  <si>
    <t>EUR / m²</t>
  </si>
  <si>
    <t>Tarif par lot et teinte</t>
  </si>
  <si>
    <t>9. Tarification particuliere et majorations</t>
  </si>
  <si>
    <t>Pieces cintrees et d`angles</t>
  </si>
  <si>
    <t>Majoration pour le sur-laquage</t>
  </si>
  <si>
    <t>Ruban adhesif, inscriptions, etc. à enlever</t>
  </si>
  <si>
    <t>selon difficulte</t>
  </si>
  <si>
    <t>Delaquage</t>
  </si>
  <si>
    <t>Defilmage</t>
  </si>
  <si>
    <t xml:space="preserve">Desanodisation </t>
  </si>
  <si>
    <t>Decoupe des profils</t>
  </si>
  <si>
    <t>Thermolaquage petites pieces selon leur taille</t>
  </si>
  <si>
    <t>Anodisation petites pieces E6EV1 nature</t>
  </si>
  <si>
    <t>Anodisation petites pieces E6 Bronce</t>
  </si>
  <si>
    <t>Le minimum de surface facturee par piece est de 0,5 m²</t>
  </si>
  <si>
    <t>10. Minimum de facturation:</t>
  </si>
  <si>
    <t>par teinte et bulletin de livraison</t>
  </si>
  <si>
    <t>EUR</t>
  </si>
  <si>
    <t>Teinte 9010/9016</t>
  </si>
  <si>
    <t>Groupe de teinte 1-2</t>
  </si>
  <si>
    <t>Groupe de teinte 3-5</t>
  </si>
  <si>
    <t>Groupe de teinte 6</t>
  </si>
  <si>
    <t>Teinte 9006/9007</t>
  </si>
  <si>
    <t>Retour en brut (jusqu`a 25 profils)</t>
  </si>
  <si>
    <t>Anodisation E6 EV1 Nature</t>
  </si>
  <si>
    <t>Anodisation E6 Bronce</t>
  </si>
  <si>
    <t>Anodisation EL23, EL30, EL25, EL21</t>
  </si>
  <si>
    <t>11. Transport:</t>
  </si>
  <si>
    <t>1x par semaine avec notre navette</t>
  </si>
  <si>
    <t>12. conditions de paiement:</t>
  </si>
  <si>
    <t>30 jours avec Escompte 2%</t>
  </si>
  <si>
    <t>60 jours net</t>
  </si>
  <si>
    <t>13. Stockage de profiles</t>
  </si>
  <si>
    <t xml:space="preserve">Veuillez vous reporter a notre notice d`information "Qualitätsinformation zur Pulverbeschichtung" </t>
  </si>
  <si>
    <t>et "Qualitätsinformation zum Eloxal" selon laquelle nous avons etabli cette liste tarifaire.</t>
  </si>
  <si>
    <t>Toutes les commandes sont traitees selon nos "Allgemeinen Geschäftsbedingungen"</t>
  </si>
  <si>
    <t>que vous possedez. Tous les prix indiques s`entendent nets et selon taxes en vigueur.</t>
  </si>
  <si>
    <t>Friesenheim-Schuttern, 13.11.2017</t>
  </si>
  <si>
    <t>ALBEA Metall-Oberflächentechnik GmbH</t>
  </si>
  <si>
    <t>Ci-joint:</t>
  </si>
  <si>
    <t>Allgemeine Geschäftsbedingungen</t>
  </si>
  <si>
    <t>Qualitätsinformation zur Pulverbeschichtung</t>
  </si>
  <si>
    <t>Qualitätsinformation zum Eloxal</t>
  </si>
  <si>
    <t>Farbgruppenliste zur Pulverbeschichtung</t>
  </si>
  <si>
    <t>RAL</t>
  </si>
  <si>
    <t>ALBEA</t>
  </si>
  <si>
    <t>SILAC</t>
  </si>
  <si>
    <t>Quantité</t>
  </si>
  <si>
    <t>Désignation</t>
  </si>
  <si>
    <t>Guide crémone</t>
  </si>
  <si>
    <t>Guide serrure</t>
  </si>
  <si>
    <t>surface</t>
  </si>
  <si>
    <t>Surf. Total m²</t>
  </si>
  <si>
    <t>PAUM751</t>
  </si>
  <si>
    <t>PAUMTB4</t>
  </si>
  <si>
    <t>20 EUR par mois et par civiere</t>
  </si>
  <si>
    <t>Valable 01.10.2019 - 31.12.2019</t>
  </si>
  <si>
    <t>&gt;300</t>
  </si>
  <si>
    <t>90 EUR</t>
  </si>
  <si>
    <t>19,85 EUR / m²</t>
  </si>
  <si>
    <t>1,69 EUR / m²</t>
  </si>
  <si>
    <t>1,75 EUR / m²</t>
  </si>
  <si>
    <t>5,02 EUR / piece</t>
  </si>
  <si>
    <t>1,57 EUR / piece</t>
  </si>
  <si>
    <t>1,29 EUR / piece</t>
  </si>
  <si>
    <t>2,49 EUR / piece</t>
  </si>
  <si>
    <t>HAHN 751</t>
  </si>
  <si>
    <t>2,35 EUR / piece</t>
  </si>
  <si>
    <t>TB4</t>
  </si>
  <si>
    <t>GROUPE</t>
  </si>
  <si>
    <t>BLANC</t>
  </si>
  <si>
    <t xml:space="preserve"> (9010/9016)</t>
  </si>
  <si>
    <t>14. Protection</t>
  </si>
  <si>
    <t>par barre</t>
  </si>
  <si>
    <t>2faces</t>
  </si>
  <si>
    <t>1face</t>
  </si>
  <si>
    <t>3faces</t>
  </si>
  <si>
    <t>Longueur de barre (m)</t>
  </si>
  <si>
    <t>nb barre 6,5</t>
  </si>
  <si>
    <t>fournisseur</t>
  </si>
  <si>
    <t>préanodisation</t>
  </si>
  <si>
    <t>groupe</t>
  </si>
  <si>
    <t>grp</t>
  </si>
  <si>
    <t>n°ligne</t>
  </si>
  <si>
    <t>prix pré-ano</t>
  </si>
  <si>
    <t>surf -&gt;</t>
  </si>
  <si>
    <t>Brillant</t>
  </si>
  <si>
    <t>Satiné</t>
  </si>
  <si>
    <t>Aspect laquage</t>
  </si>
  <si>
    <t>E6/EV1</t>
  </si>
  <si>
    <t>E6/Bronze</t>
  </si>
  <si>
    <t>EL23.5</t>
  </si>
  <si>
    <t>11-20</t>
  </si>
  <si>
    <t>Teinte :</t>
  </si>
  <si>
    <t>prix théorique</t>
  </si>
  <si>
    <t>prix mini</t>
  </si>
  <si>
    <t>prix réel laquage seul</t>
  </si>
  <si>
    <t>A407000005</t>
  </si>
  <si>
    <t>A407000019</t>
  </si>
  <si>
    <t>Réf NAV</t>
  </si>
  <si>
    <t>A407000006</t>
  </si>
  <si>
    <t>A407000007</t>
  </si>
  <si>
    <t>A407000008</t>
  </si>
  <si>
    <t>A407000009</t>
  </si>
  <si>
    <t>A407000010</t>
  </si>
  <si>
    <t>A407000017</t>
  </si>
  <si>
    <t>A407000018</t>
  </si>
  <si>
    <t>A407000020</t>
  </si>
  <si>
    <t>A407000021</t>
  </si>
  <si>
    <t>A407000022</t>
  </si>
  <si>
    <t>A407000023</t>
  </si>
  <si>
    <t>A407000024</t>
  </si>
  <si>
    <t>A407000026</t>
  </si>
  <si>
    <t>A407000027</t>
  </si>
  <si>
    <t>A407000028</t>
  </si>
  <si>
    <t>A407000001</t>
  </si>
  <si>
    <t>A407000002</t>
  </si>
  <si>
    <t>A407000003</t>
  </si>
  <si>
    <t>A407000004</t>
  </si>
  <si>
    <t>CJ40x2</t>
  </si>
  <si>
    <t>Contact:</t>
  </si>
  <si>
    <t>contact</t>
  </si>
  <si>
    <t>Joël ANTZ</t>
  </si>
  <si>
    <t>Lydiane MOREL</t>
  </si>
  <si>
    <t>Philippe WODLING</t>
  </si>
  <si>
    <t>SOCLE</t>
  </si>
  <si>
    <t>Profil socle 1000 38</t>
  </si>
  <si>
    <t>RAL7016</t>
  </si>
  <si>
    <t>Dormant 3000 18</t>
  </si>
  <si>
    <t>Inverseur 3000 22</t>
  </si>
  <si>
    <t>RAL1000</t>
  </si>
  <si>
    <t>RAL1001</t>
  </si>
  <si>
    <t>RAL1002</t>
  </si>
  <si>
    <t>RAL1003</t>
  </si>
  <si>
    <t>RAL1004</t>
  </si>
  <si>
    <t>RAL1005</t>
  </si>
  <si>
    <t>RAL1006</t>
  </si>
  <si>
    <t>RAL1007</t>
  </si>
  <si>
    <t>RAL1011</t>
  </si>
  <si>
    <t>RAL1012</t>
  </si>
  <si>
    <t>RAL1013</t>
  </si>
  <si>
    <t>RAL1014</t>
  </si>
  <si>
    <t>RAL1015</t>
  </si>
  <si>
    <t>RAL1016</t>
  </si>
  <si>
    <t>RAL1017</t>
  </si>
  <si>
    <t>RAL1018</t>
  </si>
  <si>
    <t>RAL1019</t>
  </si>
  <si>
    <t>RAL1020</t>
  </si>
  <si>
    <t>RAL1021</t>
  </si>
  <si>
    <t>RAL1023</t>
  </si>
  <si>
    <t>RAL1024</t>
  </si>
  <si>
    <t>RAL1027</t>
  </si>
  <si>
    <t>RAL1028</t>
  </si>
  <si>
    <t>RAL1032</t>
  </si>
  <si>
    <t>RAL1033</t>
  </si>
  <si>
    <t>RAL1034</t>
  </si>
  <si>
    <t>RAL2000</t>
  </si>
  <si>
    <t>RAL2001</t>
  </si>
  <si>
    <t>RAL2002</t>
  </si>
  <si>
    <t>RAL2003</t>
  </si>
  <si>
    <t>RAL2004</t>
  </si>
  <si>
    <t>RAL2009</t>
  </si>
  <si>
    <t>RAL2010</t>
  </si>
  <si>
    <t>RAL2011</t>
  </si>
  <si>
    <t>RAL3000</t>
  </si>
  <si>
    <t>RAL3001</t>
  </si>
  <si>
    <t>RAL3002</t>
  </si>
  <si>
    <t>RAL3003</t>
  </si>
  <si>
    <t>RAL3004</t>
  </si>
  <si>
    <t>RAL3005</t>
  </si>
  <si>
    <t>RAL3007</t>
  </si>
  <si>
    <t>RAL3009</t>
  </si>
  <si>
    <t>RAL3011</t>
  </si>
  <si>
    <t>RAL3012</t>
  </si>
  <si>
    <t>RAL3013</t>
  </si>
  <si>
    <t>RAL3014</t>
  </si>
  <si>
    <t>RAL3015</t>
  </si>
  <si>
    <t>RAL3016</t>
  </si>
  <si>
    <t>RAL3017</t>
  </si>
  <si>
    <t>RAL3018</t>
  </si>
  <si>
    <t>RAL3020</t>
  </si>
  <si>
    <t>RAL3022</t>
  </si>
  <si>
    <t>RAL3027</t>
  </si>
  <si>
    <t>RAL3031</t>
  </si>
  <si>
    <t>RAL4001</t>
  </si>
  <si>
    <t>RAL4002</t>
  </si>
  <si>
    <t>RAL4003</t>
  </si>
  <si>
    <t>RAL4004</t>
  </si>
  <si>
    <t>RAL4005</t>
  </si>
  <si>
    <t>RAL4006</t>
  </si>
  <si>
    <t>RAL4007</t>
  </si>
  <si>
    <t>RAL4008</t>
  </si>
  <si>
    <t>RAL4009</t>
  </si>
  <si>
    <t>RAL4010</t>
  </si>
  <si>
    <t>RAL5000</t>
  </si>
  <si>
    <t>RAL5001</t>
  </si>
  <si>
    <t>RAL5002</t>
  </si>
  <si>
    <t>RAL5003</t>
  </si>
  <si>
    <t>RAL5004</t>
  </si>
  <si>
    <t>RAL5005</t>
  </si>
  <si>
    <t>RAL5007</t>
  </si>
  <si>
    <t>RAL5008</t>
  </si>
  <si>
    <t>RAL5009</t>
  </si>
  <si>
    <t>RAL5010</t>
  </si>
  <si>
    <t>RAL5011</t>
  </si>
  <si>
    <t>RAL5012</t>
  </si>
  <si>
    <t>RAL5013</t>
  </si>
  <si>
    <t>RAL5014</t>
  </si>
  <si>
    <t>RAL5015</t>
  </si>
  <si>
    <t>RAL5017</t>
  </si>
  <si>
    <t>RAL5018</t>
  </si>
  <si>
    <t>RAL5019</t>
  </si>
  <si>
    <t>RAL5020</t>
  </si>
  <si>
    <t>RAL5021</t>
  </si>
  <si>
    <t>RAL5022</t>
  </si>
  <si>
    <t>RAL5023</t>
  </si>
  <si>
    <t>RAL5024</t>
  </si>
  <si>
    <t>RAL6000</t>
  </si>
  <si>
    <t>RAL6001</t>
  </si>
  <si>
    <t>RAL6002</t>
  </si>
  <si>
    <t>RAL6003</t>
  </si>
  <si>
    <t>RAL6004</t>
  </si>
  <si>
    <t>RAL6005</t>
  </si>
  <si>
    <t>RAL6006</t>
  </si>
  <si>
    <t>RAL6007</t>
  </si>
  <si>
    <t>RAL6008</t>
  </si>
  <si>
    <t>RAL6009</t>
  </si>
  <si>
    <t>RAL6010</t>
  </si>
  <si>
    <t>RAL6011</t>
  </si>
  <si>
    <t>RAL6012</t>
  </si>
  <si>
    <t>RAL6013</t>
  </si>
  <si>
    <t>RAL6014</t>
  </si>
  <si>
    <t>RAL6015</t>
  </si>
  <si>
    <t>RAL6016</t>
  </si>
  <si>
    <t>RAL6017</t>
  </si>
  <si>
    <t>RAL6018</t>
  </si>
  <si>
    <t>RAL6019</t>
  </si>
  <si>
    <t>RAL6020</t>
  </si>
  <si>
    <t>RAL6021</t>
  </si>
  <si>
    <t>RAL6022</t>
  </si>
  <si>
    <t>RAL6024</t>
  </si>
  <si>
    <t>RAL6025</t>
  </si>
  <si>
    <t>RAL6026</t>
  </si>
  <si>
    <t>RAL6027</t>
  </si>
  <si>
    <t>RAL6028</t>
  </si>
  <si>
    <t>RAL6029</t>
  </si>
  <si>
    <t>RAL6032</t>
  </si>
  <si>
    <t>RAL6033</t>
  </si>
  <si>
    <t>RAL6034</t>
  </si>
  <si>
    <t>RAL7000</t>
  </si>
  <si>
    <t>RAL7001</t>
  </si>
  <si>
    <t>RAL7002</t>
  </si>
  <si>
    <t>RAL7003</t>
  </si>
  <si>
    <t>RAL7004</t>
  </si>
  <si>
    <t>RAL7005</t>
  </si>
  <si>
    <t>RAL7006</t>
  </si>
  <si>
    <t>RAL7008</t>
  </si>
  <si>
    <t>RAL7009</t>
  </si>
  <si>
    <t>RAL7010</t>
  </si>
  <si>
    <t>RAL7011</t>
  </si>
  <si>
    <t>RAL7012</t>
  </si>
  <si>
    <t>RAL7013</t>
  </si>
  <si>
    <t>RAL7015</t>
  </si>
  <si>
    <t>RAL7021</t>
  </si>
  <si>
    <t>RAL7022</t>
  </si>
  <si>
    <t>RAL7023</t>
  </si>
  <si>
    <t>RAL7024</t>
  </si>
  <si>
    <t>RAL7026</t>
  </si>
  <si>
    <t>RAL7030</t>
  </si>
  <si>
    <t>RAL7031</t>
  </si>
  <si>
    <t>RAL7032</t>
  </si>
  <si>
    <t>RAL7033</t>
  </si>
  <si>
    <t>RAL7034</t>
  </si>
  <si>
    <t>RAL7035</t>
  </si>
  <si>
    <t>RAL7036</t>
  </si>
  <si>
    <t>RAL7037</t>
  </si>
  <si>
    <t>RAL7038</t>
  </si>
  <si>
    <t>RAL7039</t>
  </si>
  <si>
    <t>RAL7040</t>
  </si>
  <si>
    <t>RAL7042</t>
  </si>
  <si>
    <t>RAL7043</t>
  </si>
  <si>
    <t>RAL7044</t>
  </si>
  <si>
    <t>RAL7045</t>
  </si>
  <si>
    <t>RAL7046</t>
  </si>
  <si>
    <t>RAL7047</t>
  </si>
  <si>
    <t>RAL8000</t>
  </si>
  <si>
    <t>RAL8001</t>
  </si>
  <si>
    <t>RAL8002</t>
  </si>
  <si>
    <t>RAL8003</t>
  </si>
  <si>
    <t>RAL8004</t>
  </si>
  <si>
    <t>RAL8007</t>
  </si>
  <si>
    <t>RAL8008</t>
  </si>
  <si>
    <t>RAL8011</t>
  </si>
  <si>
    <t>RAL8012</t>
  </si>
  <si>
    <t>RAL8014</t>
  </si>
  <si>
    <t>RAL8015</t>
  </si>
  <si>
    <t>RAL8016</t>
  </si>
  <si>
    <t>RAL8017</t>
  </si>
  <si>
    <t>RAL8019</t>
  </si>
  <si>
    <t>RAL8022</t>
  </si>
  <si>
    <t>RAL8023</t>
  </si>
  <si>
    <t>RAL8024</t>
  </si>
  <si>
    <t>RAL8025</t>
  </si>
  <si>
    <t>RAL8028</t>
  </si>
  <si>
    <t>RAL9001</t>
  </si>
  <si>
    <t>RAL9002</t>
  </si>
  <si>
    <t>RAL9003</t>
  </si>
  <si>
    <t>RAL9004</t>
  </si>
  <si>
    <t>RAL9005</t>
  </si>
  <si>
    <t>RAL9006</t>
  </si>
  <si>
    <t>RAL9007</t>
  </si>
  <si>
    <t>RAL9011</t>
  </si>
  <si>
    <t>RAL9017</t>
  </si>
  <si>
    <t>RAL9018</t>
  </si>
  <si>
    <t>RAL9010</t>
  </si>
  <si>
    <t>RAL9016</t>
  </si>
  <si>
    <t>Paumelles</t>
  </si>
  <si>
    <t>Protection</t>
  </si>
  <si>
    <t>N° NAV</t>
  </si>
  <si>
    <t>+33 3 88 64 82 80</t>
  </si>
  <si>
    <t>l.morel@svf-france.com</t>
  </si>
  <si>
    <t>+33 3 90 64 86 45</t>
  </si>
  <si>
    <t>p.wodling@svf-france.com</t>
  </si>
  <si>
    <t>+33 3 88 64 80 10</t>
  </si>
  <si>
    <t>j.antz@svf-france.com</t>
  </si>
  <si>
    <t>Prix total:</t>
  </si>
  <si>
    <t>Qté</t>
  </si>
  <si>
    <t>Prix</t>
  </si>
  <si>
    <t>Numéro d'affaire :</t>
  </si>
  <si>
    <t>Pareclose 1000 32</t>
  </si>
  <si>
    <t>Pareclose 1000 15</t>
  </si>
  <si>
    <t>Ouvrant 3000 21</t>
  </si>
  <si>
    <t>Inverseur avec guide 3000 24</t>
  </si>
  <si>
    <t>Fixe 4000 19</t>
  </si>
  <si>
    <t>Traverse 4000 20</t>
  </si>
  <si>
    <t xml:space="preserve">Paumelle Hahn TB4 </t>
  </si>
  <si>
    <t>Dormant 4000 18</t>
  </si>
  <si>
    <t>Ouvrant 4000 21</t>
  </si>
  <si>
    <t>Pareclose 1000 20</t>
  </si>
  <si>
    <t xml:space="preserve">Pareclose 1000 </t>
  </si>
  <si>
    <t>Fixe 3000 19</t>
  </si>
  <si>
    <t>Traverse 3000 20</t>
  </si>
  <si>
    <t>Profil 3000 25</t>
  </si>
  <si>
    <t>300022 + guide serrure</t>
  </si>
  <si>
    <t>300021 + guide serrure</t>
  </si>
  <si>
    <t>Inverseur 4000 22</t>
  </si>
  <si>
    <t>400021 + guide crémone</t>
  </si>
  <si>
    <t>400022 + guide crémone</t>
  </si>
  <si>
    <t>Profil 4000 25</t>
  </si>
  <si>
    <t>400022 + guide serrure</t>
  </si>
  <si>
    <t>400021 + guide serrure</t>
  </si>
  <si>
    <t>Couvre joint 40 x 2</t>
  </si>
  <si>
    <t>totaux</t>
  </si>
  <si>
    <t>Prix au m² :</t>
  </si>
  <si>
    <t>Fournisseur:</t>
  </si>
  <si>
    <t>Commande n°</t>
  </si>
  <si>
    <t>PAUMELLE HAHN R751</t>
  </si>
  <si>
    <t>Date d'enlèvement :</t>
  </si>
  <si>
    <t>Date de retour :</t>
  </si>
  <si>
    <t>Num. d'OF :</t>
  </si>
  <si>
    <t>Surface totale :</t>
  </si>
  <si>
    <t>Spéciale</t>
  </si>
  <si>
    <t>Barile de poudre</t>
  </si>
  <si>
    <t>qté</t>
  </si>
  <si>
    <t>guide serr</t>
  </si>
  <si>
    <t>guide cré</t>
  </si>
  <si>
    <t>converties</t>
  </si>
  <si>
    <t>origines</t>
  </si>
  <si>
    <t>total</t>
  </si>
  <si>
    <t>à inserer</t>
  </si>
  <si>
    <t>Pareclose 1000 25</t>
  </si>
  <si>
    <t>Ouvrant avec guide 3000 23</t>
  </si>
  <si>
    <t>UV</t>
  </si>
  <si>
    <t>Barre</t>
  </si>
  <si>
    <t>Nécessaire</t>
  </si>
  <si>
    <t>Unité</t>
  </si>
  <si>
    <t>Numéro</t>
  </si>
  <si>
    <t>Trait. surface Int./Ext.</t>
  </si>
  <si>
    <t>Poids [kg]</t>
  </si>
  <si>
    <t>Prix [EUR]</t>
  </si>
  <si>
    <t>Prix/Barre [EUR]</t>
  </si>
  <si>
    <t>Nécessaire [EUR]</t>
  </si>
  <si>
    <t>Total [EUR]</t>
  </si>
  <si>
    <t>6,0</t>
  </si>
  <si>
    <t>m</t>
  </si>
  <si>
    <t>6,5</t>
  </si>
  <si>
    <t>300018</t>
  </si>
  <si>
    <t>300021</t>
  </si>
  <si>
    <t>300024</t>
  </si>
  <si>
    <t>5,0</t>
  </si>
  <si>
    <t>A407000011</t>
  </si>
  <si>
    <t>GUIDE</t>
  </si>
  <si>
    <t>Guide 1000 37</t>
  </si>
  <si>
    <t xml:space="preserve"> </t>
  </si>
  <si>
    <t>400019</t>
  </si>
  <si>
    <t>400020</t>
  </si>
  <si>
    <t>Somme:</t>
  </si>
  <si>
    <t>Ferrure</t>
  </si>
  <si>
    <t>Trait. surface</t>
  </si>
  <si>
    <t>Prix/UV [EUR]</t>
  </si>
  <si>
    <t>pce</t>
  </si>
  <si>
    <t>282692</t>
  </si>
  <si>
    <t>BAN_TS_93_BG</t>
  </si>
  <si>
    <t>Bandeau G-SR/BG 1350-2500</t>
  </si>
  <si>
    <t>RAL 9005</t>
  </si>
  <si>
    <t>A203100475</t>
  </si>
  <si>
    <t>BEQUILLE_SIMPLE</t>
  </si>
  <si>
    <t>Simple béquille + rosace standard</t>
  </si>
  <si>
    <t>Inox</t>
  </si>
  <si>
    <t>A203100500</t>
  </si>
  <si>
    <t>CARRE_TRAVERSANT_85</t>
  </si>
  <si>
    <t>Carré de 9_traversant_85 (B 78400-10-0-1) - 145</t>
  </si>
  <si>
    <t>A203100300</t>
  </si>
  <si>
    <t>CRÉMONE_STANDARD</t>
  </si>
  <si>
    <t>Crémone à bascule (B 1899 0202)</t>
  </si>
  <si>
    <t>A203400183</t>
  </si>
  <si>
    <t>FP_TS93_G</t>
  </si>
  <si>
    <t>Ferme-porte TS 93 G 2-5</t>
  </si>
  <si>
    <t>A203100335</t>
  </si>
  <si>
    <t>GACHE_MECAG</t>
  </si>
  <si>
    <t>Gâche inox (B 9000 0727) - Din G</t>
  </si>
  <si>
    <t>A203300047</t>
  </si>
  <si>
    <t>PAUMELLE_HAHN_TB4_9005</t>
  </si>
  <si>
    <t>A407500004</t>
  </si>
  <si>
    <t>REHAUSSE_SERRURE_85</t>
  </si>
  <si>
    <t>Rehausse serrure 1 trou 85</t>
  </si>
  <si>
    <t>A203100464</t>
  </si>
  <si>
    <t>SERRURE_1838</t>
  </si>
  <si>
    <t>Serrure 2 points 1838</t>
  </si>
  <si>
    <t>A207001908</t>
  </si>
  <si>
    <t>VIS_4,8X25</t>
  </si>
  <si>
    <t>VIS A TOLE 4,8x25 (traverse)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</si>
</sst>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0.00;\-0.00;;@"/>
    <numFmt numFmtId="165" formatCode="#,##0.00\ &quot;€&quot;"/>
    <numFmt numFmtId="166" formatCode="0;\-0;;@"/>
    <numFmt numFmtId="167" formatCode="_-* #,##0.00\ [$€-40C]_-;\-* #,##0.00\ [$€-40C]_-;_-* &quot;-&quot;??\ [$€-40C]_-;_-@_-"/>
    <numFmt numFmtId="168" formatCode="#,##0.0##"/>
    <numFmt numFmtId="169" formatCode="0.0"/>
    <numFmt numFmtId="170" formatCode="0.000"/>
    <numFmt numFmtId="171" formatCode="#,##0.0"/>
    <numFmt numFmtId="172" formatCode="#,##0.000"/>
  </numFmts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i/>
      <sz val="19"/>
      <name val="Arial"/>
      <family val="2"/>
    </font>
    <font>
      <sz val="12"/>
      <name val="Arial Narrow"/>
      <family val="2"/>
    </font>
    <font>
      <sz val="14"/>
      <name val="Arial Narrow"/>
      <family val="2"/>
    </font>
    <font>
      <sz val="11"/>
      <name val="Arial Narrow"/>
      <family val="2"/>
    </font>
    <font>
      <b/>
      <sz val="14"/>
      <name val="Arial Narrow"/>
      <family val="2"/>
    </font>
    <font>
      <b/>
      <i/>
      <sz val="10"/>
      <name val="Arial Narrow"/>
      <family val="2"/>
    </font>
    <font>
      <b/>
      <i/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name val="Arial"/>
      <family val="2"/>
    </font>
    <font>
      <b/>
      <sz val="11"/>
      <name val="Calibri"/>
      <family val="2"/>
      <scheme val="minor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16"/>
      <name val="Arial Narrow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sz val="8"/>
      <name val="Arial"/>
      <family val="2"/>
    </font>
    <font>
      <b/>
      <i/>
      <sz val="8"/>
      <name val="Arial"/>
      <family val="2"/>
    </font>
    <font>
      <sz val="8"/>
      <name val="Arial Narrow"/>
      <family val="2"/>
    </font>
    <font>
      <u/>
      <sz val="11"/>
      <name val="Arial Narrow"/>
      <family val="2"/>
    </font>
    <font>
      <sz val="9"/>
      <color indexed="81"/>
      <name val="Tahoma"/>
      <family val="2"/>
    </font>
    <font>
      <b/>
      <i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auto="1"/>
      </patternFill>
    </fill>
    <fill>
      <patternFill patternType="solid">
        <fgColor theme="0" tint="-0.14996795556505021"/>
        <bgColor auto="1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10" fillId="0" borderId="0" applyFont="0" applyFill="0" applyBorder="0" applyAlignment="0" applyProtection="0"/>
    <xf numFmtId="0" fontId="23" fillId="0" borderId="0" applyNumberFormat="0" applyFill="0" applyBorder="0" applyAlignment="0" applyProtection="0"/>
  </cellStyleXfs>
  <cellXfs count="245">
    <xf numFmtId="0" fontId="0" fillId="0" borderId="0" xfId="0"/>
    <xf numFmtId="0" fontId="2" fillId="0" borderId="0" xfId="1" applyFont="1"/>
    <xf numFmtId="0" fontId="3" fillId="0" borderId="0" xfId="1" applyFont="1" applyAlignment="1">
      <alignment horizontal="left"/>
    </xf>
    <xf numFmtId="0" fontId="4" fillId="0" borderId="0" xfId="1" applyFont="1"/>
    <xf numFmtId="0" fontId="9" fillId="0" borderId="0" xfId="1" applyFont="1" applyAlignment="1">
      <alignment vertical="center" wrapText="1"/>
    </xf>
    <xf numFmtId="0" fontId="13" fillId="0" borderId="0" xfId="0" applyFont="1"/>
    <xf numFmtId="0" fontId="13" fillId="0" borderId="0" xfId="0" applyFont="1" applyAlignment="1">
      <alignment horizontal="right"/>
    </xf>
    <xf numFmtId="0" fontId="12" fillId="0" borderId="0" xfId="0" applyFont="1"/>
    <xf numFmtId="0" fontId="0" fillId="0" borderId="0" xfId="0" applyAlignment="1">
      <alignment horizontal="right"/>
    </xf>
    <xf numFmtId="0" fontId="14" fillId="0" borderId="0" xfId="0" applyFont="1"/>
    <xf numFmtId="0" fontId="12" fillId="0" borderId="0" xfId="0" applyFont="1" applyBorder="1"/>
    <xf numFmtId="0" fontId="0" fillId="0" borderId="0" xfId="0" applyBorder="1"/>
    <xf numFmtId="0" fontId="0" fillId="0" borderId="1" xfId="0" applyBorder="1"/>
    <xf numFmtId="0" fontId="12" fillId="0" borderId="1" xfId="0" applyFont="1" applyBorder="1"/>
    <xf numFmtId="49" fontId="0" fillId="0" borderId="0" xfId="0" applyNumberFormat="1" applyBorder="1"/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15" fillId="0" borderId="1" xfId="0" applyFont="1" applyBorder="1" applyAlignment="1">
      <alignment horizontal="right"/>
    </xf>
    <xf numFmtId="49" fontId="0" fillId="0" borderId="0" xfId="0" applyNumberFormat="1"/>
    <xf numFmtId="2" fontId="0" fillId="0" borderId="0" xfId="0" applyNumberFormat="1"/>
    <xf numFmtId="49" fontId="12" fillId="0" borderId="0" xfId="0" applyNumberFormat="1" applyFont="1"/>
    <xf numFmtId="0" fontId="16" fillId="0" borderId="0" xfId="0" applyFont="1"/>
    <xf numFmtId="49" fontId="0" fillId="0" borderId="0" xfId="0" applyNumberFormat="1" applyFont="1"/>
    <xf numFmtId="0" fontId="0" fillId="0" borderId="0" xfId="0" applyFont="1"/>
    <xf numFmtId="0" fontId="11" fillId="0" borderId="0" xfId="0" applyFont="1"/>
    <xf numFmtId="49" fontId="0" fillId="0" borderId="0" xfId="0" applyNumberFormat="1" applyFill="1" applyBorder="1"/>
    <xf numFmtId="0" fontId="18" fillId="0" borderId="0" xfId="0" applyFont="1"/>
    <xf numFmtId="49" fontId="14" fillId="0" borderId="0" xfId="0" applyNumberFormat="1" applyFont="1" applyFill="1" applyBorder="1"/>
    <xf numFmtId="0" fontId="0" fillId="0" borderId="2" xfId="0" applyBorder="1"/>
    <xf numFmtId="0" fontId="16" fillId="0" borderId="2" xfId="0" applyFont="1" applyBorder="1"/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9" fillId="0" borderId="0" xfId="0" applyFont="1"/>
    <xf numFmtId="0" fontId="12" fillId="2" borderId="0" xfId="0" applyFont="1" applyFill="1" applyBorder="1"/>
    <xf numFmtId="0" fontId="12" fillId="4" borderId="0" xfId="0" applyFont="1" applyFill="1" applyBorder="1"/>
    <xf numFmtId="0" fontId="0" fillId="0" borderId="8" xfId="0" applyFill="1" applyBorder="1"/>
    <xf numFmtId="0" fontId="3" fillId="0" borderId="0" xfId="1" applyFont="1" applyAlignment="1"/>
    <xf numFmtId="0" fontId="0" fillId="0" borderId="0" xfId="0" applyFill="1" applyBorder="1"/>
    <xf numFmtId="0" fontId="12" fillId="5" borderId="0" xfId="0" applyFont="1" applyFill="1" applyBorder="1"/>
    <xf numFmtId="0" fontId="2" fillId="0" borderId="10" xfId="1" applyFont="1" applyBorder="1"/>
    <xf numFmtId="0" fontId="21" fillId="3" borderId="0" xfId="0" applyFont="1" applyFill="1" applyBorder="1"/>
    <xf numFmtId="0" fontId="0" fillId="0" borderId="0" xfId="0" applyFill="1"/>
    <xf numFmtId="0" fontId="12" fillId="2" borderId="0" xfId="0" applyFont="1" applyFill="1"/>
    <xf numFmtId="0" fontId="21" fillId="3" borderId="0" xfId="0" applyFont="1" applyFill="1"/>
    <xf numFmtId="44" fontId="22" fillId="0" borderId="10" xfId="2" applyFont="1" applyBorder="1"/>
    <xf numFmtId="0" fontId="2" fillId="0" borderId="15" xfId="1" applyFont="1" applyBorder="1"/>
    <xf numFmtId="0" fontId="0" fillId="0" borderId="17" xfId="0" applyFill="1" applyBorder="1"/>
    <xf numFmtId="0" fontId="0" fillId="0" borderId="9" xfId="0" applyFill="1" applyBorder="1"/>
    <xf numFmtId="0" fontId="21" fillId="0" borderId="0" xfId="0" applyFont="1" applyFill="1"/>
    <xf numFmtId="2" fontId="2" fillId="0" borderId="0" xfId="1" applyNumberFormat="1" applyFont="1"/>
    <xf numFmtId="0" fontId="23" fillId="0" borderId="0" xfId="3" applyAlignment="1">
      <alignment vertical="center"/>
    </xf>
    <xf numFmtId="0" fontId="0" fillId="0" borderId="0" xfId="0" applyAlignment="1"/>
    <xf numFmtId="0" fontId="23" fillId="0" borderId="0" xfId="3" applyAlignment="1">
      <alignment wrapText="1"/>
    </xf>
    <xf numFmtId="0" fontId="23" fillId="0" borderId="0" xfId="3"/>
    <xf numFmtId="0" fontId="2" fillId="0" borderId="0" xfId="1" applyNumberFormat="1" applyFont="1" applyAlignment="1">
      <alignment horizontal="left"/>
    </xf>
    <xf numFmtId="0" fontId="25" fillId="0" borderId="15" xfId="1" applyFont="1" applyBorder="1"/>
    <xf numFmtId="0" fontId="0" fillId="0" borderId="0" xfId="0"/>
    <xf numFmtId="0" fontId="0" fillId="0" borderId="0" xfId="0" applyNumberFormat="1" applyFont="1"/>
    <xf numFmtId="0" fontId="0" fillId="0" borderId="0" xfId="0" applyNumberFormat="1" applyFont="1" applyFill="1"/>
    <xf numFmtId="0" fontId="0" fillId="0" borderId="0" xfId="0" applyNumberFormat="1" applyFont="1" applyAlignment="1">
      <alignment horizontal="center" vertical="center"/>
    </xf>
    <xf numFmtId="0" fontId="14" fillId="0" borderId="0" xfId="0" applyNumberFormat="1" applyFont="1" applyAlignment="1">
      <alignment horizontal="center"/>
    </xf>
    <xf numFmtId="0" fontId="14" fillId="0" borderId="0" xfId="0" applyNumberFormat="1" applyFont="1"/>
    <xf numFmtId="0" fontId="0" fillId="0" borderId="0" xfId="0" applyNumberFormat="1" applyFont="1" applyAlignment="1">
      <alignment horizontal="center"/>
    </xf>
    <xf numFmtId="0" fontId="26" fillId="0" borderId="0" xfId="0" applyFont="1"/>
    <xf numFmtId="0" fontId="22" fillId="0" borderId="0" xfId="1" applyFont="1"/>
    <xf numFmtId="0" fontId="27" fillId="0" borderId="11" xfId="1" applyFont="1" applyBorder="1"/>
    <xf numFmtId="0" fontId="27" fillId="0" borderId="0" xfId="1" applyFont="1" applyBorder="1"/>
    <xf numFmtId="0" fontId="27" fillId="0" borderId="12" xfId="1" applyFont="1" applyBorder="1"/>
    <xf numFmtId="0" fontId="27" fillId="0" borderId="13" xfId="1" applyFont="1" applyBorder="1"/>
    <xf numFmtId="0" fontId="27" fillId="0" borderId="7" xfId="1" applyFont="1" applyBorder="1"/>
    <xf numFmtId="0" fontId="27" fillId="0" borderId="0" xfId="1" applyFont="1"/>
    <xf numFmtId="0" fontId="28" fillId="0" borderId="14" xfId="1" applyFont="1" applyBorder="1" applyAlignment="1">
      <alignment vertical="center" wrapText="1"/>
    </xf>
    <xf numFmtId="0" fontId="28" fillId="0" borderId="16" xfId="1" applyFont="1" applyBorder="1" applyAlignment="1">
      <alignment vertical="center" wrapText="1"/>
    </xf>
    <xf numFmtId="0" fontId="28" fillId="0" borderId="15" xfId="1" applyFont="1" applyBorder="1" applyAlignment="1">
      <alignment vertical="center" wrapText="1"/>
    </xf>
    <xf numFmtId="0" fontId="27" fillId="0" borderId="26" xfId="1" applyFont="1" applyBorder="1"/>
    <xf numFmtId="0" fontId="22" fillId="0" borderId="0" xfId="1" applyFont="1" applyAlignment="1">
      <alignment vertical="center"/>
    </xf>
    <xf numFmtId="0" fontId="27" fillId="0" borderId="5" xfId="1" applyFont="1" applyBorder="1" applyAlignment="1">
      <alignment vertical="center"/>
    </xf>
    <xf numFmtId="0" fontId="27" fillId="0" borderId="6" xfId="1" applyFont="1" applyBorder="1" applyAlignment="1">
      <alignment vertical="center"/>
    </xf>
    <xf numFmtId="0" fontId="27" fillId="0" borderId="4" xfId="1" applyFont="1" applyBorder="1" applyAlignment="1">
      <alignment vertical="center"/>
    </xf>
    <xf numFmtId="0" fontId="27" fillId="0" borderId="11" xfId="1" applyFont="1" applyBorder="1" applyAlignment="1">
      <alignment vertical="center"/>
    </xf>
    <xf numFmtId="0" fontId="27" fillId="0" borderId="0" xfId="1" applyFont="1" applyBorder="1" applyAlignment="1">
      <alignment vertical="center"/>
    </xf>
    <xf numFmtId="0" fontId="27" fillId="0" borderId="12" xfId="1" applyFont="1" applyBorder="1" applyAlignment="1">
      <alignment vertical="center"/>
    </xf>
    <xf numFmtId="0" fontId="29" fillId="0" borderId="14" xfId="1" applyNumberFormat="1" applyFont="1" applyBorder="1" applyAlignment="1">
      <alignment vertical="center"/>
    </xf>
    <xf numFmtId="0" fontId="27" fillId="0" borderId="16" xfId="1" applyFont="1" applyBorder="1" applyAlignment="1">
      <alignment vertical="center"/>
    </xf>
    <xf numFmtId="0" fontId="27" fillId="0" borderId="15" xfId="1" applyFont="1" applyBorder="1" applyAlignment="1">
      <alignment vertical="center"/>
    </xf>
    <xf numFmtId="0" fontId="2" fillId="0" borderId="0" xfId="1" applyNumberFormat="1" applyFont="1"/>
    <xf numFmtId="0" fontId="2" fillId="0" borderId="0" xfId="1" applyNumberFormat="1" applyFont="1" applyAlignment="1" applyProtection="1">
      <alignment horizontal="left"/>
    </xf>
    <xf numFmtId="0" fontId="2" fillId="0" borderId="0" xfId="1" applyFont="1" applyProtection="1"/>
    <xf numFmtId="0" fontId="3" fillId="0" borderId="0" xfId="1" applyFont="1" applyAlignment="1" applyProtection="1"/>
    <xf numFmtId="0" fontId="3" fillId="0" borderId="0" xfId="1" applyFont="1" applyAlignment="1" applyProtection="1">
      <alignment horizontal="left"/>
    </xf>
    <xf numFmtId="0" fontId="4" fillId="0" borderId="0" xfId="1" applyFont="1" applyProtection="1"/>
    <xf numFmtId="0" fontId="4" fillId="0" borderId="3" xfId="1" applyFont="1" applyBorder="1" applyProtection="1"/>
    <xf numFmtId="0" fontId="4" fillId="0" borderId="0" xfId="1" applyNumberFormat="1" applyFont="1" applyAlignment="1" applyProtection="1">
      <alignment horizontal="left"/>
    </xf>
    <xf numFmtId="0" fontId="6" fillId="0" borderId="18" xfId="1" applyFont="1" applyBorder="1" applyAlignment="1" applyProtection="1">
      <alignment horizontal="left" indent="1"/>
    </xf>
    <xf numFmtId="0" fontId="4" fillId="0" borderId="25" xfId="1" applyFont="1" applyBorder="1" applyAlignment="1" applyProtection="1">
      <alignment horizontal="right"/>
    </xf>
    <xf numFmtId="14" fontId="5" fillId="0" borderId="0" xfId="1" applyNumberFormat="1" applyFont="1" applyFill="1" applyBorder="1" applyAlignment="1" applyProtection="1"/>
    <xf numFmtId="0" fontId="6" fillId="0" borderId="3" xfId="1" applyFont="1" applyBorder="1" applyAlignment="1" applyProtection="1">
      <alignment horizontal="left" indent="1"/>
    </xf>
    <xf numFmtId="0" fontId="4" fillId="0" borderId="2" xfId="1" applyFont="1" applyBorder="1" applyAlignment="1" applyProtection="1">
      <alignment horizontal="right"/>
    </xf>
    <xf numFmtId="14" fontId="4" fillId="0" borderId="0" xfId="1" applyNumberFormat="1" applyFont="1" applyFill="1" applyBorder="1" applyAlignment="1" applyProtection="1"/>
    <xf numFmtId="0" fontId="4" fillId="0" borderId="21" xfId="1" applyFont="1" applyBorder="1" applyAlignment="1" applyProtection="1">
      <alignment horizontal="left" indent="1"/>
    </xf>
    <xf numFmtId="0" fontId="5" fillId="0" borderId="0" xfId="1" applyFont="1" applyFill="1" applyBorder="1" applyAlignment="1" applyProtection="1"/>
    <xf numFmtId="0" fontId="30" fillId="0" borderId="0" xfId="1" applyNumberFormat="1" applyFont="1" applyAlignment="1" applyProtection="1">
      <alignment horizontal="right"/>
    </xf>
    <xf numFmtId="44" fontId="25" fillId="0" borderId="23" xfId="2" applyFont="1" applyBorder="1" applyProtection="1"/>
    <xf numFmtId="164" fontId="4" fillId="0" borderId="0" xfId="1" applyNumberFormat="1" applyFont="1" applyFill="1" applyProtection="1"/>
    <xf numFmtId="0" fontId="6" fillId="0" borderId="17" xfId="1" applyFont="1" applyBorder="1" applyAlignment="1" applyProtection="1"/>
    <xf numFmtId="0" fontId="6" fillId="0" borderId="20" xfId="1" applyFont="1" applyBorder="1" applyAlignment="1" applyProtection="1"/>
    <xf numFmtId="0" fontId="4" fillId="0" borderId="0" xfId="1" applyFont="1" applyAlignment="1" applyProtection="1"/>
    <xf numFmtId="0" fontId="4" fillId="0" borderId="0" xfId="1" applyFont="1" applyAlignment="1" applyProtection="1">
      <alignment horizontal="center"/>
    </xf>
    <xf numFmtId="0" fontId="6" fillId="0" borderId="0" xfId="1" applyNumberFormat="1" applyFont="1" applyAlignment="1" applyProtection="1">
      <alignment horizontal="left" indent="2"/>
    </xf>
    <xf numFmtId="0" fontId="6" fillId="0" borderId="21" xfId="1" applyFont="1" applyBorder="1" applyAlignment="1" applyProtection="1"/>
    <xf numFmtId="0" fontId="6" fillId="0" borderId="22" xfId="1" applyFont="1" applyBorder="1" applyAlignment="1" applyProtection="1"/>
    <xf numFmtId="0" fontId="6" fillId="0" borderId="0" xfId="1" applyFont="1" applyAlignment="1" applyProtection="1">
      <alignment horizontal="left" indent="2"/>
    </xf>
    <xf numFmtId="0" fontId="6" fillId="0" borderId="0" xfId="1" applyFont="1" applyProtection="1"/>
    <xf numFmtId="0" fontId="7" fillId="0" borderId="0" xfId="1" applyFont="1" applyProtection="1"/>
    <xf numFmtId="0" fontId="2" fillId="0" borderId="0" xfId="1" applyNumberFormat="1" applyFont="1" applyProtection="1"/>
    <xf numFmtId="0" fontId="4" fillId="0" borderId="0" xfId="1" applyFont="1" applyFill="1" applyBorder="1" applyAlignment="1" applyProtection="1"/>
    <xf numFmtId="0" fontId="4" fillId="0" borderId="0" xfId="1" applyFont="1" applyBorder="1" applyAlignment="1" applyProtection="1"/>
    <xf numFmtId="0" fontId="4" fillId="0" borderId="0" xfId="1" applyFont="1" applyBorder="1" applyAlignment="1" applyProtection="1">
      <alignment horizontal="center"/>
    </xf>
    <xf numFmtId="44" fontId="2" fillId="0" borderId="0" xfId="2" applyFont="1" applyBorder="1" applyProtection="1"/>
    <xf numFmtId="166" fontId="26" fillId="0" borderId="0" xfId="0" applyNumberFormat="1" applyFont="1" applyBorder="1" applyAlignment="1" applyProtection="1">
      <alignment horizontal="left"/>
    </xf>
    <xf numFmtId="0" fontId="26" fillId="0" borderId="0" xfId="0" applyFont="1" applyBorder="1" applyAlignment="1" applyProtection="1">
      <alignment horizontal="left"/>
    </xf>
    <xf numFmtId="0" fontId="2" fillId="0" borderId="0" xfId="1" applyFont="1" applyBorder="1" applyProtection="1"/>
    <xf numFmtId="0" fontId="0" fillId="0" borderId="0" xfId="0" applyBorder="1" applyProtection="1"/>
    <xf numFmtId="0" fontId="26" fillId="0" borderId="1" xfId="0" applyFont="1" applyBorder="1" applyAlignment="1" applyProtection="1">
      <alignment horizontal="left"/>
    </xf>
    <xf numFmtId="0" fontId="26" fillId="0" borderId="0" xfId="0" applyNumberFormat="1" applyFont="1" applyAlignment="1" applyProtection="1">
      <alignment horizontal="left"/>
    </xf>
    <xf numFmtId="0" fontId="26" fillId="0" borderId="0" xfId="0" applyFont="1" applyAlignment="1" applyProtection="1">
      <alignment horizontal="left"/>
    </xf>
    <xf numFmtId="0" fontId="15" fillId="0" borderId="0" xfId="0" applyNumberFormat="1" applyFont="1" applyAlignment="1" applyProtection="1">
      <alignment horizontal="left"/>
    </xf>
    <xf numFmtId="0" fontId="15" fillId="0" borderId="0" xfId="0" applyFont="1" applyProtection="1"/>
    <xf numFmtId="0" fontId="15" fillId="0" borderId="24" xfId="0" applyFont="1" applyBorder="1" applyAlignment="1" applyProtection="1">
      <alignment horizontal="right"/>
    </xf>
    <xf numFmtId="0" fontId="15" fillId="0" borderId="3" xfId="0" applyNumberFormat="1" applyFont="1" applyBorder="1" applyAlignment="1" applyProtection="1">
      <alignment vertical="center"/>
    </xf>
    <xf numFmtId="0" fontId="15" fillId="0" borderId="23" xfId="0" applyFont="1" applyBorder="1" applyAlignment="1" applyProtection="1"/>
    <xf numFmtId="0" fontId="15" fillId="0" borderId="8" xfId="0" applyFont="1" applyBorder="1" applyProtection="1"/>
    <xf numFmtId="44" fontId="15" fillId="0" borderId="8" xfId="2" applyFont="1" applyBorder="1" applyProtection="1"/>
    <xf numFmtId="0" fontId="15" fillId="0" borderId="3" xfId="0" applyNumberFormat="1" applyFont="1" applyBorder="1" applyAlignment="1" applyProtection="1">
      <alignment horizontal="left" vertical="center"/>
    </xf>
    <xf numFmtId="0" fontId="15" fillId="0" borderId="23" xfId="0" applyFont="1" applyBorder="1" applyAlignment="1" applyProtection="1">
      <alignment horizontal="center"/>
    </xf>
    <xf numFmtId="165" fontId="15" fillId="0" borderId="8" xfId="0" applyNumberFormat="1" applyFont="1" applyBorder="1" applyProtection="1"/>
    <xf numFmtId="0" fontId="0" fillId="0" borderId="0" xfId="0" applyProtection="1"/>
    <xf numFmtId="0" fontId="7" fillId="0" borderId="14" xfId="1" applyFont="1" applyBorder="1" applyAlignment="1" applyProtection="1"/>
    <xf numFmtId="44" fontId="24" fillId="0" borderId="0" xfId="1" applyNumberFormat="1" applyFont="1" applyBorder="1" applyAlignment="1" applyProtection="1"/>
    <xf numFmtId="0" fontId="0" fillId="0" borderId="0" xfId="0" applyNumberFormat="1" applyProtection="1"/>
    <xf numFmtId="166" fontId="0" fillId="0" borderId="0" xfId="0" applyNumberFormat="1" applyProtection="1"/>
    <xf numFmtId="1" fontId="0" fillId="0" borderId="0" xfId="0" applyNumberFormat="1" applyProtection="1"/>
    <xf numFmtId="166" fontId="26" fillId="0" borderId="17" xfId="0" applyNumberFormat="1" applyFont="1" applyBorder="1" applyAlignment="1" applyProtection="1">
      <alignment horizontal="left"/>
    </xf>
    <xf numFmtId="166" fontId="26" fillId="0" borderId="21" xfId="0" applyNumberFormat="1" applyFont="1" applyBorder="1" applyAlignment="1" applyProtection="1">
      <alignment horizontal="left"/>
    </xf>
    <xf numFmtId="166" fontId="26" fillId="0" borderId="1" xfId="0" applyNumberFormat="1" applyFont="1" applyBorder="1" applyAlignment="1" applyProtection="1">
      <alignment horizontal="left"/>
    </xf>
    <xf numFmtId="0" fontId="8" fillId="0" borderId="3" xfId="1" applyNumberFormat="1" applyFont="1" applyBorder="1" applyAlignment="1" applyProtection="1">
      <alignment horizontal="left" vertical="center" wrapText="1"/>
    </xf>
    <xf numFmtId="0" fontId="8" fillId="0" borderId="2" xfId="1" applyFont="1" applyBorder="1" applyAlignment="1" applyProtection="1">
      <alignment vertical="center" wrapText="1"/>
    </xf>
    <xf numFmtId="0" fontId="8" fillId="0" borderId="8" xfId="1" applyFont="1" applyBorder="1" applyAlignment="1" applyProtection="1">
      <alignment vertical="center" wrapText="1"/>
    </xf>
    <xf numFmtId="164" fontId="26" fillId="0" borderId="9" xfId="0" applyNumberFormat="1" applyFont="1" applyBorder="1" applyAlignment="1" applyProtection="1">
      <alignment horizontal="left"/>
    </xf>
    <xf numFmtId="164" fontId="26" fillId="0" borderId="27" xfId="0" applyNumberFormat="1" applyFont="1" applyBorder="1" applyAlignment="1" applyProtection="1">
      <alignment horizontal="left"/>
    </xf>
    <xf numFmtId="0" fontId="26" fillId="0" borderId="9" xfId="0" applyFont="1" applyBorder="1" applyAlignment="1" applyProtection="1">
      <alignment horizontal="left"/>
    </xf>
    <xf numFmtId="0" fontId="2" fillId="0" borderId="9" xfId="1" applyFont="1" applyBorder="1" applyProtection="1"/>
    <xf numFmtId="0" fontId="26" fillId="0" borderId="27" xfId="0" applyFont="1" applyBorder="1" applyAlignment="1" applyProtection="1">
      <alignment horizontal="left"/>
    </xf>
    <xf numFmtId="0" fontId="0" fillId="0" borderId="9" xfId="0" applyFont="1" applyBorder="1" applyProtection="1"/>
    <xf numFmtId="0" fontId="8" fillId="0" borderId="8" xfId="1" applyFont="1" applyFill="1" applyBorder="1" applyAlignment="1" applyProtection="1">
      <alignment vertical="center" wrapText="1"/>
    </xf>
    <xf numFmtId="14" fontId="4" fillId="6" borderId="23" xfId="1" applyNumberFormat="1" applyFont="1" applyFill="1" applyBorder="1" applyAlignment="1" applyProtection="1">
      <protection locked="0"/>
    </xf>
    <xf numFmtId="0" fontId="0" fillId="6" borderId="2" xfId="0" applyFill="1" applyBorder="1" applyProtection="1">
      <protection locked="0"/>
    </xf>
    <xf numFmtId="0" fontId="3" fillId="0" borderId="23" xfId="1" applyFont="1" applyFill="1" applyBorder="1" applyAlignment="1" applyProtection="1"/>
    <xf numFmtId="0" fontId="3" fillId="0" borderId="3" xfId="1" applyFont="1" applyBorder="1" applyAlignment="1" applyProtection="1"/>
    <xf numFmtId="0" fontId="3" fillId="0" borderId="2" xfId="1" applyFont="1" applyBorder="1" applyAlignment="1" applyProtection="1"/>
    <xf numFmtId="0" fontId="0" fillId="0" borderId="2" xfId="0" applyBorder="1" applyProtection="1">
      <protection locked="0"/>
    </xf>
    <xf numFmtId="0" fontId="32" fillId="0" borderId="0" xfId="0" applyFont="1" applyProtection="1">
      <protection locked="0"/>
    </xf>
    <xf numFmtId="0" fontId="33" fillId="0" borderId="3" xfId="1" applyFont="1" applyBorder="1"/>
    <xf numFmtId="0" fontId="22" fillId="0" borderId="2" xfId="1" applyFont="1" applyBorder="1"/>
    <xf numFmtId="167" fontId="33" fillId="0" borderId="23" xfId="2" applyNumberFormat="1" applyFont="1" applyBorder="1" applyProtection="1">
      <protection locked="0"/>
    </xf>
    <xf numFmtId="0" fontId="33" fillId="0" borderId="8" xfId="1" applyFont="1" applyBorder="1" applyProtection="1"/>
    <xf numFmtId="0" fontId="33" fillId="0" borderId="8" xfId="1" applyFont="1" applyBorder="1" applyProtection="1">
      <protection locked="0"/>
    </xf>
    <xf numFmtId="14" fontId="6" fillId="6" borderId="23" xfId="1" applyNumberFormat="1" applyFont="1" applyFill="1" applyBorder="1" applyAlignment="1" applyProtection="1">
      <protection locked="0"/>
    </xf>
    <xf numFmtId="14" fontId="4" fillId="6" borderId="19" xfId="1" applyNumberFormat="1" applyFont="1" applyFill="1" applyBorder="1" applyAlignment="1" applyProtection="1">
      <protection locked="0"/>
    </xf>
    <xf numFmtId="0" fontId="34" fillId="0" borderId="18" xfId="1" applyFont="1" applyBorder="1" applyAlignment="1" applyProtection="1"/>
    <xf numFmtId="44" fontId="21" fillId="0" borderId="19" xfId="2" applyFont="1" applyBorder="1" applyProtection="1">
      <protection locked="0"/>
    </xf>
    <xf numFmtId="0" fontId="34" fillId="0" borderId="3" xfId="1" applyFont="1" applyBorder="1" applyAlignment="1" applyProtection="1">
      <alignment horizontal="left"/>
    </xf>
    <xf numFmtId="0" fontId="21" fillId="0" borderId="23" xfId="2" applyNumberFormat="1" applyFont="1" applyBorder="1" applyProtection="1"/>
    <xf numFmtId="0" fontId="35" fillId="6" borderId="2" xfId="1" applyFont="1" applyFill="1" applyBorder="1" applyAlignment="1" applyProtection="1">
      <alignment horizontal="center"/>
      <protection locked="0"/>
    </xf>
    <xf numFmtId="0" fontId="35" fillId="6" borderId="23" xfId="1" applyFont="1" applyFill="1" applyBorder="1" applyAlignment="1" applyProtection="1">
      <protection locked="0"/>
    </xf>
    <xf numFmtId="0" fontId="0" fillId="0" borderId="0" xfId="0"/>
    <xf numFmtId="0" fontId="0" fillId="0" borderId="19" xfId="0" applyBorder="1"/>
    <xf numFmtId="0" fontId="0" fillId="0" borderId="17" xfId="0" applyBorder="1" applyAlignment="1">
      <alignment textRotation="90"/>
    </xf>
    <xf numFmtId="0" fontId="0" fillId="0" borderId="20" xfId="0" applyBorder="1"/>
    <xf numFmtId="0" fontId="0" fillId="0" borderId="21" xfId="0" applyBorder="1" applyAlignment="1">
      <alignment textRotation="90"/>
    </xf>
    <xf numFmtId="0" fontId="0" fillId="0" borderId="22" xfId="0" applyBorder="1"/>
    <xf numFmtId="0" fontId="0" fillId="0" borderId="18" xfId="0" applyBorder="1"/>
    <xf numFmtId="0" fontId="0" fillId="0" borderId="17" xfId="0" applyBorder="1"/>
    <xf numFmtId="0" fontId="0" fillId="0" borderId="21" xfId="0" applyBorder="1"/>
    <xf numFmtId="0" fontId="0" fillId="0" borderId="18" xfId="0" applyBorder="1" applyAlignment="1"/>
    <xf numFmtId="0" fontId="0" fillId="0" borderId="24" xfId="0" applyBorder="1"/>
    <xf numFmtId="0" fontId="0" fillId="0" borderId="25" xfId="0" applyBorder="1"/>
    <xf numFmtId="0" fontId="0" fillId="0" borderId="9" xfId="0" applyBorder="1"/>
    <xf numFmtId="0" fontId="0" fillId="0" borderId="27" xfId="0" applyBorder="1"/>
    <xf numFmtId="0" fontId="0" fillId="7" borderId="0" xfId="0" applyFill="1"/>
    <xf numFmtId="166" fontId="26" fillId="0" borderId="9" xfId="0" applyNumberFormat="1" applyFont="1" applyBorder="1" applyAlignment="1" applyProtection="1">
      <alignment horizontal="left"/>
    </xf>
    <xf numFmtId="166" fontId="2" fillId="0" borderId="9" xfId="1" applyNumberFormat="1" applyFont="1" applyBorder="1" applyProtection="1"/>
    <xf numFmtId="166" fontId="26" fillId="0" borderId="27" xfId="0" applyNumberFormat="1" applyFont="1" applyBorder="1" applyAlignment="1" applyProtection="1">
      <alignment horizontal="left"/>
    </xf>
    <xf numFmtId="166" fontId="0" fillId="0" borderId="0" xfId="0" applyNumberFormat="1" applyFont="1" applyBorder="1" applyProtection="1"/>
    <xf numFmtId="166" fontId="2" fillId="0" borderId="0" xfId="1" applyNumberFormat="1" applyFont="1" applyBorder="1" applyProtection="1"/>
    <xf numFmtId="0" fontId="20" fillId="0" borderId="0" xfId="1" applyFont="1" applyAlignment="1" applyProtection="1">
      <alignment horizontal="right"/>
    </xf>
    <xf numFmtId="0" fontId="4" fillId="0" borderId="3" xfId="1" applyFont="1" applyBorder="1" applyAlignment="1" applyProtection="1">
      <alignment horizontal="right"/>
    </xf>
    <xf numFmtId="0" fontId="4" fillId="0" borderId="2" xfId="1" applyFont="1" applyBorder="1" applyAlignment="1" applyProtection="1">
      <alignment horizontal="right"/>
    </xf>
    <xf numFmtId="0" fontId="6" fillId="6" borderId="18" xfId="1" applyFont="1" applyFill="1" applyBorder="1" applyAlignment="1" applyProtection="1">
      <alignment horizontal="left"/>
      <protection locked="0"/>
    </xf>
    <xf numFmtId="0" fontId="6" fillId="6" borderId="19" xfId="1" applyFont="1" applyFill="1" applyBorder="1" applyAlignment="1" applyProtection="1">
      <alignment horizontal="left"/>
      <protection locked="0"/>
    </xf>
    <xf numFmtId="44" fontId="7" fillId="0" borderId="16" xfId="1" applyNumberFormat="1" applyFont="1" applyBorder="1" applyAlignment="1" applyProtection="1">
      <alignment horizontal="center"/>
    </xf>
    <xf numFmtId="44" fontId="7" fillId="0" borderId="15" xfId="1" applyNumberFormat="1" applyFont="1" applyBorder="1" applyAlignment="1" applyProtection="1">
      <alignment horizontal="center"/>
    </xf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35" fillId="0" borderId="3" xfId="1" applyFont="1" applyBorder="1" applyAlignment="1" applyProtection="1">
      <alignment horizontal="center"/>
    </xf>
    <xf numFmtId="0" fontId="35" fillId="0" borderId="2" xfId="1" applyFont="1" applyBorder="1" applyAlignment="1" applyProtection="1">
      <alignment horizontal="center"/>
    </xf>
    <xf numFmtId="0" fontId="6" fillId="6" borderId="2" xfId="1" applyFont="1" applyFill="1" applyBorder="1" applyAlignment="1" applyProtection="1">
      <alignment horizontal="center"/>
      <protection locked="0"/>
    </xf>
    <xf numFmtId="0" fontId="6" fillId="6" borderId="23" xfId="1" applyFont="1" applyFill="1" applyBorder="1" applyAlignment="1" applyProtection="1">
      <alignment horizontal="center"/>
      <protection locked="0"/>
    </xf>
    <xf numFmtId="0" fontId="5" fillId="6" borderId="2" xfId="1" applyFont="1" applyFill="1" applyBorder="1" applyAlignment="1" applyProtection="1">
      <alignment horizontal="center"/>
      <protection locked="0"/>
    </xf>
    <xf numFmtId="0" fontId="5" fillId="6" borderId="23" xfId="1" applyFont="1" applyFill="1" applyBorder="1" applyAlignment="1" applyProtection="1">
      <alignment horizontal="center"/>
      <protection locked="0"/>
    </xf>
    <xf numFmtId="0" fontId="36" fillId="0" borderId="8" xfId="0" applyFont="1" applyFill="1" applyBorder="1" applyAlignment="1">
      <alignment horizontal="right"/>
    </xf>
    <xf numFmtId="0" fontId="36" fillId="8" borderId="8" xfId="0" applyFont="1" applyFill="1" applyBorder="1" applyAlignment="1">
      <alignment horizontal="right"/>
    </xf>
    <xf numFmtId="0" fontId="36" fillId="0" borderId="8" xfId="0" applyFont="1" applyFill="1" applyBorder="1"/>
    <xf numFmtId="0" fontId="36" fillId="9" borderId="8" xfId="0" applyFont="1" applyFill="1" applyBorder="1"/>
    <xf numFmtId="0" fontId="36" fillId="8" borderId="8" xfId="0" applyFont="1" applyFill="1" applyBorder="1"/>
    <xf numFmtId="1" fontId="36" fillId="0" borderId="9" xfId="0" applyNumberFormat="1" applyFont="1" applyFill="1" applyBorder="1" applyAlignment="1">
      <alignment horizontal="right" wrapText="1"/>
    </xf>
    <xf numFmtId="1" fontId="36" fillId="8" borderId="9" xfId="0" applyNumberFormat="1" applyFont="1" applyFill="1" applyBorder="1" applyAlignment="1">
      <alignment horizontal="right" wrapText="1"/>
    </xf>
    <xf numFmtId="168" fontId="36" fillId="0" borderId="9" xfId="0" applyNumberFormat="1" applyFont="1" applyFill="1" applyBorder="1" applyAlignment="1">
      <alignment horizontal="right" wrapText="1"/>
    </xf>
    <xf numFmtId="169" fontId="36" fillId="0" borderId="9" xfId="0" applyNumberFormat="1" applyFont="1" applyFill="1" applyBorder="1" applyAlignment="1">
      <alignment horizontal="right" wrapText="1"/>
    </xf>
    <xf numFmtId="169" fontId="36" fillId="8" borderId="9" xfId="0" applyNumberFormat="1" applyFont="1" applyFill="1" applyBorder="1" applyAlignment="1">
      <alignment horizontal="right" wrapText="1"/>
    </xf>
    <xf numFmtId="0" fontId="36" fillId="0" borderId="9" xfId="0" applyFont="1" applyFill="1" applyBorder="1"/>
    <xf numFmtId="49" fontId="36" fillId="0" borderId="9" xfId="0" applyNumberFormat="1" applyFont="1" applyFill="1" applyBorder="1"/>
    <xf numFmtId="49" fontId="36" fillId="9" borderId="9" xfId="0" applyNumberFormat="1" applyFont="1" applyFill="1" applyBorder="1"/>
    <xf numFmtId="170" fontId="36" fillId="8" borderId="9" xfId="0" applyNumberFormat="1" applyFont="1" applyFill="1" applyBorder="1"/>
    <xf numFmtId="170" fontId="36" fillId="0" borderId="9" xfId="0" applyNumberFormat="1" applyFont="1" applyFill="1" applyBorder="1"/>
    <xf numFmtId="2" fontId="36" fillId="8" borderId="9" xfId="0" applyNumberFormat="1" applyFont="1" applyFill="1" applyBorder="1"/>
    <xf numFmtId="4" fontId="36" fillId="0" borderId="9" xfId="0" applyNumberFormat="1" applyFont="1" applyFill="1" applyBorder="1"/>
    <xf numFmtId="0" fontId="37" fillId="0" borderId="3" xfId="0" applyFont="1" applyFill="1" applyBorder="1"/>
    <xf numFmtId="0" fontId="37" fillId="8" borderId="2" xfId="0" applyFont="1" applyFill="1" applyBorder="1"/>
    <xf numFmtId="0" fontId="37" fillId="0" borderId="2" xfId="0" applyFont="1" applyFill="1" applyBorder="1"/>
    <xf numFmtId="171" fontId="37" fillId="0" borderId="2" xfId="0" applyNumberFormat="1" applyFont="1" applyFill="1" applyBorder="1"/>
    <xf numFmtId="0" fontId="36" fillId="0" borderId="2" xfId="0" applyFont="1" applyFill="1" applyBorder="1"/>
    <xf numFmtId="0" fontId="36" fillId="9" borderId="2" xfId="0" applyFont="1" applyFill="1" applyBorder="1"/>
    <xf numFmtId="0" fontId="36" fillId="8" borderId="2" xfId="0" applyFont="1" applyFill="1" applyBorder="1"/>
    <xf numFmtId="172" fontId="37" fillId="0" borderId="2" xfId="0" applyNumberFormat="1" applyFont="1" applyFill="1" applyBorder="1"/>
    <xf numFmtId="170" fontId="37" fillId="8" borderId="2" xfId="0" applyNumberFormat="1" applyFont="1" applyFill="1" applyBorder="1"/>
    <xf numFmtId="4" fontId="37" fillId="0" borderId="2" xfId="0" applyNumberFormat="1" applyFont="1" applyFill="1" applyBorder="1"/>
    <xf numFmtId="4" fontId="37" fillId="0" borderId="23" xfId="0" applyNumberFormat="1" applyFont="1" applyFill="1" applyBorder="1"/>
    <xf numFmtId="0" fontId="37" fillId="0" borderId="0" xfId="0" applyFont="1" applyFill="1"/>
    <xf numFmtId="0" fontId="37" fillId="8" borderId="0" xfId="0" applyFont="1" applyFill="1"/>
    <xf numFmtId="2" fontId="36" fillId="0" borderId="8" xfId="0" applyNumberFormat="1" applyFont="1" applyFill="1" applyBorder="1" applyAlignment="1">
      <alignment horizontal="right"/>
    </xf>
    <xf numFmtId="1" fontId="36" fillId="0" borderId="9" xfId="0" applyNumberFormat="1" applyFont="1" applyFill="1" applyBorder="1" applyAlignment="1">
      <alignment horizontal="right"/>
    </xf>
    <xf numFmtId="1" fontId="36" fillId="8" borderId="9" xfId="0" applyNumberFormat="1" applyFont="1" applyFill="1" applyBorder="1" applyAlignment="1">
      <alignment horizontal="right"/>
    </xf>
    <xf numFmtId="0" fontId="36" fillId="8" borderId="9" xfId="0" applyFont="1" applyFill="1" applyBorder="1" applyAlignment="1">
      <alignment horizontal="right"/>
    </xf>
    <xf numFmtId="4" fontId="36" fillId="0" borderId="9" xfId="0" applyNumberFormat="1" applyFont="1" applyFill="1" applyBorder="1" applyAlignment="1">
      <alignment horizontal="right"/>
    </xf>
  </cellXfs>
  <cellStyles count="4">
    <cellStyle name="Lien hypertexte" xfId="3" builtinId="8"/>
    <cellStyle name="Monétaire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7</xdr:row>
      <xdr:rowOff>200026</xdr:rowOff>
    </xdr:from>
    <xdr:to>
      <xdr:col>2</xdr:col>
      <xdr:colOff>262914</xdr:colOff>
      <xdr:row>10</xdr:row>
      <xdr:rowOff>276225</xdr:rowOff>
    </xdr:to>
    <xdr:sp macro="" textlink="">
      <xdr:nvSpPr>
        <xdr:cNvPr id="3" name="ZoneTexte 2"/>
        <xdr:cNvSpPr txBox="1"/>
      </xdr:nvSpPr>
      <xdr:spPr>
        <a:xfrm>
          <a:off x="476250" y="1800226"/>
          <a:ext cx="1634514" cy="9334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>
            <a:lnSpc>
              <a:spcPts val="1500"/>
            </a:lnSpc>
            <a:spcBef>
              <a:spcPts val="0"/>
            </a:spcBef>
            <a:spcAft>
              <a:spcPts val="300"/>
            </a:spcAft>
          </a:pPr>
          <a:r>
            <a:rPr lang="fr-FR" sz="1100">
              <a:latin typeface="Arial Narrow" pitchFamily="34" charset="0"/>
            </a:rPr>
            <a:t>3 Rue de la SCHEER</a:t>
          </a:r>
          <a:endParaRPr lang="fr-FR" sz="1100" baseline="0">
            <a:latin typeface="Arial Narrow" pitchFamily="34" charset="0"/>
          </a:endParaRPr>
        </a:p>
        <a:p>
          <a:pPr>
            <a:lnSpc>
              <a:spcPts val="1600"/>
            </a:lnSpc>
            <a:spcBef>
              <a:spcPts val="0"/>
            </a:spcBef>
            <a:spcAft>
              <a:spcPts val="300"/>
            </a:spcAft>
          </a:pPr>
          <a:r>
            <a:rPr lang="fr-FR" sz="1100" baseline="0">
              <a:latin typeface="Arial Narrow" pitchFamily="34" charset="0"/>
            </a:rPr>
            <a:t>67150 SCHAEFFERSHEIM</a:t>
          </a:r>
        </a:p>
        <a:p>
          <a:pPr>
            <a:lnSpc>
              <a:spcPts val="1500"/>
            </a:lnSpc>
            <a:spcBef>
              <a:spcPts val="0"/>
            </a:spcBef>
            <a:spcAft>
              <a:spcPts val="300"/>
            </a:spcAft>
          </a:pPr>
          <a:r>
            <a:rPr lang="fr-FR" sz="1100" baseline="0">
              <a:latin typeface="Arial Narrow" pitchFamily="34" charset="0"/>
            </a:rPr>
            <a:t>Tél. : 03.90.64.86.43</a:t>
          </a:r>
        </a:p>
      </xdr:txBody>
    </xdr:sp>
    <xdr:clientData/>
  </xdr:twoCellAnchor>
  <xdr:twoCellAnchor editAs="oneCell">
    <xdr:from>
      <xdr:col>0</xdr:col>
      <xdr:colOff>342899</xdr:colOff>
      <xdr:row>0</xdr:row>
      <xdr:rowOff>123825</xdr:rowOff>
    </xdr:from>
    <xdr:to>
      <xdr:col>2</xdr:col>
      <xdr:colOff>381252</xdr:colOff>
      <xdr:row>7</xdr:row>
      <xdr:rowOff>114300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2899" y="123825"/>
          <a:ext cx="1594103" cy="1562100"/>
        </a:xfrm>
        <a:prstGeom prst="rect">
          <a:avLst/>
        </a:prstGeom>
      </xdr:spPr>
    </xdr:pic>
    <xdr:clientData/>
  </xdr:twoCellAnchor>
  <xdr:twoCellAnchor>
    <xdr:from>
      <xdr:col>4</xdr:col>
      <xdr:colOff>102578</xdr:colOff>
      <xdr:row>51</xdr:row>
      <xdr:rowOff>109904</xdr:rowOff>
    </xdr:from>
    <xdr:to>
      <xdr:col>7</xdr:col>
      <xdr:colOff>608135</xdr:colOff>
      <xdr:row>58</xdr:row>
      <xdr:rowOff>47625</xdr:rowOff>
    </xdr:to>
    <xdr:sp macro="" textlink="">
      <xdr:nvSpPr>
        <xdr:cNvPr id="2" name="ZoneTexte 1"/>
        <xdr:cNvSpPr txBox="1"/>
      </xdr:nvSpPr>
      <xdr:spPr>
        <a:xfrm>
          <a:off x="3207728" y="8977679"/>
          <a:ext cx="2934432" cy="80449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⚠</a:t>
          </a:r>
          <a:r>
            <a:rPr lang="fr-FR" sz="1100" b="1" u="none"/>
            <a:t>  </a:t>
          </a:r>
          <a:r>
            <a:rPr lang="fr-FR" sz="1100" b="1" u="sng"/>
            <a:t>Remarques:</a:t>
          </a:r>
          <a:endParaRPr lang="fr-FR" sz="900" b="1" u="sng"/>
        </a:p>
        <a:p>
          <a:endParaRPr lang="fr-FR" sz="1000" u="none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ts\2018\Affaires%20DIFFUS\SVF18-202%20ML%20AB%20STRUCTURE%20LIBRAIRIE%20SAURAMPS\5%20-%20LANCEMENT\Ordre%20de%20laquage%20J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V"/>
      <sheetName val="RECAP"/>
      <sheetName val="TRANSM."/>
      <sheetName val="Laquage"/>
      <sheetName val="Vitrage (2)"/>
      <sheetName val="VITR. CHASSIS"/>
      <sheetName val="NOMENCL."/>
      <sheetName val="Vitrage Logikal"/>
      <sheetName val="Sortie stock"/>
      <sheetName val="Fiche materiel"/>
      <sheetName val="DEBIT Acier"/>
      <sheetName val="Tôlerie"/>
      <sheetName val="FT Fab"/>
      <sheetName val="FT Tôlerie"/>
      <sheetName val="FT Alu"/>
      <sheetName val="Recap_"/>
      <sheetName val="Eqt"/>
      <sheetName val="Eqt_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1">
          <cell r="S1">
            <v>1</v>
          </cell>
        </row>
      </sheetData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p.wodling@svf-france.com" TargetMode="External"/><Relationship Id="rId2" Type="http://schemas.openxmlformats.org/officeDocument/2006/relationships/hyperlink" Target="mailto:j.antz@svf-france.com" TargetMode="External"/><Relationship Id="rId1" Type="http://schemas.openxmlformats.org/officeDocument/2006/relationships/hyperlink" Target="mailto:l.morel@svf-france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6" tint="0.39997558519241921"/>
  </sheetPr>
  <dimension ref="A1:R68"/>
  <sheetViews>
    <sheetView view="pageBreakPreview" zoomScaleNormal="100" zoomScaleSheetLayoutView="100" workbookViewId="0">
      <selection activeCell="S14" sqref="S14"/>
    </sheetView>
  </sheetViews>
  <sheetFormatPr baseColWidth="10" defaultRowHeight="18" customHeight="1" x14ac:dyDescent="0.2"/>
  <cols>
    <col min="1" max="1" width="11.85546875" style="54" bestFit="1" customWidth="1"/>
    <col min="2" max="2" width="11.42578125" style="1"/>
    <col min="3" max="3" width="10.42578125" style="1" customWidth="1"/>
    <col min="4" max="4" width="12.85546875" style="1" customWidth="1"/>
    <col min="5" max="5" width="13.85546875" style="1" customWidth="1"/>
    <col min="6" max="6" width="11.140625" style="1" customWidth="1"/>
    <col min="7" max="7" width="11.42578125" style="1" customWidth="1"/>
    <col min="8" max="9" width="12.85546875" style="1" customWidth="1"/>
    <col min="10" max="18" width="11.42578125" style="1" customWidth="1"/>
    <col min="19" max="257" width="11.42578125" style="1"/>
    <col min="258" max="258" width="4.85546875" style="1" customWidth="1"/>
    <col min="259" max="259" width="6" style="1" customWidth="1"/>
    <col min="260" max="260" width="11.42578125" style="1"/>
    <col min="261" max="262" width="9.5703125" style="1" customWidth="1"/>
    <col min="263" max="263" width="8.5703125" style="1" customWidth="1"/>
    <col min="264" max="265" width="12.85546875" style="1" customWidth="1"/>
    <col min="266" max="513" width="11.42578125" style="1"/>
    <col min="514" max="514" width="4.85546875" style="1" customWidth="1"/>
    <col min="515" max="515" width="6" style="1" customWidth="1"/>
    <col min="516" max="516" width="11.42578125" style="1"/>
    <col min="517" max="518" width="9.5703125" style="1" customWidth="1"/>
    <col min="519" max="519" width="8.5703125" style="1" customWidth="1"/>
    <col min="520" max="521" width="12.85546875" style="1" customWidth="1"/>
    <col min="522" max="769" width="11.42578125" style="1"/>
    <col min="770" max="770" width="4.85546875" style="1" customWidth="1"/>
    <col min="771" max="771" width="6" style="1" customWidth="1"/>
    <col min="772" max="772" width="11.42578125" style="1"/>
    <col min="773" max="774" width="9.5703125" style="1" customWidth="1"/>
    <col min="775" max="775" width="8.5703125" style="1" customWidth="1"/>
    <col min="776" max="777" width="12.85546875" style="1" customWidth="1"/>
    <col min="778" max="1025" width="11.42578125" style="1"/>
    <col min="1026" max="1026" width="4.85546875" style="1" customWidth="1"/>
    <col min="1027" max="1027" width="6" style="1" customWidth="1"/>
    <col min="1028" max="1028" width="11.42578125" style="1"/>
    <col min="1029" max="1030" width="9.5703125" style="1" customWidth="1"/>
    <col min="1031" max="1031" width="8.5703125" style="1" customWidth="1"/>
    <col min="1032" max="1033" width="12.85546875" style="1" customWidth="1"/>
    <col min="1034" max="1281" width="11.42578125" style="1"/>
    <col min="1282" max="1282" width="4.85546875" style="1" customWidth="1"/>
    <col min="1283" max="1283" width="6" style="1" customWidth="1"/>
    <col min="1284" max="1284" width="11.42578125" style="1"/>
    <col min="1285" max="1286" width="9.5703125" style="1" customWidth="1"/>
    <col min="1287" max="1287" width="8.5703125" style="1" customWidth="1"/>
    <col min="1288" max="1289" width="12.85546875" style="1" customWidth="1"/>
    <col min="1290" max="1537" width="11.42578125" style="1"/>
    <col min="1538" max="1538" width="4.85546875" style="1" customWidth="1"/>
    <col min="1539" max="1539" width="6" style="1" customWidth="1"/>
    <col min="1540" max="1540" width="11.42578125" style="1"/>
    <col min="1541" max="1542" width="9.5703125" style="1" customWidth="1"/>
    <col min="1543" max="1543" width="8.5703125" style="1" customWidth="1"/>
    <col min="1544" max="1545" width="12.85546875" style="1" customWidth="1"/>
    <col min="1546" max="1793" width="11.42578125" style="1"/>
    <col min="1794" max="1794" width="4.85546875" style="1" customWidth="1"/>
    <col min="1795" max="1795" width="6" style="1" customWidth="1"/>
    <col min="1796" max="1796" width="11.42578125" style="1"/>
    <col min="1797" max="1798" width="9.5703125" style="1" customWidth="1"/>
    <col min="1799" max="1799" width="8.5703125" style="1" customWidth="1"/>
    <col min="1800" max="1801" width="12.85546875" style="1" customWidth="1"/>
    <col min="1802" max="2049" width="11.42578125" style="1"/>
    <col min="2050" max="2050" width="4.85546875" style="1" customWidth="1"/>
    <col min="2051" max="2051" width="6" style="1" customWidth="1"/>
    <col min="2052" max="2052" width="11.42578125" style="1"/>
    <col min="2053" max="2054" width="9.5703125" style="1" customWidth="1"/>
    <col min="2055" max="2055" width="8.5703125" style="1" customWidth="1"/>
    <col min="2056" max="2057" width="12.85546875" style="1" customWidth="1"/>
    <col min="2058" max="2305" width="11.42578125" style="1"/>
    <col min="2306" max="2306" width="4.85546875" style="1" customWidth="1"/>
    <col min="2307" max="2307" width="6" style="1" customWidth="1"/>
    <col min="2308" max="2308" width="11.42578125" style="1"/>
    <col min="2309" max="2310" width="9.5703125" style="1" customWidth="1"/>
    <col min="2311" max="2311" width="8.5703125" style="1" customWidth="1"/>
    <col min="2312" max="2313" width="12.85546875" style="1" customWidth="1"/>
    <col min="2314" max="2561" width="11.42578125" style="1"/>
    <col min="2562" max="2562" width="4.85546875" style="1" customWidth="1"/>
    <col min="2563" max="2563" width="6" style="1" customWidth="1"/>
    <col min="2564" max="2564" width="11.42578125" style="1"/>
    <col min="2565" max="2566" width="9.5703125" style="1" customWidth="1"/>
    <col min="2567" max="2567" width="8.5703125" style="1" customWidth="1"/>
    <col min="2568" max="2569" width="12.85546875" style="1" customWidth="1"/>
    <col min="2570" max="2817" width="11.42578125" style="1"/>
    <col min="2818" max="2818" width="4.85546875" style="1" customWidth="1"/>
    <col min="2819" max="2819" width="6" style="1" customWidth="1"/>
    <col min="2820" max="2820" width="11.42578125" style="1"/>
    <col min="2821" max="2822" width="9.5703125" style="1" customWidth="1"/>
    <col min="2823" max="2823" width="8.5703125" style="1" customWidth="1"/>
    <col min="2824" max="2825" width="12.85546875" style="1" customWidth="1"/>
    <col min="2826" max="3073" width="11.42578125" style="1"/>
    <col min="3074" max="3074" width="4.85546875" style="1" customWidth="1"/>
    <col min="3075" max="3075" width="6" style="1" customWidth="1"/>
    <col min="3076" max="3076" width="11.42578125" style="1"/>
    <col min="3077" max="3078" width="9.5703125" style="1" customWidth="1"/>
    <col min="3079" max="3079" width="8.5703125" style="1" customWidth="1"/>
    <col min="3080" max="3081" width="12.85546875" style="1" customWidth="1"/>
    <col min="3082" max="3329" width="11.42578125" style="1"/>
    <col min="3330" max="3330" width="4.85546875" style="1" customWidth="1"/>
    <col min="3331" max="3331" width="6" style="1" customWidth="1"/>
    <col min="3332" max="3332" width="11.42578125" style="1"/>
    <col min="3333" max="3334" width="9.5703125" style="1" customWidth="1"/>
    <col min="3335" max="3335" width="8.5703125" style="1" customWidth="1"/>
    <col min="3336" max="3337" width="12.85546875" style="1" customWidth="1"/>
    <col min="3338" max="3585" width="11.42578125" style="1"/>
    <col min="3586" max="3586" width="4.85546875" style="1" customWidth="1"/>
    <col min="3587" max="3587" width="6" style="1" customWidth="1"/>
    <col min="3588" max="3588" width="11.42578125" style="1"/>
    <col min="3589" max="3590" width="9.5703125" style="1" customWidth="1"/>
    <col min="3591" max="3591" width="8.5703125" style="1" customWidth="1"/>
    <col min="3592" max="3593" width="12.85546875" style="1" customWidth="1"/>
    <col min="3594" max="3841" width="11.42578125" style="1"/>
    <col min="3842" max="3842" width="4.85546875" style="1" customWidth="1"/>
    <col min="3843" max="3843" width="6" style="1" customWidth="1"/>
    <col min="3844" max="3844" width="11.42578125" style="1"/>
    <col min="3845" max="3846" width="9.5703125" style="1" customWidth="1"/>
    <col min="3847" max="3847" width="8.5703125" style="1" customWidth="1"/>
    <col min="3848" max="3849" width="12.85546875" style="1" customWidth="1"/>
    <col min="3850" max="4097" width="11.42578125" style="1"/>
    <col min="4098" max="4098" width="4.85546875" style="1" customWidth="1"/>
    <col min="4099" max="4099" width="6" style="1" customWidth="1"/>
    <col min="4100" max="4100" width="11.42578125" style="1"/>
    <col min="4101" max="4102" width="9.5703125" style="1" customWidth="1"/>
    <col min="4103" max="4103" width="8.5703125" style="1" customWidth="1"/>
    <col min="4104" max="4105" width="12.85546875" style="1" customWidth="1"/>
    <col min="4106" max="4353" width="11.42578125" style="1"/>
    <col min="4354" max="4354" width="4.85546875" style="1" customWidth="1"/>
    <col min="4355" max="4355" width="6" style="1" customWidth="1"/>
    <col min="4356" max="4356" width="11.42578125" style="1"/>
    <col min="4357" max="4358" width="9.5703125" style="1" customWidth="1"/>
    <col min="4359" max="4359" width="8.5703125" style="1" customWidth="1"/>
    <col min="4360" max="4361" width="12.85546875" style="1" customWidth="1"/>
    <col min="4362" max="4609" width="11.42578125" style="1"/>
    <col min="4610" max="4610" width="4.85546875" style="1" customWidth="1"/>
    <col min="4611" max="4611" width="6" style="1" customWidth="1"/>
    <col min="4612" max="4612" width="11.42578125" style="1"/>
    <col min="4613" max="4614" width="9.5703125" style="1" customWidth="1"/>
    <col min="4615" max="4615" width="8.5703125" style="1" customWidth="1"/>
    <col min="4616" max="4617" width="12.85546875" style="1" customWidth="1"/>
    <col min="4618" max="4865" width="11.42578125" style="1"/>
    <col min="4866" max="4866" width="4.85546875" style="1" customWidth="1"/>
    <col min="4867" max="4867" width="6" style="1" customWidth="1"/>
    <col min="4868" max="4868" width="11.42578125" style="1"/>
    <col min="4869" max="4870" width="9.5703125" style="1" customWidth="1"/>
    <col min="4871" max="4871" width="8.5703125" style="1" customWidth="1"/>
    <col min="4872" max="4873" width="12.85546875" style="1" customWidth="1"/>
    <col min="4874" max="5121" width="11.42578125" style="1"/>
    <col min="5122" max="5122" width="4.85546875" style="1" customWidth="1"/>
    <col min="5123" max="5123" width="6" style="1" customWidth="1"/>
    <col min="5124" max="5124" width="11.42578125" style="1"/>
    <col min="5125" max="5126" width="9.5703125" style="1" customWidth="1"/>
    <col min="5127" max="5127" width="8.5703125" style="1" customWidth="1"/>
    <col min="5128" max="5129" width="12.85546875" style="1" customWidth="1"/>
    <col min="5130" max="5377" width="11.42578125" style="1"/>
    <col min="5378" max="5378" width="4.85546875" style="1" customWidth="1"/>
    <col min="5379" max="5379" width="6" style="1" customWidth="1"/>
    <col min="5380" max="5380" width="11.42578125" style="1"/>
    <col min="5381" max="5382" width="9.5703125" style="1" customWidth="1"/>
    <col min="5383" max="5383" width="8.5703125" style="1" customWidth="1"/>
    <col min="5384" max="5385" width="12.85546875" style="1" customWidth="1"/>
    <col min="5386" max="5633" width="11.42578125" style="1"/>
    <col min="5634" max="5634" width="4.85546875" style="1" customWidth="1"/>
    <col min="5635" max="5635" width="6" style="1" customWidth="1"/>
    <col min="5636" max="5636" width="11.42578125" style="1"/>
    <col min="5637" max="5638" width="9.5703125" style="1" customWidth="1"/>
    <col min="5639" max="5639" width="8.5703125" style="1" customWidth="1"/>
    <col min="5640" max="5641" width="12.85546875" style="1" customWidth="1"/>
    <col min="5642" max="5889" width="11.42578125" style="1"/>
    <col min="5890" max="5890" width="4.85546875" style="1" customWidth="1"/>
    <col min="5891" max="5891" width="6" style="1" customWidth="1"/>
    <col min="5892" max="5892" width="11.42578125" style="1"/>
    <col min="5893" max="5894" width="9.5703125" style="1" customWidth="1"/>
    <col min="5895" max="5895" width="8.5703125" style="1" customWidth="1"/>
    <col min="5896" max="5897" width="12.85546875" style="1" customWidth="1"/>
    <col min="5898" max="6145" width="11.42578125" style="1"/>
    <col min="6146" max="6146" width="4.85546875" style="1" customWidth="1"/>
    <col min="6147" max="6147" width="6" style="1" customWidth="1"/>
    <col min="6148" max="6148" width="11.42578125" style="1"/>
    <col min="6149" max="6150" width="9.5703125" style="1" customWidth="1"/>
    <col min="6151" max="6151" width="8.5703125" style="1" customWidth="1"/>
    <col min="6152" max="6153" width="12.85546875" style="1" customWidth="1"/>
    <col min="6154" max="6401" width="11.42578125" style="1"/>
    <col min="6402" max="6402" width="4.85546875" style="1" customWidth="1"/>
    <col min="6403" max="6403" width="6" style="1" customWidth="1"/>
    <col min="6404" max="6404" width="11.42578125" style="1"/>
    <col min="6405" max="6406" width="9.5703125" style="1" customWidth="1"/>
    <col min="6407" max="6407" width="8.5703125" style="1" customWidth="1"/>
    <col min="6408" max="6409" width="12.85546875" style="1" customWidth="1"/>
    <col min="6410" max="6657" width="11.42578125" style="1"/>
    <col min="6658" max="6658" width="4.85546875" style="1" customWidth="1"/>
    <col min="6659" max="6659" width="6" style="1" customWidth="1"/>
    <col min="6660" max="6660" width="11.42578125" style="1"/>
    <col min="6661" max="6662" width="9.5703125" style="1" customWidth="1"/>
    <col min="6663" max="6663" width="8.5703125" style="1" customWidth="1"/>
    <col min="6664" max="6665" width="12.85546875" style="1" customWidth="1"/>
    <col min="6666" max="6913" width="11.42578125" style="1"/>
    <col min="6914" max="6914" width="4.85546875" style="1" customWidth="1"/>
    <col min="6915" max="6915" width="6" style="1" customWidth="1"/>
    <col min="6916" max="6916" width="11.42578125" style="1"/>
    <col min="6917" max="6918" width="9.5703125" style="1" customWidth="1"/>
    <col min="6919" max="6919" width="8.5703125" style="1" customWidth="1"/>
    <col min="6920" max="6921" width="12.85546875" style="1" customWidth="1"/>
    <col min="6922" max="7169" width="11.42578125" style="1"/>
    <col min="7170" max="7170" width="4.85546875" style="1" customWidth="1"/>
    <col min="7171" max="7171" width="6" style="1" customWidth="1"/>
    <col min="7172" max="7172" width="11.42578125" style="1"/>
    <col min="7173" max="7174" width="9.5703125" style="1" customWidth="1"/>
    <col min="7175" max="7175" width="8.5703125" style="1" customWidth="1"/>
    <col min="7176" max="7177" width="12.85546875" style="1" customWidth="1"/>
    <col min="7178" max="7425" width="11.42578125" style="1"/>
    <col min="7426" max="7426" width="4.85546875" style="1" customWidth="1"/>
    <col min="7427" max="7427" width="6" style="1" customWidth="1"/>
    <col min="7428" max="7428" width="11.42578125" style="1"/>
    <col min="7429" max="7430" width="9.5703125" style="1" customWidth="1"/>
    <col min="7431" max="7431" width="8.5703125" style="1" customWidth="1"/>
    <col min="7432" max="7433" width="12.85546875" style="1" customWidth="1"/>
    <col min="7434" max="7681" width="11.42578125" style="1"/>
    <col min="7682" max="7682" width="4.85546875" style="1" customWidth="1"/>
    <col min="7683" max="7683" width="6" style="1" customWidth="1"/>
    <col min="7684" max="7684" width="11.42578125" style="1"/>
    <col min="7685" max="7686" width="9.5703125" style="1" customWidth="1"/>
    <col min="7687" max="7687" width="8.5703125" style="1" customWidth="1"/>
    <col min="7688" max="7689" width="12.85546875" style="1" customWidth="1"/>
    <col min="7690" max="7937" width="11.42578125" style="1"/>
    <col min="7938" max="7938" width="4.85546875" style="1" customWidth="1"/>
    <col min="7939" max="7939" width="6" style="1" customWidth="1"/>
    <col min="7940" max="7940" width="11.42578125" style="1"/>
    <col min="7941" max="7942" width="9.5703125" style="1" customWidth="1"/>
    <col min="7943" max="7943" width="8.5703125" style="1" customWidth="1"/>
    <col min="7944" max="7945" width="12.85546875" style="1" customWidth="1"/>
    <col min="7946" max="8193" width="11.42578125" style="1"/>
    <col min="8194" max="8194" width="4.85546875" style="1" customWidth="1"/>
    <col min="8195" max="8195" width="6" style="1" customWidth="1"/>
    <col min="8196" max="8196" width="11.42578125" style="1"/>
    <col min="8197" max="8198" width="9.5703125" style="1" customWidth="1"/>
    <col min="8199" max="8199" width="8.5703125" style="1" customWidth="1"/>
    <col min="8200" max="8201" width="12.85546875" style="1" customWidth="1"/>
    <col min="8202" max="8449" width="11.42578125" style="1"/>
    <col min="8450" max="8450" width="4.85546875" style="1" customWidth="1"/>
    <col min="8451" max="8451" width="6" style="1" customWidth="1"/>
    <col min="8452" max="8452" width="11.42578125" style="1"/>
    <col min="8453" max="8454" width="9.5703125" style="1" customWidth="1"/>
    <col min="8455" max="8455" width="8.5703125" style="1" customWidth="1"/>
    <col min="8456" max="8457" width="12.85546875" style="1" customWidth="1"/>
    <col min="8458" max="8705" width="11.42578125" style="1"/>
    <col min="8706" max="8706" width="4.85546875" style="1" customWidth="1"/>
    <col min="8707" max="8707" width="6" style="1" customWidth="1"/>
    <col min="8708" max="8708" width="11.42578125" style="1"/>
    <col min="8709" max="8710" width="9.5703125" style="1" customWidth="1"/>
    <col min="8711" max="8711" width="8.5703125" style="1" customWidth="1"/>
    <col min="8712" max="8713" width="12.85546875" style="1" customWidth="1"/>
    <col min="8714" max="8961" width="11.42578125" style="1"/>
    <col min="8962" max="8962" width="4.85546875" style="1" customWidth="1"/>
    <col min="8963" max="8963" width="6" style="1" customWidth="1"/>
    <col min="8964" max="8964" width="11.42578125" style="1"/>
    <col min="8965" max="8966" width="9.5703125" style="1" customWidth="1"/>
    <col min="8967" max="8967" width="8.5703125" style="1" customWidth="1"/>
    <col min="8968" max="8969" width="12.85546875" style="1" customWidth="1"/>
    <col min="8970" max="9217" width="11.42578125" style="1"/>
    <col min="9218" max="9218" width="4.85546875" style="1" customWidth="1"/>
    <col min="9219" max="9219" width="6" style="1" customWidth="1"/>
    <col min="9220" max="9220" width="11.42578125" style="1"/>
    <col min="9221" max="9222" width="9.5703125" style="1" customWidth="1"/>
    <col min="9223" max="9223" width="8.5703125" style="1" customWidth="1"/>
    <col min="9224" max="9225" width="12.85546875" style="1" customWidth="1"/>
    <col min="9226" max="9473" width="11.42578125" style="1"/>
    <col min="9474" max="9474" width="4.85546875" style="1" customWidth="1"/>
    <col min="9475" max="9475" width="6" style="1" customWidth="1"/>
    <col min="9476" max="9476" width="11.42578125" style="1"/>
    <col min="9477" max="9478" width="9.5703125" style="1" customWidth="1"/>
    <col min="9479" max="9479" width="8.5703125" style="1" customWidth="1"/>
    <col min="9480" max="9481" width="12.85546875" style="1" customWidth="1"/>
    <col min="9482" max="9729" width="11.42578125" style="1"/>
    <col min="9730" max="9730" width="4.85546875" style="1" customWidth="1"/>
    <col min="9731" max="9731" width="6" style="1" customWidth="1"/>
    <col min="9732" max="9732" width="11.42578125" style="1"/>
    <col min="9733" max="9734" width="9.5703125" style="1" customWidth="1"/>
    <col min="9735" max="9735" width="8.5703125" style="1" customWidth="1"/>
    <col min="9736" max="9737" width="12.85546875" style="1" customWidth="1"/>
    <col min="9738" max="9985" width="11.42578125" style="1"/>
    <col min="9986" max="9986" width="4.85546875" style="1" customWidth="1"/>
    <col min="9987" max="9987" width="6" style="1" customWidth="1"/>
    <col min="9988" max="9988" width="11.42578125" style="1"/>
    <col min="9989" max="9990" width="9.5703125" style="1" customWidth="1"/>
    <col min="9991" max="9991" width="8.5703125" style="1" customWidth="1"/>
    <col min="9992" max="9993" width="12.85546875" style="1" customWidth="1"/>
    <col min="9994" max="10241" width="11.42578125" style="1"/>
    <col min="10242" max="10242" width="4.85546875" style="1" customWidth="1"/>
    <col min="10243" max="10243" width="6" style="1" customWidth="1"/>
    <col min="10244" max="10244" width="11.42578125" style="1"/>
    <col min="10245" max="10246" width="9.5703125" style="1" customWidth="1"/>
    <col min="10247" max="10247" width="8.5703125" style="1" customWidth="1"/>
    <col min="10248" max="10249" width="12.85546875" style="1" customWidth="1"/>
    <col min="10250" max="10497" width="11.42578125" style="1"/>
    <col min="10498" max="10498" width="4.85546875" style="1" customWidth="1"/>
    <col min="10499" max="10499" width="6" style="1" customWidth="1"/>
    <col min="10500" max="10500" width="11.42578125" style="1"/>
    <col min="10501" max="10502" width="9.5703125" style="1" customWidth="1"/>
    <col min="10503" max="10503" width="8.5703125" style="1" customWidth="1"/>
    <col min="10504" max="10505" width="12.85546875" style="1" customWidth="1"/>
    <col min="10506" max="10753" width="11.42578125" style="1"/>
    <col min="10754" max="10754" width="4.85546875" style="1" customWidth="1"/>
    <col min="10755" max="10755" width="6" style="1" customWidth="1"/>
    <col min="10756" max="10756" width="11.42578125" style="1"/>
    <col min="10757" max="10758" width="9.5703125" style="1" customWidth="1"/>
    <col min="10759" max="10759" width="8.5703125" style="1" customWidth="1"/>
    <col min="10760" max="10761" width="12.85546875" style="1" customWidth="1"/>
    <col min="10762" max="11009" width="11.42578125" style="1"/>
    <col min="11010" max="11010" width="4.85546875" style="1" customWidth="1"/>
    <col min="11011" max="11011" width="6" style="1" customWidth="1"/>
    <col min="11012" max="11012" width="11.42578125" style="1"/>
    <col min="11013" max="11014" width="9.5703125" style="1" customWidth="1"/>
    <col min="11015" max="11015" width="8.5703125" style="1" customWidth="1"/>
    <col min="11016" max="11017" width="12.85546875" style="1" customWidth="1"/>
    <col min="11018" max="11265" width="11.42578125" style="1"/>
    <col min="11266" max="11266" width="4.85546875" style="1" customWidth="1"/>
    <col min="11267" max="11267" width="6" style="1" customWidth="1"/>
    <col min="11268" max="11268" width="11.42578125" style="1"/>
    <col min="11269" max="11270" width="9.5703125" style="1" customWidth="1"/>
    <col min="11271" max="11271" width="8.5703125" style="1" customWidth="1"/>
    <col min="11272" max="11273" width="12.85546875" style="1" customWidth="1"/>
    <col min="11274" max="11521" width="11.42578125" style="1"/>
    <col min="11522" max="11522" width="4.85546875" style="1" customWidth="1"/>
    <col min="11523" max="11523" width="6" style="1" customWidth="1"/>
    <col min="11524" max="11524" width="11.42578125" style="1"/>
    <col min="11525" max="11526" width="9.5703125" style="1" customWidth="1"/>
    <col min="11527" max="11527" width="8.5703125" style="1" customWidth="1"/>
    <col min="11528" max="11529" width="12.85546875" style="1" customWidth="1"/>
    <col min="11530" max="11777" width="11.42578125" style="1"/>
    <col min="11778" max="11778" width="4.85546875" style="1" customWidth="1"/>
    <col min="11779" max="11779" width="6" style="1" customWidth="1"/>
    <col min="11780" max="11780" width="11.42578125" style="1"/>
    <col min="11781" max="11782" width="9.5703125" style="1" customWidth="1"/>
    <col min="11783" max="11783" width="8.5703125" style="1" customWidth="1"/>
    <col min="11784" max="11785" width="12.85546875" style="1" customWidth="1"/>
    <col min="11786" max="12033" width="11.42578125" style="1"/>
    <col min="12034" max="12034" width="4.85546875" style="1" customWidth="1"/>
    <col min="12035" max="12035" width="6" style="1" customWidth="1"/>
    <col min="12036" max="12036" width="11.42578125" style="1"/>
    <col min="12037" max="12038" width="9.5703125" style="1" customWidth="1"/>
    <col min="12039" max="12039" width="8.5703125" style="1" customWidth="1"/>
    <col min="12040" max="12041" width="12.85546875" style="1" customWidth="1"/>
    <col min="12042" max="12289" width="11.42578125" style="1"/>
    <col min="12290" max="12290" width="4.85546875" style="1" customWidth="1"/>
    <col min="12291" max="12291" width="6" style="1" customWidth="1"/>
    <col min="12292" max="12292" width="11.42578125" style="1"/>
    <col min="12293" max="12294" width="9.5703125" style="1" customWidth="1"/>
    <col min="12295" max="12295" width="8.5703125" style="1" customWidth="1"/>
    <col min="12296" max="12297" width="12.85546875" style="1" customWidth="1"/>
    <col min="12298" max="12545" width="11.42578125" style="1"/>
    <col min="12546" max="12546" width="4.85546875" style="1" customWidth="1"/>
    <col min="12547" max="12547" width="6" style="1" customWidth="1"/>
    <col min="12548" max="12548" width="11.42578125" style="1"/>
    <col min="12549" max="12550" width="9.5703125" style="1" customWidth="1"/>
    <col min="12551" max="12551" width="8.5703125" style="1" customWidth="1"/>
    <col min="12552" max="12553" width="12.85546875" style="1" customWidth="1"/>
    <col min="12554" max="12801" width="11.42578125" style="1"/>
    <col min="12802" max="12802" width="4.85546875" style="1" customWidth="1"/>
    <col min="12803" max="12803" width="6" style="1" customWidth="1"/>
    <col min="12804" max="12804" width="11.42578125" style="1"/>
    <col min="12805" max="12806" width="9.5703125" style="1" customWidth="1"/>
    <col min="12807" max="12807" width="8.5703125" style="1" customWidth="1"/>
    <col min="12808" max="12809" width="12.85546875" style="1" customWidth="1"/>
    <col min="12810" max="13057" width="11.42578125" style="1"/>
    <col min="13058" max="13058" width="4.85546875" style="1" customWidth="1"/>
    <col min="13059" max="13059" width="6" style="1" customWidth="1"/>
    <col min="13060" max="13060" width="11.42578125" style="1"/>
    <col min="13061" max="13062" width="9.5703125" style="1" customWidth="1"/>
    <col min="13063" max="13063" width="8.5703125" style="1" customWidth="1"/>
    <col min="13064" max="13065" width="12.85546875" style="1" customWidth="1"/>
    <col min="13066" max="13313" width="11.42578125" style="1"/>
    <col min="13314" max="13314" width="4.85546875" style="1" customWidth="1"/>
    <col min="13315" max="13315" width="6" style="1" customWidth="1"/>
    <col min="13316" max="13316" width="11.42578125" style="1"/>
    <col min="13317" max="13318" width="9.5703125" style="1" customWidth="1"/>
    <col min="13319" max="13319" width="8.5703125" style="1" customWidth="1"/>
    <col min="13320" max="13321" width="12.85546875" style="1" customWidth="1"/>
    <col min="13322" max="13569" width="11.42578125" style="1"/>
    <col min="13570" max="13570" width="4.85546875" style="1" customWidth="1"/>
    <col min="13571" max="13571" width="6" style="1" customWidth="1"/>
    <col min="13572" max="13572" width="11.42578125" style="1"/>
    <col min="13573" max="13574" width="9.5703125" style="1" customWidth="1"/>
    <col min="13575" max="13575" width="8.5703125" style="1" customWidth="1"/>
    <col min="13576" max="13577" width="12.85546875" style="1" customWidth="1"/>
    <col min="13578" max="13825" width="11.42578125" style="1"/>
    <col min="13826" max="13826" width="4.85546875" style="1" customWidth="1"/>
    <col min="13827" max="13827" width="6" style="1" customWidth="1"/>
    <col min="13828" max="13828" width="11.42578125" style="1"/>
    <col min="13829" max="13830" width="9.5703125" style="1" customWidth="1"/>
    <col min="13831" max="13831" width="8.5703125" style="1" customWidth="1"/>
    <col min="13832" max="13833" width="12.85546875" style="1" customWidth="1"/>
    <col min="13834" max="14081" width="11.42578125" style="1"/>
    <col min="14082" max="14082" width="4.85546875" style="1" customWidth="1"/>
    <col min="14083" max="14083" width="6" style="1" customWidth="1"/>
    <col min="14084" max="14084" width="11.42578125" style="1"/>
    <col min="14085" max="14086" width="9.5703125" style="1" customWidth="1"/>
    <col min="14087" max="14087" width="8.5703125" style="1" customWidth="1"/>
    <col min="14088" max="14089" width="12.85546875" style="1" customWidth="1"/>
    <col min="14090" max="14337" width="11.42578125" style="1"/>
    <col min="14338" max="14338" width="4.85546875" style="1" customWidth="1"/>
    <col min="14339" max="14339" width="6" style="1" customWidth="1"/>
    <col min="14340" max="14340" width="11.42578125" style="1"/>
    <col min="14341" max="14342" width="9.5703125" style="1" customWidth="1"/>
    <col min="14343" max="14343" width="8.5703125" style="1" customWidth="1"/>
    <col min="14344" max="14345" width="12.85546875" style="1" customWidth="1"/>
    <col min="14346" max="14593" width="11.42578125" style="1"/>
    <col min="14594" max="14594" width="4.85546875" style="1" customWidth="1"/>
    <col min="14595" max="14595" width="6" style="1" customWidth="1"/>
    <col min="14596" max="14596" width="11.42578125" style="1"/>
    <col min="14597" max="14598" width="9.5703125" style="1" customWidth="1"/>
    <col min="14599" max="14599" width="8.5703125" style="1" customWidth="1"/>
    <col min="14600" max="14601" width="12.85546875" style="1" customWidth="1"/>
    <col min="14602" max="14849" width="11.42578125" style="1"/>
    <col min="14850" max="14850" width="4.85546875" style="1" customWidth="1"/>
    <col min="14851" max="14851" width="6" style="1" customWidth="1"/>
    <col min="14852" max="14852" width="11.42578125" style="1"/>
    <col min="14853" max="14854" width="9.5703125" style="1" customWidth="1"/>
    <col min="14855" max="14855" width="8.5703125" style="1" customWidth="1"/>
    <col min="14856" max="14857" width="12.85546875" style="1" customWidth="1"/>
    <col min="14858" max="15105" width="11.42578125" style="1"/>
    <col min="15106" max="15106" width="4.85546875" style="1" customWidth="1"/>
    <col min="15107" max="15107" width="6" style="1" customWidth="1"/>
    <col min="15108" max="15108" width="11.42578125" style="1"/>
    <col min="15109" max="15110" width="9.5703125" style="1" customWidth="1"/>
    <col min="15111" max="15111" width="8.5703125" style="1" customWidth="1"/>
    <col min="15112" max="15113" width="12.85546875" style="1" customWidth="1"/>
    <col min="15114" max="15361" width="11.42578125" style="1"/>
    <col min="15362" max="15362" width="4.85546875" style="1" customWidth="1"/>
    <col min="15363" max="15363" width="6" style="1" customWidth="1"/>
    <col min="15364" max="15364" width="11.42578125" style="1"/>
    <col min="15365" max="15366" width="9.5703125" style="1" customWidth="1"/>
    <col min="15367" max="15367" width="8.5703125" style="1" customWidth="1"/>
    <col min="15368" max="15369" width="12.85546875" style="1" customWidth="1"/>
    <col min="15370" max="15617" width="11.42578125" style="1"/>
    <col min="15618" max="15618" width="4.85546875" style="1" customWidth="1"/>
    <col min="15619" max="15619" width="6" style="1" customWidth="1"/>
    <col min="15620" max="15620" width="11.42578125" style="1"/>
    <col min="15621" max="15622" width="9.5703125" style="1" customWidth="1"/>
    <col min="15623" max="15623" width="8.5703125" style="1" customWidth="1"/>
    <col min="15624" max="15625" width="12.85546875" style="1" customWidth="1"/>
    <col min="15626" max="15873" width="11.42578125" style="1"/>
    <col min="15874" max="15874" width="4.85546875" style="1" customWidth="1"/>
    <col min="15875" max="15875" width="6" style="1" customWidth="1"/>
    <col min="15876" max="15876" width="11.42578125" style="1"/>
    <col min="15877" max="15878" width="9.5703125" style="1" customWidth="1"/>
    <col min="15879" max="15879" width="8.5703125" style="1" customWidth="1"/>
    <col min="15880" max="15881" width="12.85546875" style="1" customWidth="1"/>
    <col min="15882" max="16129" width="11.42578125" style="1"/>
    <col min="16130" max="16130" width="4.85546875" style="1" customWidth="1"/>
    <col min="16131" max="16131" width="6" style="1" customWidth="1"/>
    <col min="16132" max="16132" width="11.42578125" style="1"/>
    <col min="16133" max="16134" width="9.5703125" style="1" customWidth="1"/>
    <col min="16135" max="16135" width="8.5703125" style="1" customWidth="1"/>
    <col min="16136" max="16137" width="12.85546875" style="1" customWidth="1"/>
    <col min="16138" max="16384" width="11.42578125" style="1"/>
  </cols>
  <sheetData>
    <row r="1" spans="1:16" ht="18" customHeight="1" x14ac:dyDescent="0.2">
      <c r="A1" s="86"/>
      <c r="B1" s="87"/>
      <c r="C1" s="87"/>
      <c r="D1" s="87"/>
      <c r="E1" s="87"/>
      <c r="F1" s="87"/>
      <c r="G1" s="87"/>
      <c r="H1" s="87"/>
    </row>
    <row r="2" spans="1:16" ht="10.5" customHeight="1" x14ac:dyDescent="0.3">
      <c r="A2" s="86"/>
      <c r="B2" s="87"/>
      <c r="C2" s="87"/>
      <c r="D2" s="87"/>
      <c r="E2" s="87"/>
      <c r="F2" s="88"/>
      <c r="G2" s="88"/>
      <c r="H2" s="88"/>
      <c r="I2" s="36"/>
    </row>
    <row r="3" spans="1:16" ht="23.25" customHeight="1" x14ac:dyDescent="0.3">
      <c r="A3" s="86"/>
      <c r="B3" s="87"/>
      <c r="C3" s="87"/>
      <c r="D3" s="56"/>
      <c r="E3" s="158" t="s">
        <v>466</v>
      </c>
      <c r="F3" s="159"/>
      <c r="G3" s="160"/>
      <c r="H3" s="157"/>
      <c r="I3" s="36"/>
    </row>
    <row r="4" spans="1:16" ht="18" customHeight="1" x14ac:dyDescent="0.3">
      <c r="A4" s="86"/>
      <c r="B4" s="87"/>
      <c r="C4" s="87"/>
      <c r="D4" s="87"/>
      <c r="E4" s="87"/>
      <c r="F4" s="87"/>
      <c r="G4" s="89"/>
      <c r="H4" s="89"/>
      <c r="I4" s="2"/>
    </row>
    <row r="5" spans="1:16" ht="18" customHeight="1" thickBot="1" x14ac:dyDescent="0.35">
      <c r="A5" s="86"/>
      <c r="B5" s="87"/>
      <c r="C5" s="87"/>
      <c r="D5" s="195" t="s">
        <v>465</v>
      </c>
      <c r="E5" s="195"/>
      <c r="F5" s="161" t="s">
        <v>156</v>
      </c>
      <c r="G5" s="89"/>
      <c r="H5" s="89"/>
      <c r="I5" s="2"/>
    </row>
    <row r="6" spans="1:16" ht="18" customHeight="1" thickBot="1" x14ac:dyDescent="0.25">
      <c r="A6" s="86"/>
      <c r="B6" s="87"/>
      <c r="C6" s="87"/>
      <c r="D6" s="87"/>
      <c r="E6" s="87"/>
      <c r="F6" s="87"/>
      <c r="G6" s="87"/>
      <c r="H6" s="87"/>
      <c r="L6" s="39" t="s">
        <v>193</v>
      </c>
      <c r="M6" s="55">
        <f>VLOOKUP(G14,'Groupe de couleur'!A3:B192,2,FALSE)</f>
        <v>1</v>
      </c>
    </row>
    <row r="7" spans="1:16" ht="18" customHeight="1" thickBot="1" x14ac:dyDescent="0.35">
      <c r="A7" s="86"/>
      <c r="B7" s="87"/>
      <c r="C7" s="90"/>
      <c r="D7" s="90"/>
      <c r="E7" s="90"/>
      <c r="F7" s="91" t="s">
        <v>0</v>
      </c>
      <c r="G7" s="167"/>
      <c r="H7" s="87"/>
      <c r="K7" s="1" t="s">
        <v>196</v>
      </c>
      <c r="L7" s="39" t="s">
        <v>194</v>
      </c>
      <c r="M7" s="45">
        <f>IF(K52&lt;=10,4,IF(K52&lt;=20,5,IF(K52&lt;=60,6,IF(K52&lt;=150,7,IF(K52&lt;=300,8,IF(K52&lt;=500,9,IF(K52&lt;=750,10,11)))))))</f>
        <v>7</v>
      </c>
    </row>
    <row r="8" spans="1:16" ht="18" customHeight="1" x14ac:dyDescent="0.25">
      <c r="A8" s="92"/>
      <c r="B8" s="90"/>
      <c r="C8" s="90"/>
      <c r="D8" s="90"/>
      <c r="E8" s="90"/>
      <c r="F8" s="90"/>
      <c r="G8" s="90"/>
      <c r="H8" s="90"/>
      <c r="I8" s="3"/>
    </row>
    <row r="9" spans="1:16" ht="24.95" customHeight="1" thickBot="1" x14ac:dyDescent="0.35">
      <c r="A9" s="92"/>
      <c r="B9" s="90"/>
      <c r="C9" s="90"/>
      <c r="D9" s="87"/>
      <c r="E9" s="93" t="s">
        <v>468</v>
      </c>
      <c r="F9" s="94"/>
      <c r="G9" s="168"/>
      <c r="H9" s="95"/>
      <c r="I9" s="3"/>
    </row>
    <row r="10" spans="1:16" ht="24.95" customHeight="1" thickBot="1" x14ac:dyDescent="0.35">
      <c r="A10" s="92"/>
      <c r="B10" s="90"/>
      <c r="C10" s="90"/>
      <c r="D10" s="87"/>
      <c r="E10" s="96" t="s">
        <v>469</v>
      </c>
      <c r="F10" s="97"/>
      <c r="G10" s="155"/>
      <c r="H10" s="98"/>
      <c r="I10" s="3"/>
      <c r="K10" s="202" t="s">
        <v>195</v>
      </c>
      <c r="L10" s="203"/>
      <c r="M10" s="39">
        <f>IF(F12="OUI",IF(N10&lt;=260,260,N10),0)</f>
        <v>0</v>
      </c>
      <c r="N10" s="44">
        <f>IF(F12="OUI",IF(BC!K58&lt;=60,'Tarif ALBEA'!B140*BC!K58,IF(BC!K58&lt;=300,'Tarif ALBEA'!B141*BC!K58,IF(BC!K58&lt;=500,'Tarif ALBEA'!B142*BC!K58,0))),0)</f>
        <v>0</v>
      </c>
    </row>
    <row r="11" spans="1:16" ht="24.95" customHeight="1" thickBot="1" x14ac:dyDescent="0.3">
      <c r="A11" s="92"/>
      <c r="B11" s="90"/>
      <c r="C11" s="90"/>
      <c r="D11" s="87"/>
      <c r="E11" s="99" t="s">
        <v>470</v>
      </c>
      <c r="F11" s="208"/>
      <c r="G11" s="209"/>
      <c r="H11" s="100"/>
      <c r="I11" s="3"/>
    </row>
    <row r="12" spans="1:16" ht="18" customHeight="1" thickBot="1" x14ac:dyDescent="0.35">
      <c r="A12" s="101" t="s">
        <v>231</v>
      </c>
      <c r="B12" s="198" t="s">
        <v>233</v>
      </c>
      <c r="C12" s="199"/>
      <c r="D12" s="87"/>
      <c r="E12" s="91" t="s">
        <v>1</v>
      </c>
      <c r="F12" s="156" t="s">
        <v>3</v>
      </c>
      <c r="G12" s="102">
        <f>M10</f>
        <v>0</v>
      </c>
      <c r="H12" s="103">
        <f>IF(K58&gt;500,'Tarif ALBEA'!B143,0)</f>
        <v>0</v>
      </c>
      <c r="I12" s="3"/>
      <c r="K12" s="202" t="s">
        <v>207</v>
      </c>
      <c r="L12" s="203"/>
      <c r="M12" s="39">
        <f>IFERROR(IF(O12&lt;=O14,O14,O12),0)</f>
        <v>65</v>
      </c>
      <c r="O12" s="39">
        <f>F15*K58</f>
        <v>0</v>
      </c>
      <c r="P12" s="1" t="s">
        <v>205</v>
      </c>
    </row>
    <row r="13" spans="1:16" ht="18" customHeight="1" thickBot="1" x14ac:dyDescent="0.35">
      <c r="A13" s="86"/>
      <c r="B13" s="104" t="str">
        <f>IF($B$12="Joël ANTZ",'Liste déroulante'!I2,IF($B$12="Lydiane MOREL",'Liste déroulante'!K2,'Liste déroulante'!J2))</f>
        <v>j.antz@svf-france.com</v>
      </c>
      <c r="C13" s="105"/>
      <c r="D13" s="106"/>
      <c r="E13" s="87"/>
      <c r="F13" s="87"/>
      <c r="G13" s="87"/>
      <c r="H13" s="107"/>
      <c r="I13" s="3"/>
    </row>
    <row r="14" spans="1:16" ht="18" customHeight="1" thickBot="1" x14ac:dyDescent="0.35">
      <c r="A14" s="108"/>
      <c r="B14" s="109" t="str">
        <f>IF($B$12="Joël ANTZ",'Liste déroulante'!I3,IF($B$12="Lydiane MOREL",'Liste déroulante'!K3,'Liste déroulante'!J3))</f>
        <v>+33 3 88 64 82 80</v>
      </c>
      <c r="C14" s="110"/>
      <c r="D14" s="106"/>
      <c r="E14" s="204" t="s">
        <v>204</v>
      </c>
      <c r="F14" s="205"/>
      <c r="G14" s="173" t="str">
        <f>IF(logikal!S6=" ",logikal!S7,logikal!S6)</f>
        <v>RAL7043</v>
      </c>
      <c r="H14" s="174" t="s">
        <v>197</v>
      </c>
      <c r="I14" s="3"/>
      <c r="O14" s="39">
        <f>VLOOKUP(M6,'Tarif ALBEA'!I323:J332,2,FALSE)</f>
        <v>65</v>
      </c>
      <c r="P14" s="1" t="s">
        <v>206</v>
      </c>
    </row>
    <row r="15" spans="1:16" ht="18" customHeight="1" x14ac:dyDescent="0.3">
      <c r="A15" s="86"/>
      <c r="B15" s="111"/>
      <c r="C15" s="112"/>
      <c r="D15" s="87"/>
      <c r="E15" s="169" t="s">
        <v>464</v>
      </c>
      <c r="F15" s="170">
        <f>IFERROR(HLOOKUP(M6,'Tarif ALBEA'!B27:K37,M7,FALSE),0)</f>
        <v>6.41</v>
      </c>
      <c r="G15" s="87"/>
      <c r="H15" s="113"/>
      <c r="I15" s="3"/>
    </row>
    <row r="16" spans="1:16" ht="18" customHeight="1" x14ac:dyDescent="0.3">
      <c r="A16" s="86"/>
      <c r="B16" s="111"/>
      <c r="C16" s="112"/>
      <c r="D16" s="87"/>
      <c r="E16" s="171" t="s">
        <v>471</v>
      </c>
      <c r="F16" s="172" t="str">
        <f>SUM(K21:K51) &amp; " m²"</f>
        <v>66,28 m²</v>
      </c>
      <c r="G16" s="87"/>
      <c r="H16" s="113"/>
      <c r="I16" s="3"/>
    </row>
    <row r="17" spans="1:16" ht="18" customHeight="1" x14ac:dyDescent="0.25">
      <c r="A17" s="114"/>
      <c r="B17" s="87"/>
      <c r="C17" s="115"/>
      <c r="D17" s="115"/>
      <c r="E17" s="115"/>
      <c r="F17" s="116"/>
      <c r="G17" s="116"/>
      <c r="H17" s="90"/>
      <c r="I17" s="3"/>
    </row>
    <row r="18" spans="1:16" ht="18" customHeight="1" x14ac:dyDescent="0.3">
      <c r="A18" s="196" t="s">
        <v>439</v>
      </c>
      <c r="B18" s="197"/>
      <c r="C18" s="206"/>
      <c r="D18" s="206"/>
      <c r="E18" s="207"/>
      <c r="F18" s="117"/>
      <c r="G18" s="118"/>
      <c r="H18" s="113"/>
      <c r="I18" s="3"/>
    </row>
    <row r="19" spans="1:16" ht="18" customHeight="1" thickBot="1" x14ac:dyDescent="0.25">
      <c r="A19" s="86"/>
      <c r="B19" s="87"/>
      <c r="C19" s="87"/>
      <c r="D19" s="87"/>
      <c r="E19" s="87"/>
      <c r="F19" s="87"/>
      <c r="G19" s="87"/>
      <c r="H19" s="87"/>
    </row>
    <row r="20" spans="1:16" s="4" customFormat="1" ht="36" customHeight="1" thickBot="1" x14ac:dyDescent="0.3">
      <c r="A20" s="145" t="s">
        <v>159</v>
      </c>
      <c r="B20" s="147" t="s">
        <v>188</v>
      </c>
      <c r="C20" s="146" t="s">
        <v>158</v>
      </c>
      <c r="D20" s="147" t="s">
        <v>161</v>
      </c>
      <c r="E20" s="146" t="s">
        <v>160</v>
      </c>
      <c r="F20" s="147"/>
      <c r="G20" s="146"/>
      <c r="H20" s="154" t="s">
        <v>429</v>
      </c>
      <c r="I20"/>
      <c r="K20" s="71" t="s">
        <v>162</v>
      </c>
      <c r="L20" s="72"/>
      <c r="M20" s="73" t="s">
        <v>189</v>
      </c>
    </row>
    <row r="21" spans="1:16" s="64" customFormat="1" ht="9.9499999999999993" customHeight="1" x14ac:dyDescent="0.2">
      <c r="A21" s="142">
        <f>feuille1!D66</f>
        <v>300021</v>
      </c>
      <c r="B21" s="148">
        <f>IFERROR(VLOOKUP(A21,Profils!$A$3:$G$38,2,FALSE),0)</f>
        <v>6.5</v>
      </c>
      <c r="C21" s="119">
        <f>VLOOKUP(A21,feuille1!$D$66:$H$69,3,FALSE)</f>
        <v>2</v>
      </c>
      <c r="D21" s="190">
        <f>IFERROR(VLOOKUP(A21,feuille1!$D$66:$H$69,4,FALSE),0)</f>
        <v>0</v>
      </c>
      <c r="E21" s="190">
        <f>IFERROR(VLOOKUP(A21,feuille1!$D$66:$H$69,5,FALSE),0)</f>
        <v>0</v>
      </c>
      <c r="F21" s="150"/>
      <c r="G21" s="120"/>
      <c r="H21" s="148" t="str">
        <f>IFERROR(VLOOKUP(A21,Profils!$A$3:$G$38,6,FALSE),0)</f>
        <v>A407000009</v>
      </c>
      <c r="I21" s="63"/>
      <c r="K21" s="76">
        <f>IFERROR(C21*VLOOKUP(A21,Profils!$A$3:$D$38,4,FALSE),0)</f>
        <v>5.52</v>
      </c>
      <c r="L21" s="77"/>
      <c r="M21" s="78">
        <f>IF(B21=6.5,C21,0)</f>
        <v>2</v>
      </c>
      <c r="O21" s="64">
        <f>VLOOKUP(A21,logikal!$B$6:$C$36,2,FALSE)</f>
        <v>2</v>
      </c>
      <c r="P21" s="70" t="b">
        <f>ISNUMBER(A21)</f>
        <v>1</v>
      </c>
    </row>
    <row r="22" spans="1:16" s="64" customFormat="1" ht="9.9499999999999993" customHeight="1" x14ac:dyDescent="0.2">
      <c r="A22" s="142">
        <f>feuille1!D67</f>
        <v>300022</v>
      </c>
      <c r="B22" s="148">
        <f>IFERROR(VLOOKUP(A22,Profils!$A$3:$G$38,2,FALSE),0)</f>
        <v>6.5</v>
      </c>
      <c r="C22" s="119">
        <f>VLOOKUP(A22,feuille1!$D$66:$H$69,3,FALSE)</f>
        <v>1</v>
      </c>
      <c r="D22" s="190">
        <f>IFERROR(VLOOKUP(A22,feuille1!$D$66:$H$69,4,FALSE),0)</f>
        <v>0</v>
      </c>
      <c r="E22" s="190">
        <f>IFERROR(VLOOKUP(A22,feuille1!$D$66:$H$69,5,FALSE),0)</f>
        <v>1</v>
      </c>
      <c r="F22" s="150"/>
      <c r="G22" s="120"/>
      <c r="H22" s="148" t="str">
        <f>IFERROR(VLOOKUP(A22,Profils!$A$3:$G$38,6,FALSE),0)</f>
        <v>A407000010</v>
      </c>
      <c r="I22" s="63"/>
      <c r="K22" s="79">
        <f>IFERROR(C22*VLOOKUP(A22,Profils!$A$3:$D$38,4,FALSE),0)</f>
        <v>2.76</v>
      </c>
      <c r="L22" s="80"/>
      <c r="M22" s="81">
        <f t="shared" ref="M22:M33" si="0">IF(B22=6.5,C22,0)</f>
        <v>1</v>
      </c>
      <c r="O22" s="64" t="e">
        <f>VLOOKUP(A22,logikal!$B$6:$C$36,2,FALSE)</f>
        <v>#N/A</v>
      </c>
      <c r="P22" s="70" t="b">
        <f t="shared" ref="P22:P51" si="1">ISNUMBER(A22)</f>
        <v>1</v>
      </c>
    </row>
    <row r="23" spans="1:16" s="64" customFormat="1" ht="9.9499999999999993" customHeight="1" x14ac:dyDescent="0.2">
      <c r="A23" s="142">
        <f>feuille1!D68</f>
        <v>0</v>
      </c>
      <c r="B23" s="148">
        <f>IFERROR(VLOOKUP(A23,Profils!$A$3:$G$38,2,FALSE),0)</f>
        <v>0</v>
      </c>
      <c r="C23" s="119">
        <f>VLOOKUP(A23,feuille1!$D$66:$H$69,3,FALSE)</f>
        <v>0</v>
      </c>
      <c r="D23" s="190">
        <f>IFERROR(VLOOKUP(A23,feuille1!$D$66:$H$69,4,FALSE),0)</f>
        <v>0</v>
      </c>
      <c r="E23" s="190">
        <f>IFERROR(VLOOKUP(A23,feuille1!$D$66:$H$69,5,FALSE),0)</f>
        <v>0</v>
      </c>
      <c r="F23" s="150"/>
      <c r="G23" s="120"/>
      <c r="H23" s="148">
        <f>IFERROR(VLOOKUP(A23,Profils!$A$3:$G$38,6,FALSE),0)</f>
        <v>0</v>
      </c>
      <c r="I23" s="63"/>
      <c r="K23" s="79">
        <f>IFERROR(C23*VLOOKUP(A23,Profils!$A$3:$D$38,4,FALSE),0)</f>
        <v>0</v>
      </c>
      <c r="L23" s="80"/>
      <c r="M23" s="81">
        <f t="shared" si="0"/>
        <v>0</v>
      </c>
      <c r="O23" s="64" t="e">
        <f>VLOOKUP(A23,logikal!$B$6:$C$36,2,FALSE)</f>
        <v>#N/A</v>
      </c>
      <c r="P23" s="70" t="b">
        <f t="shared" si="1"/>
        <v>1</v>
      </c>
    </row>
    <row r="24" spans="1:16" s="64" customFormat="1" ht="9.9499999999999993" customHeight="1" x14ac:dyDescent="0.2">
      <c r="A24" s="142">
        <f>feuille1!D69</f>
        <v>0</v>
      </c>
      <c r="B24" s="148">
        <f>IFERROR(VLOOKUP(A24,Profils!$A$3:$G$38,2,FALSE),0)</f>
        <v>0</v>
      </c>
      <c r="C24" s="119">
        <f>VLOOKUP(A24,feuille1!$D$66:$H$69,3,FALSE)</f>
        <v>0</v>
      </c>
      <c r="D24" s="190">
        <f>IFERROR(VLOOKUP(A24,feuille1!$D$66:$H$69,4,FALSE),0)</f>
        <v>0</v>
      </c>
      <c r="E24" s="190">
        <f>IFERROR(VLOOKUP(A24,feuille1!$D$66:$H$69,5,FALSE),0)</f>
        <v>0</v>
      </c>
      <c r="F24" s="150"/>
      <c r="G24" s="120"/>
      <c r="H24" s="148">
        <f>IFERROR(VLOOKUP(A24,Profils!$A$3:$G$38,6,FALSE),0)</f>
        <v>0</v>
      </c>
      <c r="I24" s="63"/>
      <c r="K24" s="79">
        <f>IFERROR(C24*VLOOKUP(A24,Profils!$A$3:$D$38,4,FALSE),0)</f>
        <v>0</v>
      </c>
      <c r="L24" s="80"/>
      <c r="M24" s="81">
        <f t="shared" si="0"/>
        <v>0</v>
      </c>
      <c r="O24" s="64" t="e">
        <f>VLOOKUP(A24,logikal!$B$6:$C$36,2,FALSE)</f>
        <v>#N/A</v>
      </c>
      <c r="P24" s="70" t="b">
        <f t="shared" si="1"/>
        <v>1</v>
      </c>
    </row>
    <row r="25" spans="1:16" s="64" customFormat="1" ht="9.9499999999999993" customHeight="1" x14ac:dyDescent="0.2">
      <c r="A25" s="142" t="str">
        <f>feuille1!C73</f>
        <v>SOCLE</v>
      </c>
      <c r="B25" s="148">
        <f>IFERROR(VLOOKUP(A25,Profils!$A$3:$G$38,2,FALSE),0)</f>
        <v>6</v>
      </c>
      <c r="C25" s="119">
        <f>IFERROR(VLOOKUP(A25,logikal!$B$6:$C$36,2,FALSE),0)</f>
        <v>1</v>
      </c>
      <c r="D25" s="190"/>
      <c r="E25" s="119"/>
      <c r="F25" s="150"/>
      <c r="G25" s="120"/>
      <c r="H25" s="148" t="str">
        <f>IFERROR(VLOOKUP(A25,Profils!$A$3:$G$38,6,FALSE),0)</f>
        <v>A407000002</v>
      </c>
      <c r="I25" s="63"/>
      <c r="K25" s="79">
        <f>IFERROR(C25*VLOOKUP(A25,Profils!$A$3:$D$38,4,FALSE),0)</f>
        <v>0.78</v>
      </c>
      <c r="L25" s="80"/>
      <c r="M25" s="81">
        <f t="shared" si="0"/>
        <v>0</v>
      </c>
      <c r="O25" s="64">
        <f>VLOOKUP(A25,logikal!$B$6:$C$36,2,FALSE)</f>
        <v>1</v>
      </c>
      <c r="P25" s="70" t="b">
        <f t="shared" si="1"/>
        <v>0</v>
      </c>
    </row>
    <row r="26" spans="1:16" s="64" customFormat="1" ht="9.9499999999999993" customHeight="1" x14ac:dyDescent="0.2">
      <c r="A26" s="142" t="str">
        <f>feuille1!C74</f>
        <v>P32</v>
      </c>
      <c r="B26" s="148">
        <f>IFERROR(VLOOKUP(A26,Profils!$A$3:$G$38,2,FALSE),0)</f>
        <v>6</v>
      </c>
      <c r="C26" s="119">
        <f>IFERROR(VLOOKUP(A26,logikal!$B$6:$C$36,2,FALSE),0)</f>
        <v>2</v>
      </c>
      <c r="D26" s="190"/>
      <c r="E26" s="119"/>
      <c r="F26" s="150"/>
      <c r="G26" s="120"/>
      <c r="H26" s="148" t="str">
        <f>IFERROR(VLOOKUP(A26,Profils!$A$3:$G$38,6,FALSE),0)</f>
        <v>A407000003</v>
      </c>
      <c r="I26" s="63"/>
      <c r="K26" s="79">
        <f>IFERROR(C26*VLOOKUP(A26,Profils!$A$3:$D$38,4,FALSE),0)</f>
        <v>1.78</v>
      </c>
      <c r="L26" s="80"/>
      <c r="M26" s="81">
        <f t="shared" si="0"/>
        <v>0</v>
      </c>
      <c r="O26" s="64">
        <f>VLOOKUP(A26,logikal!$B$6:$C$36,2,FALSE)</f>
        <v>2</v>
      </c>
      <c r="P26" s="70" t="b">
        <f t="shared" si="1"/>
        <v>0</v>
      </c>
    </row>
    <row r="27" spans="1:16" s="64" customFormat="1" ht="9.9499999999999993" customHeight="1" x14ac:dyDescent="0.2">
      <c r="A27" s="142" t="str">
        <f>feuille1!C75</f>
        <v>P15</v>
      </c>
      <c r="B27" s="148">
        <f>IFERROR(VLOOKUP(A27,Profils!$A$3:$G$38,2,FALSE),0)</f>
        <v>6</v>
      </c>
      <c r="C27" s="119">
        <f>IFERROR(VLOOKUP(A27,logikal!$B$6:$C$36,2,FALSE),0)</f>
        <v>16</v>
      </c>
      <c r="D27" s="190"/>
      <c r="E27" s="119"/>
      <c r="F27" s="150"/>
      <c r="G27" s="120"/>
      <c r="H27" s="148" t="str">
        <f>IFERROR(VLOOKUP(A27,Profils!$A$3:$G$38,6,FALSE),0)</f>
        <v>A407000005</v>
      </c>
      <c r="I27" s="63"/>
      <c r="K27" s="79">
        <f>IFERROR(C27*VLOOKUP(A27,Profils!$A$3:$D$38,4,FALSE),0)</f>
        <v>12.48</v>
      </c>
      <c r="L27" s="80"/>
      <c r="M27" s="81">
        <f t="shared" si="0"/>
        <v>0</v>
      </c>
      <c r="O27" s="64">
        <f>VLOOKUP(A27,logikal!$B$6:$C$36,2,FALSE)</f>
        <v>16</v>
      </c>
      <c r="P27" s="70" t="b">
        <f t="shared" si="1"/>
        <v>0</v>
      </c>
    </row>
    <row r="28" spans="1:16" s="64" customFormat="1" ht="9.9499999999999993" customHeight="1" x14ac:dyDescent="0.2">
      <c r="A28" s="142">
        <f>feuille1!C76</f>
        <v>300018</v>
      </c>
      <c r="B28" s="148">
        <f>IFERROR(VLOOKUP(A28,Profils!$A$3:$G$38,2,FALSE),0)</f>
        <v>6.5</v>
      </c>
      <c r="C28" s="119">
        <f>IFERROR(VLOOKUP(A28,logikal!$B$6:$C$36,2,FALSE),0)</f>
        <v>1</v>
      </c>
      <c r="D28" s="190"/>
      <c r="E28" s="119"/>
      <c r="F28" s="150"/>
      <c r="G28" s="120"/>
      <c r="H28" s="148" t="str">
        <f>IFERROR(VLOOKUP(A28,Profils!$A$3:$G$38,6,FALSE),0)</f>
        <v>A407000006</v>
      </c>
      <c r="I28" s="63"/>
      <c r="K28" s="79">
        <f>IFERROR(C28*VLOOKUP(A28,Profils!$A$3:$D$38,4,FALSE),0)</f>
        <v>2.67</v>
      </c>
      <c r="L28" s="80"/>
      <c r="M28" s="81">
        <f t="shared" si="0"/>
        <v>1</v>
      </c>
      <c r="O28" s="64">
        <f>VLOOKUP(A28,logikal!$B$6:$C$36,2,FALSE)</f>
        <v>1</v>
      </c>
      <c r="P28" s="70" t="b">
        <f t="shared" si="1"/>
        <v>1</v>
      </c>
    </row>
    <row r="29" spans="1:16" s="64" customFormat="1" ht="9.9499999999999993" customHeight="1" x14ac:dyDescent="0.2">
      <c r="A29" s="142">
        <f>feuille1!C77</f>
        <v>0</v>
      </c>
      <c r="B29" s="148">
        <f>IFERROR(VLOOKUP(A29,Profils!$A$3:$G$38,2,FALSE),0)</f>
        <v>0</v>
      </c>
      <c r="C29" s="119">
        <f>IFERROR(VLOOKUP(A29,logikal!$B$6:$C$36,2,FALSE),0)</f>
        <v>0</v>
      </c>
      <c r="D29" s="190"/>
      <c r="E29" s="119"/>
      <c r="F29" s="150"/>
      <c r="G29" s="120"/>
      <c r="H29" s="148">
        <f>IFERROR(VLOOKUP(A29,Profils!$A$3:$G$38,6,FALSE),0)</f>
        <v>0</v>
      </c>
      <c r="I29" s="63"/>
      <c r="K29" s="79">
        <f>IFERROR(C29*VLOOKUP(A29,Profils!$A$3:$D$38,4,FALSE),0)</f>
        <v>0</v>
      </c>
      <c r="L29" s="80"/>
      <c r="M29" s="81">
        <f t="shared" si="0"/>
        <v>0</v>
      </c>
      <c r="O29" s="64" t="e">
        <f>VLOOKUP(A29,logikal!$B$6:$C$36,2,FALSE)</f>
        <v>#N/A</v>
      </c>
      <c r="P29" s="70" t="b">
        <f t="shared" si="1"/>
        <v>1</v>
      </c>
    </row>
    <row r="30" spans="1:16" s="64" customFormat="1" ht="9.9499999999999993" customHeight="1" x14ac:dyDescent="0.2">
      <c r="A30" s="142">
        <f>feuille1!C78</f>
        <v>0</v>
      </c>
      <c r="B30" s="148">
        <f>IFERROR(VLOOKUP(A30,Profils!$A$3:$G$38,2,FALSE),0)</f>
        <v>0</v>
      </c>
      <c r="C30" s="119">
        <f>IFERROR(VLOOKUP(A30,logikal!$B$6:$C$36,2,FALSE),0)</f>
        <v>0</v>
      </c>
      <c r="D30" s="190"/>
      <c r="E30" s="119"/>
      <c r="F30" s="150"/>
      <c r="G30" s="120"/>
      <c r="H30" s="148">
        <f>IFERROR(VLOOKUP(A30,Profils!$A$3:$G$38,6,FALSE),0)</f>
        <v>0</v>
      </c>
      <c r="I30" s="63"/>
      <c r="K30" s="79">
        <f>IFERROR(C30*VLOOKUP(A30,Profils!$A$3:$D$38,4,FALSE),0)</f>
        <v>0</v>
      </c>
      <c r="L30" s="80"/>
      <c r="M30" s="81">
        <f t="shared" si="0"/>
        <v>0</v>
      </c>
      <c r="O30" s="64" t="e">
        <f>VLOOKUP(A30,logikal!$B$6:$C$36,2,FALSE)</f>
        <v>#N/A</v>
      </c>
      <c r="P30" s="70" t="b">
        <f t="shared" si="1"/>
        <v>1</v>
      </c>
    </row>
    <row r="31" spans="1:16" s="64" customFormat="1" ht="9.9499999999999993" customHeight="1" x14ac:dyDescent="0.2">
      <c r="A31" s="142">
        <f>feuille1!C79</f>
        <v>0</v>
      </c>
      <c r="B31" s="148">
        <f>IFERROR(VLOOKUP(A31,Profils!$A$3:$G$38,2,FALSE),0)</f>
        <v>0</v>
      </c>
      <c r="C31" s="119">
        <f>IFERROR(VLOOKUP(A31,logikal!$B$6:$C$36,2,FALSE),0)</f>
        <v>0</v>
      </c>
      <c r="D31" s="190"/>
      <c r="E31" s="119"/>
      <c r="F31" s="150"/>
      <c r="G31" s="120"/>
      <c r="H31" s="148">
        <f>IFERROR(VLOOKUP(A31,Profils!$A$3:$G$38,6,FALSE),0)</f>
        <v>0</v>
      </c>
      <c r="I31" s="63"/>
      <c r="K31" s="79">
        <f>IFERROR(C31*VLOOKUP(A31,Profils!$A$3:$D$38,4,FALSE),0)</f>
        <v>0</v>
      </c>
      <c r="L31" s="80"/>
      <c r="M31" s="81">
        <f t="shared" si="0"/>
        <v>0</v>
      </c>
      <c r="O31" s="64" t="e">
        <f>VLOOKUP(A31,logikal!$B$6:$C$36,2,FALSE)</f>
        <v>#N/A</v>
      </c>
      <c r="P31" s="70" t="b">
        <f t="shared" si="1"/>
        <v>1</v>
      </c>
    </row>
    <row r="32" spans="1:16" s="64" customFormat="1" ht="9.9499999999999993" customHeight="1" x14ac:dyDescent="0.2">
      <c r="A32" s="142">
        <f>feuille1!C80</f>
        <v>400019</v>
      </c>
      <c r="B32" s="148">
        <f>IFERROR(VLOOKUP(A32,Profils!$A$3:$G$38,2,FALSE),0)</f>
        <v>6.5</v>
      </c>
      <c r="C32" s="119">
        <f>IFERROR(VLOOKUP(A32,logikal!$B$6:$C$36,2,FALSE),0)</f>
        <v>14</v>
      </c>
      <c r="D32" s="190"/>
      <c r="E32" s="119"/>
      <c r="F32" s="150"/>
      <c r="G32" s="120"/>
      <c r="H32" s="148" t="str">
        <f>IFERROR(VLOOKUP(A32,Profils!$A$3:$G$38,6,FALSE),0)</f>
        <v>A407000019</v>
      </c>
      <c r="I32" s="63"/>
      <c r="K32" s="79">
        <f>IFERROR(C32*VLOOKUP(A32,Profils!$A$3:$D$38,4,FALSE),0)</f>
        <v>37.519999999999996</v>
      </c>
      <c r="L32" s="80"/>
      <c r="M32" s="81">
        <f t="shared" si="0"/>
        <v>14</v>
      </c>
      <c r="O32" s="64">
        <f>VLOOKUP(A32,logikal!$B$6:$C$36,2,FALSE)</f>
        <v>14</v>
      </c>
      <c r="P32" s="70" t="b">
        <f t="shared" si="1"/>
        <v>1</v>
      </c>
    </row>
    <row r="33" spans="1:16" s="64" customFormat="1" ht="9.9499999999999993" customHeight="1" x14ac:dyDescent="0.2">
      <c r="A33" s="142">
        <f>feuille1!C81</f>
        <v>400020</v>
      </c>
      <c r="B33" s="148">
        <f>IFERROR(VLOOKUP(A33,Profils!$A$3:$G$38,2,FALSE),0)</f>
        <v>6.5</v>
      </c>
      <c r="C33" s="119">
        <f>IFERROR(VLOOKUP(A33,logikal!$B$6:$C$36,2,FALSE),0)</f>
        <v>1</v>
      </c>
      <c r="D33" s="190"/>
      <c r="E33" s="119"/>
      <c r="F33" s="150"/>
      <c r="G33" s="120"/>
      <c r="H33" s="148" t="str">
        <f>IFERROR(VLOOKUP(A33,Profils!$A$3:$G$38,6,FALSE),0)</f>
        <v>A407000020</v>
      </c>
      <c r="I33" s="63"/>
      <c r="K33" s="79">
        <f>IFERROR(C33*VLOOKUP(A33,Profils!$A$3:$D$38,4,FALSE),0)</f>
        <v>2.7699999999999996</v>
      </c>
      <c r="L33" s="80"/>
      <c r="M33" s="81">
        <f t="shared" si="0"/>
        <v>1</v>
      </c>
      <c r="O33" s="64">
        <f>VLOOKUP(A33,logikal!$B$6:$C$36,2,FALSE)</f>
        <v>1</v>
      </c>
      <c r="P33" s="70" t="b">
        <f t="shared" si="1"/>
        <v>1</v>
      </c>
    </row>
    <row r="34" spans="1:16" s="64" customFormat="1" ht="9.9499999999999993" customHeight="1" x14ac:dyDescent="0.2">
      <c r="A34" s="142">
        <f>feuille1!C82</f>
        <v>0</v>
      </c>
      <c r="B34" s="148">
        <f>IFERROR(VLOOKUP(A34,Profils!$A$3:$G$38,2,FALSE),0)</f>
        <v>0</v>
      </c>
      <c r="C34" s="119">
        <f>IFERROR(VLOOKUP(A34,logikal!$B$6:$C$36,2,FALSE),0)</f>
        <v>0</v>
      </c>
      <c r="D34" s="190"/>
      <c r="E34" s="119"/>
      <c r="F34" s="150"/>
      <c r="G34" s="120"/>
      <c r="H34" s="148">
        <f>IFERROR(VLOOKUP(A34,Profils!$A$3:$G$38,6,FALSE),0)</f>
        <v>0</v>
      </c>
      <c r="I34" s="63"/>
      <c r="K34" s="79">
        <f>IFERROR(C34*VLOOKUP(A34,Profils!$A$3:$D$38,4,FALSE),0)</f>
        <v>0</v>
      </c>
      <c r="L34" s="80"/>
      <c r="M34" s="81">
        <f>IF(B34=6.5,C34,0)</f>
        <v>0</v>
      </c>
      <c r="O34" s="64" t="e">
        <f>VLOOKUP(A34,logikal!$B$6:$C$36,2,FALSE)</f>
        <v>#N/A</v>
      </c>
      <c r="P34" s="70" t="b">
        <f t="shared" si="1"/>
        <v>1</v>
      </c>
    </row>
    <row r="35" spans="1:16" s="64" customFormat="1" ht="9.9499999999999993" customHeight="1" x14ac:dyDescent="0.2">
      <c r="A35" s="142">
        <f>feuille1!C83</f>
        <v>0</v>
      </c>
      <c r="B35" s="148">
        <f>IFERROR(VLOOKUP(A35,Profils!$A$3:$G$38,2,FALSE),0)</f>
        <v>0</v>
      </c>
      <c r="C35" s="119">
        <f>IFERROR(VLOOKUP(A35,logikal!$B$6:$C$36,2,FALSE),0)</f>
        <v>0</v>
      </c>
      <c r="D35" s="190"/>
      <c r="E35" s="119"/>
      <c r="F35" s="150"/>
      <c r="G35" s="120"/>
      <c r="H35" s="148">
        <f>IFERROR(VLOOKUP(A35,Profils!$A$3:$G$38,6,FALSE),0)</f>
        <v>0</v>
      </c>
      <c r="I35" s="63"/>
      <c r="K35" s="79">
        <f>IFERROR(C35*VLOOKUP(A35,Profils!$A$3:$D$38,4,FALSE),0)</f>
        <v>0</v>
      </c>
      <c r="L35" s="80"/>
      <c r="M35" s="81">
        <f t="shared" ref="M35:M51" si="2">IF(B35=6.5,C35,0)</f>
        <v>0</v>
      </c>
      <c r="O35" s="64" t="e">
        <f>VLOOKUP(A35,logikal!$B$6:$C$36,2,FALSE)</f>
        <v>#N/A</v>
      </c>
      <c r="P35" s="70" t="b">
        <f t="shared" si="1"/>
        <v>1</v>
      </c>
    </row>
    <row r="36" spans="1:16" s="64" customFormat="1" ht="9.9499999999999993" customHeight="1" x14ac:dyDescent="0.2">
      <c r="A36" s="142">
        <f>feuille1!C84</f>
        <v>0</v>
      </c>
      <c r="B36" s="148">
        <f>IFERROR(VLOOKUP(A36,Profils!$A$3:$G$38,2,FALSE),0)</f>
        <v>0</v>
      </c>
      <c r="C36" s="119">
        <f>IFERROR(VLOOKUP(A36,logikal!$B$6:$C$36,2,FALSE),0)</f>
        <v>0</v>
      </c>
      <c r="D36" s="190"/>
      <c r="E36" s="119"/>
      <c r="F36" s="150"/>
      <c r="G36" s="120"/>
      <c r="H36" s="148">
        <f>IFERROR(VLOOKUP(A36,Profils!$A$3:$G$38,6,FALSE),0)</f>
        <v>0</v>
      </c>
      <c r="I36" s="63"/>
      <c r="K36" s="79">
        <f>IFERROR(C36*VLOOKUP(A36,Profils!$A$3:$D$38,4,FALSE),0)</f>
        <v>0</v>
      </c>
      <c r="L36" s="80"/>
      <c r="M36" s="81">
        <f t="shared" si="2"/>
        <v>0</v>
      </c>
      <c r="O36" s="64" t="e">
        <f>VLOOKUP(A36,logikal!$B$6:$C$36,2,FALSE)</f>
        <v>#N/A</v>
      </c>
      <c r="P36" s="70" t="b">
        <f t="shared" si="1"/>
        <v>1</v>
      </c>
    </row>
    <row r="37" spans="1:16" s="64" customFormat="1" ht="9.9499999999999993" customHeight="1" x14ac:dyDescent="0.2">
      <c r="A37" s="142">
        <f>feuille1!C85</f>
        <v>0</v>
      </c>
      <c r="B37" s="148">
        <f>IFERROR(VLOOKUP(A37,Profils!$A$3:$G$38,2,FALSE),0)</f>
        <v>0</v>
      </c>
      <c r="C37" s="119">
        <f>IFERROR(VLOOKUP(A37,logikal!$B$6:$C$36,2,FALSE),0)</f>
        <v>0</v>
      </c>
      <c r="D37" s="190"/>
      <c r="E37" s="119"/>
      <c r="F37" s="150"/>
      <c r="G37" s="120"/>
      <c r="H37" s="148">
        <f>IFERROR(VLOOKUP(A37,Profils!$A$3:$G$38,6,FALSE),0)</f>
        <v>0</v>
      </c>
      <c r="I37" s="63"/>
      <c r="K37" s="79">
        <f>IFERROR(C37*VLOOKUP(A37,Profils!$A$3:$D$38,4,FALSE),0)</f>
        <v>0</v>
      </c>
      <c r="L37" s="80"/>
      <c r="M37" s="81">
        <f t="shared" si="2"/>
        <v>0</v>
      </c>
      <c r="O37" s="64" t="e">
        <f>VLOOKUP(A37,logikal!$B$6:$C$36,2,FALSE)</f>
        <v>#N/A</v>
      </c>
      <c r="P37" s="70" t="b">
        <f t="shared" si="1"/>
        <v>1</v>
      </c>
    </row>
    <row r="38" spans="1:16" s="64" customFormat="1" ht="9.9499999999999993" customHeight="1" x14ac:dyDescent="0.2">
      <c r="A38" s="142">
        <f>feuille1!C86</f>
        <v>0</v>
      </c>
      <c r="B38" s="148">
        <f>IFERROR(VLOOKUP(A38,Profils!$A$3:$G$38,2,FALSE),0)</f>
        <v>0</v>
      </c>
      <c r="C38" s="119">
        <f>IFERROR(VLOOKUP(A38,logikal!$B$6:$C$36,2,FALSE),0)</f>
        <v>0</v>
      </c>
      <c r="D38" s="190"/>
      <c r="E38" s="119"/>
      <c r="F38" s="150"/>
      <c r="G38" s="120"/>
      <c r="H38" s="148">
        <f>IFERROR(VLOOKUP(A38,Profils!$A$3:$G$38,6,FALSE),0)</f>
        <v>0</v>
      </c>
      <c r="I38" s="63"/>
      <c r="K38" s="79">
        <f>IFERROR(C38*VLOOKUP(A38,Profils!$A$3:$D$38,4,FALSE),0)</f>
        <v>0</v>
      </c>
      <c r="L38" s="80"/>
      <c r="M38" s="81">
        <f t="shared" si="2"/>
        <v>0</v>
      </c>
      <c r="O38" s="64" t="e">
        <f>VLOOKUP(A38,logikal!$B$6:$C$36,2,FALSE)</f>
        <v>#N/A</v>
      </c>
      <c r="P38" s="70" t="b">
        <f t="shared" si="1"/>
        <v>1</v>
      </c>
    </row>
    <row r="39" spans="1:16" s="64" customFormat="1" ht="9.9499999999999993" customHeight="1" x14ac:dyDescent="0.2">
      <c r="A39" s="142">
        <f>feuille1!C87</f>
        <v>0</v>
      </c>
      <c r="B39" s="148">
        <f>IFERROR(VLOOKUP(A39,Profils!$A$3:$G$38,2,FALSE),0)</f>
        <v>0</v>
      </c>
      <c r="C39" s="119">
        <f>IFERROR(VLOOKUP(A39,logikal!$B$6:$C$36,2,FALSE),0)</f>
        <v>0</v>
      </c>
      <c r="D39" s="190"/>
      <c r="E39" s="119"/>
      <c r="F39" s="150"/>
      <c r="G39" s="120"/>
      <c r="H39" s="148">
        <f>IFERROR(VLOOKUP(A39,Profils!$A$3:$G$38,6,FALSE),0)</f>
        <v>0</v>
      </c>
      <c r="I39" s="63"/>
      <c r="K39" s="79">
        <f>IFERROR(C39*VLOOKUP(A39,Profils!$A$3:$D$38,4,FALSE),0)</f>
        <v>0</v>
      </c>
      <c r="L39" s="80"/>
      <c r="M39" s="81">
        <f t="shared" si="2"/>
        <v>0</v>
      </c>
      <c r="O39" s="64" t="e">
        <f>VLOOKUP(A39,logikal!$B$6:$C$36,2,FALSE)</f>
        <v>#N/A</v>
      </c>
      <c r="P39" s="70" t="b">
        <f t="shared" si="1"/>
        <v>1</v>
      </c>
    </row>
    <row r="40" spans="1:16" s="64" customFormat="1" ht="9.9499999999999993" customHeight="1" x14ac:dyDescent="0.2">
      <c r="A40" s="142">
        <f>feuille1!C88</f>
        <v>0</v>
      </c>
      <c r="B40" s="148">
        <f>IFERROR(VLOOKUP(A40,Profils!$A$3:$G$38,2,FALSE),0)</f>
        <v>0</v>
      </c>
      <c r="C40" s="119">
        <f>IFERROR(VLOOKUP(A40,logikal!$B$6:$C$36,2,FALSE),0)</f>
        <v>0</v>
      </c>
      <c r="D40" s="190"/>
      <c r="E40" s="119"/>
      <c r="F40" s="150"/>
      <c r="G40" s="120"/>
      <c r="H40" s="148">
        <f>IFERROR(VLOOKUP(A40,Profils!$A$3:$G$38,6,FALSE),0)</f>
        <v>0</v>
      </c>
      <c r="I40" s="63"/>
      <c r="K40" s="79">
        <f>IFERROR(C40*VLOOKUP(A40,Profils!$A$3:$D$38,4,FALSE),0)</f>
        <v>0</v>
      </c>
      <c r="L40" s="80"/>
      <c r="M40" s="81">
        <f t="shared" si="2"/>
        <v>0</v>
      </c>
      <c r="O40" s="64" t="e">
        <f>VLOOKUP(A40,logikal!$B$6:$C$36,2,FALSE)</f>
        <v>#N/A</v>
      </c>
      <c r="P40" s="70" t="b">
        <f t="shared" si="1"/>
        <v>1</v>
      </c>
    </row>
    <row r="41" spans="1:16" s="64" customFormat="1" ht="9.9499999999999993" customHeight="1" x14ac:dyDescent="0.2">
      <c r="A41" s="142">
        <f>feuille1!C89</f>
        <v>0</v>
      </c>
      <c r="B41" s="148">
        <f>IFERROR(VLOOKUP(A41,Profils!$A$3:$G$38,2,FALSE),0)</f>
        <v>0</v>
      </c>
      <c r="C41" s="119">
        <f>IFERROR(VLOOKUP(A41,logikal!$B$6:$C$36,2,FALSE),0)</f>
        <v>0</v>
      </c>
      <c r="D41" s="190"/>
      <c r="E41" s="119"/>
      <c r="F41" s="150"/>
      <c r="G41" s="120"/>
      <c r="H41" s="148">
        <f>IFERROR(VLOOKUP(A41,Profils!$A$3:$G$38,6,FALSE),0)</f>
        <v>0</v>
      </c>
      <c r="I41" s="63"/>
      <c r="K41" s="79">
        <f>IFERROR(C41*VLOOKUP(A41,Profils!$A$3:$D$38,4,FALSE),0)</f>
        <v>0</v>
      </c>
      <c r="L41" s="80"/>
      <c r="M41" s="81">
        <f t="shared" si="2"/>
        <v>0</v>
      </c>
      <c r="O41" s="64" t="e">
        <f>VLOOKUP(A41,logikal!$B$6:$C$36,2,FALSE)</f>
        <v>#N/A</v>
      </c>
      <c r="P41" s="70" t="b">
        <f t="shared" si="1"/>
        <v>1</v>
      </c>
    </row>
    <row r="42" spans="1:16" s="64" customFormat="1" ht="9.9499999999999993" customHeight="1" x14ac:dyDescent="0.2">
      <c r="A42" s="142">
        <f>feuille1!C90</f>
        <v>0</v>
      </c>
      <c r="B42" s="148">
        <f>IFERROR(VLOOKUP(A42,Profils!$A$3:$G$38,2,FALSE),0)</f>
        <v>0</v>
      </c>
      <c r="C42" s="119">
        <f>IFERROR(VLOOKUP(A42,logikal!$B$6:$C$36,2,FALSE),0)</f>
        <v>0</v>
      </c>
      <c r="D42" s="190"/>
      <c r="E42" s="119"/>
      <c r="F42" s="150"/>
      <c r="G42" s="120"/>
      <c r="H42" s="148">
        <f>IFERROR(VLOOKUP(A42,Profils!$A$3:$G$38,6,FALSE),0)</f>
        <v>0</v>
      </c>
      <c r="I42" s="63"/>
      <c r="K42" s="79">
        <f>IFERROR(C42*VLOOKUP(A42,Profils!$A$3:$D$38,4,FALSE),0)</f>
        <v>0</v>
      </c>
      <c r="L42" s="80"/>
      <c r="M42" s="81">
        <f t="shared" si="2"/>
        <v>0</v>
      </c>
      <c r="O42" s="64" t="e">
        <f>VLOOKUP(A42,logikal!$B$6:$C$36,2,FALSE)</f>
        <v>#N/A</v>
      </c>
      <c r="P42" s="70" t="b">
        <f t="shared" si="1"/>
        <v>1</v>
      </c>
    </row>
    <row r="43" spans="1:16" s="64" customFormat="1" ht="9.9499999999999993" customHeight="1" x14ac:dyDescent="0.2">
      <c r="A43" s="142">
        <f>feuille1!C91</f>
        <v>0</v>
      </c>
      <c r="B43" s="148">
        <f>IFERROR(VLOOKUP(A43,Profils!$A$3:$G$38,2,FALSE),0)</f>
        <v>0</v>
      </c>
      <c r="C43" s="119">
        <f>IFERROR(VLOOKUP(A43,logikal!$B$6:$C$36,2,FALSE),0)</f>
        <v>0</v>
      </c>
      <c r="D43" s="190"/>
      <c r="E43" s="119"/>
      <c r="F43" s="150"/>
      <c r="G43" s="120"/>
      <c r="H43" s="148">
        <f>IFERROR(VLOOKUP(A43,Profils!$A$3:$G$38,6,FALSE),0)</f>
        <v>0</v>
      </c>
      <c r="I43" s="63"/>
      <c r="K43" s="79">
        <f>IFERROR(C43*VLOOKUP(A43,Profils!$A$3:$D$38,4,FALSE),0)</f>
        <v>0</v>
      </c>
      <c r="L43" s="80"/>
      <c r="M43" s="81">
        <f t="shared" si="2"/>
        <v>0</v>
      </c>
      <c r="O43" s="64" t="e">
        <f>VLOOKUP(A43,logikal!$B$6:$C$36,2,FALSE)</f>
        <v>#N/A</v>
      </c>
      <c r="P43" s="70" t="b">
        <f t="shared" si="1"/>
        <v>1</v>
      </c>
    </row>
    <row r="44" spans="1:16" s="64" customFormat="1" ht="9.9499999999999993" customHeight="1" x14ac:dyDescent="0.2">
      <c r="A44" s="142">
        <f>feuille1!C92</f>
        <v>0</v>
      </c>
      <c r="B44" s="148">
        <f>IFERROR(VLOOKUP(A44,Profils!$A$3:$G$38,2,FALSE),0)</f>
        <v>0</v>
      </c>
      <c r="C44" s="119">
        <f>IFERROR(VLOOKUP(A44,logikal!$B$6:$C$36,2,FALSE),0)</f>
        <v>0</v>
      </c>
      <c r="D44" s="190"/>
      <c r="E44" s="119"/>
      <c r="F44" s="150"/>
      <c r="G44" s="120"/>
      <c r="H44" s="148">
        <f>IFERROR(VLOOKUP(A44,Profils!$A$3:$G$38,6,FALSE),0)</f>
        <v>0</v>
      </c>
      <c r="I44" s="63"/>
      <c r="K44" s="79">
        <f>IFERROR(C44*VLOOKUP(A44,Profils!$A$3:$D$38,4,FALSE),0)</f>
        <v>0</v>
      </c>
      <c r="L44" s="80"/>
      <c r="M44" s="81">
        <f t="shared" si="2"/>
        <v>0</v>
      </c>
      <c r="O44" s="64" t="e">
        <f>VLOOKUP(A44,logikal!$B$6:$C$36,2,FALSE)</f>
        <v>#N/A</v>
      </c>
      <c r="P44" s="70" t="b">
        <f t="shared" si="1"/>
        <v>1</v>
      </c>
    </row>
    <row r="45" spans="1:16" s="64" customFormat="1" ht="9.9499999999999993" customHeight="1" x14ac:dyDescent="0.2">
      <c r="A45" s="142">
        <f>feuille1!C93</f>
        <v>0</v>
      </c>
      <c r="B45" s="148">
        <f>IFERROR(VLOOKUP(A45,Profils!$A$3:$G$38,2,FALSE),0)</f>
        <v>0</v>
      </c>
      <c r="C45" s="119">
        <f>IFERROR(VLOOKUP(A45,logikal!$B$6:$C$36,2,FALSE),0)</f>
        <v>0</v>
      </c>
      <c r="D45" s="190"/>
      <c r="E45" s="119"/>
      <c r="F45" s="150"/>
      <c r="G45" s="120"/>
      <c r="H45" s="148">
        <f>IFERROR(VLOOKUP(A45,Profils!$A$3:$G$38,6,FALSE),0)</f>
        <v>0</v>
      </c>
      <c r="I45" s="63"/>
      <c r="K45" s="79">
        <f>IFERROR(C45*VLOOKUP(A45,Profils!$A$3:$D$38,4,FALSE),0)</f>
        <v>0</v>
      </c>
      <c r="L45" s="80"/>
      <c r="M45" s="81">
        <f t="shared" si="2"/>
        <v>0</v>
      </c>
      <c r="O45" s="64" t="e">
        <f>VLOOKUP(A45,logikal!$B$6:$C$36,2,FALSE)</f>
        <v>#N/A</v>
      </c>
      <c r="P45" s="70" t="b">
        <f t="shared" si="1"/>
        <v>1</v>
      </c>
    </row>
    <row r="46" spans="1:16" s="64" customFormat="1" ht="9.9499999999999993" customHeight="1" x14ac:dyDescent="0.2">
      <c r="A46" s="142">
        <f>feuille1!C94</f>
        <v>0</v>
      </c>
      <c r="B46" s="148">
        <f>IFERROR(VLOOKUP(A46,Profils!$A$3:$G$38,2,FALSE),0)</f>
        <v>0</v>
      </c>
      <c r="C46" s="119">
        <f>IFERROR(VLOOKUP(A46,logikal!$B$6:$C$36,2,FALSE),0)</f>
        <v>0</v>
      </c>
      <c r="D46" s="190"/>
      <c r="E46" s="119"/>
      <c r="F46" s="150"/>
      <c r="G46" s="120"/>
      <c r="H46" s="148">
        <f>IFERROR(VLOOKUP(A46,Profils!$A$3:$G$38,6,FALSE),0)</f>
        <v>0</v>
      </c>
      <c r="I46" s="63"/>
      <c r="K46" s="79">
        <f>IFERROR(C46*VLOOKUP(A46,Profils!$A$3:$D$38,4,FALSE),0)</f>
        <v>0</v>
      </c>
      <c r="L46" s="80"/>
      <c r="M46" s="81">
        <f t="shared" si="2"/>
        <v>0</v>
      </c>
      <c r="O46" s="64" t="e">
        <f>VLOOKUP(A46,logikal!$B$6:$C$36,2,FALSE)</f>
        <v>#N/A</v>
      </c>
      <c r="P46" s="70" t="b">
        <f t="shared" si="1"/>
        <v>1</v>
      </c>
    </row>
    <row r="47" spans="1:16" ht="9.9499999999999993" customHeight="1" x14ac:dyDescent="0.25">
      <c r="A47" s="142">
        <f>feuille1!C95</f>
        <v>0</v>
      </c>
      <c r="B47" s="148">
        <f>IFERROR(VLOOKUP(A47,Profils!$A$3:$G$38,2,FALSE),0)</f>
        <v>0</v>
      </c>
      <c r="C47" s="119">
        <f>IFERROR(VLOOKUP(A47,logikal!$B$6:$C$36,2,FALSE),0)</f>
        <v>0</v>
      </c>
      <c r="D47" s="191"/>
      <c r="E47" s="193"/>
      <c r="F47" s="153"/>
      <c r="G47" s="122"/>
      <c r="H47" s="148">
        <f>IFERROR(VLOOKUP(A47,Profils!$A$3:$G$38,6,FALSE),0)</f>
        <v>0</v>
      </c>
      <c r="I47"/>
      <c r="J47" s="64"/>
      <c r="K47" s="79">
        <f>IFERROR(C47*VLOOKUP(A47,Profils!$A$3:$D$38,4,FALSE),0)</f>
        <v>0</v>
      </c>
      <c r="L47" s="80"/>
      <c r="M47" s="81">
        <f t="shared" si="2"/>
        <v>0</v>
      </c>
      <c r="O47" s="64" t="e">
        <f>VLOOKUP(A47,logikal!$B$6:$C$36,2,FALSE)</f>
        <v>#N/A</v>
      </c>
      <c r="P47" s="70" t="b">
        <f t="shared" si="1"/>
        <v>1</v>
      </c>
    </row>
    <row r="48" spans="1:16" ht="9.9499999999999993" customHeight="1" x14ac:dyDescent="0.25">
      <c r="A48" s="142">
        <f>feuille1!C96</f>
        <v>0</v>
      </c>
      <c r="B48" s="148">
        <f>IFERROR(VLOOKUP(A48,Profils!$A$3:$G$38,2,FALSE),0)</f>
        <v>0</v>
      </c>
      <c r="C48" s="119">
        <f>IFERROR(VLOOKUP(A48,logikal!$B$6:$C$36,2,FALSE),0)</f>
        <v>0</v>
      </c>
      <c r="D48" s="191"/>
      <c r="E48" s="194"/>
      <c r="F48" s="151"/>
      <c r="G48" s="121"/>
      <c r="H48" s="148">
        <f>IFERROR(VLOOKUP(A48,Profils!$A$3:$G$38,6,FALSE),0)</f>
        <v>0</v>
      </c>
      <c r="I48"/>
      <c r="J48" s="64"/>
      <c r="K48" s="79">
        <f>IFERROR(C48*VLOOKUP(A48,Profils!$A$3:$D$38,4,FALSE),0)</f>
        <v>0</v>
      </c>
      <c r="L48" s="80"/>
      <c r="M48" s="81">
        <f t="shared" si="2"/>
        <v>0</v>
      </c>
      <c r="O48" s="64" t="e">
        <f>VLOOKUP(A48,logikal!$B$6:$C$36,2,FALSE)</f>
        <v>#N/A</v>
      </c>
      <c r="P48" s="70" t="b">
        <f t="shared" si="1"/>
        <v>1</v>
      </c>
    </row>
    <row r="49" spans="1:16" s="64" customFormat="1" ht="9.9499999999999993" customHeight="1" x14ac:dyDescent="0.2">
      <c r="A49" s="142">
        <f>feuille1!C97</f>
        <v>0</v>
      </c>
      <c r="B49" s="148">
        <f>IFERROR(VLOOKUP(A49,Profils!$A$3:$G$38,2,FALSE),0)</f>
        <v>0</v>
      </c>
      <c r="C49" s="119">
        <f>IFERROR(VLOOKUP(A49,logikal!$B$6:$C$36,2,FALSE),0)</f>
        <v>0</v>
      </c>
      <c r="D49" s="190"/>
      <c r="E49" s="119"/>
      <c r="F49" s="150"/>
      <c r="G49" s="120"/>
      <c r="H49" s="148">
        <f>IFERROR(VLOOKUP(A49,Profils!$A$3:$G$38,6,FALSE),0)</f>
        <v>0</v>
      </c>
      <c r="I49" s="63"/>
      <c r="K49" s="79">
        <f>IFERROR(C49*VLOOKUP(A49,Profils!$A$3:$D$38,4,FALSE),0)</f>
        <v>0</v>
      </c>
      <c r="L49" s="80"/>
      <c r="M49" s="81">
        <f t="shared" si="2"/>
        <v>0</v>
      </c>
      <c r="O49" s="64" t="e">
        <f>VLOOKUP(A49,logikal!$B$6:$C$36,2,FALSE)</f>
        <v>#N/A</v>
      </c>
      <c r="P49" s="70" t="b">
        <f t="shared" si="1"/>
        <v>1</v>
      </c>
    </row>
    <row r="50" spans="1:16" s="64" customFormat="1" ht="9.9499999999999993" customHeight="1" x14ac:dyDescent="0.2">
      <c r="A50" s="142">
        <f>feuille1!C98</f>
        <v>0</v>
      </c>
      <c r="B50" s="148">
        <f>IFERROR(VLOOKUP(A50,Profils!$A$3:$G$38,2,FALSE),0)</f>
        <v>0</v>
      </c>
      <c r="C50" s="119">
        <f>IFERROR(VLOOKUP(A50,logikal!$B$6:$C$36,2,FALSE),0)</f>
        <v>0</v>
      </c>
      <c r="D50" s="190"/>
      <c r="E50" s="119"/>
      <c r="F50" s="150"/>
      <c r="G50" s="120"/>
      <c r="H50" s="148">
        <f>IFERROR(VLOOKUP(A50,Profils!$A$3:$G$38,6,FALSE),0)</f>
        <v>0</v>
      </c>
      <c r="I50" s="63"/>
      <c r="K50" s="79">
        <f>IFERROR(C50*VLOOKUP(A50,Profils!$A$3:$D$38,4,FALSE),0)</f>
        <v>0</v>
      </c>
      <c r="L50" s="80"/>
      <c r="M50" s="81">
        <f t="shared" si="2"/>
        <v>0</v>
      </c>
      <c r="O50" s="64" t="e">
        <f>VLOOKUP(A50,logikal!$B$6:$C$36,2,FALSE)</f>
        <v>#N/A</v>
      </c>
      <c r="P50" s="70" t="b">
        <f t="shared" si="1"/>
        <v>1</v>
      </c>
    </row>
    <row r="51" spans="1:16" s="64" customFormat="1" ht="9.9499999999999993" customHeight="1" thickBot="1" x14ac:dyDescent="0.25">
      <c r="A51" s="143">
        <f>IFERROR(logikal!B36,0)</f>
        <v>0</v>
      </c>
      <c r="B51" s="149">
        <f>IFERROR(VLOOKUP(A51,Profils!$A$3:$G$38,2,FALSE),0)</f>
        <v>0</v>
      </c>
      <c r="C51" s="144">
        <f>IFERROR(VLOOKUP(A51,logikal!$B$6:$C$36,2,FALSE),0)</f>
        <v>0</v>
      </c>
      <c r="D51" s="192"/>
      <c r="E51" s="144"/>
      <c r="F51" s="152"/>
      <c r="G51" s="123"/>
      <c r="H51" s="149">
        <f>IFERROR(VLOOKUP(A51,Profils!$A$3:$G$38,6,FALSE),0)</f>
        <v>0</v>
      </c>
      <c r="I51" s="63"/>
      <c r="K51" s="79">
        <f>IFERROR(C51*VLOOKUP(A51,Profils!$A$3:$D$38,4,FALSE),0)</f>
        <v>0</v>
      </c>
      <c r="L51" s="80"/>
      <c r="M51" s="81">
        <f t="shared" si="2"/>
        <v>0</v>
      </c>
      <c r="O51" s="64" t="e">
        <f>VLOOKUP(A51,logikal!$B$6:$C$36,2,FALSE)</f>
        <v>#N/A</v>
      </c>
      <c r="P51" s="70" t="b">
        <f t="shared" si="1"/>
        <v>1</v>
      </c>
    </row>
    <row r="52" spans="1:16" s="64" customFormat="1" ht="9.9499999999999993" customHeight="1" thickBot="1" x14ac:dyDescent="0.25">
      <c r="A52" s="124"/>
      <c r="B52" s="125"/>
      <c r="C52" s="125"/>
      <c r="D52" s="125"/>
      <c r="E52" s="125"/>
      <c r="F52" s="125"/>
      <c r="G52" s="125"/>
      <c r="H52" s="125"/>
      <c r="I52" s="63"/>
      <c r="K52" s="82">
        <f>SUM(K21:K50)</f>
        <v>66.28</v>
      </c>
      <c r="L52" s="83"/>
      <c r="M52" s="84">
        <f>SUM(M21:M51)</f>
        <v>19</v>
      </c>
      <c r="N52" s="75" t="s">
        <v>463</v>
      </c>
    </row>
    <row r="53" spans="1:16" s="64" customFormat="1" ht="9.9499999999999993" customHeight="1" x14ac:dyDescent="0.2">
      <c r="A53" s="124"/>
      <c r="B53" s="125"/>
      <c r="C53" s="125"/>
      <c r="D53" s="125"/>
      <c r="E53" s="125"/>
      <c r="F53" s="125"/>
      <c r="G53" s="125"/>
      <c r="H53" s="125"/>
      <c r="I53" s="63"/>
      <c r="K53" s="65"/>
      <c r="L53" s="66"/>
      <c r="M53" s="67"/>
    </row>
    <row r="54" spans="1:16" s="64" customFormat="1" ht="9.9499999999999993" customHeight="1" x14ac:dyDescent="0.2">
      <c r="A54" s="126"/>
      <c r="B54" s="127"/>
      <c r="C54" s="128" t="s">
        <v>437</v>
      </c>
      <c r="D54" s="128" t="s">
        <v>438</v>
      </c>
      <c r="E54" s="125"/>
      <c r="F54" s="125"/>
      <c r="G54" s="125"/>
      <c r="H54" s="125"/>
      <c r="I54" s="63"/>
      <c r="K54" s="65"/>
      <c r="L54" s="66"/>
      <c r="M54" s="67"/>
    </row>
    <row r="55" spans="1:16" s="64" customFormat="1" ht="9.9499999999999993" customHeight="1" x14ac:dyDescent="0.2">
      <c r="A55" s="129" t="s">
        <v>427</v>
      </c>
      <c r="B55" s="130"/>
      <c r="C55" s="131">
        <f>K56+K57</f>
        <v>4</v>
      </c>
      <c r="D55" s="132">
        <f>2.35*C55</f>
        <v>9.4</v>
      </c>
      <c r="E55" s="125"/>
      <c r="F55" s="125"/>
      <c r="G55" s="125"/>
      <c r="H55" s="125"/>
      <c r="I55" s="63"/>
      <c r="K55" s="65"/>
      <c r="L55" s="66"/>
      <c r="M55" s="67"/>
    </row>
    <row r="56" spans="1:16" s="64" customFormat="1" ht="9.9499999999999993" customHeight="1" x14ac:dyDescent="0.2">
      <c r="A56" s="162" t="s">
        <v>473</v>
      </c>
      <c r="B56" s="163"/>
      <c r="C56" s="166">
        <v>0</v>
      </c>
      <c r="D56" s="164">
        <v>0</v>
      </c>
      <c r="E56" s="125"/>
      <c r="F56" s="125"/>
      <c r="G56" s="125"/>
      <c r="H56" s="125"/>
      <c r="I56" s="63"/>
      <c r="K56" s="65">
        <f>IFERROR(VLOOKUP(Profils!E38,logikal!A6:D41,3,FALSE),0)</f>
        <v>4</v>
      </c>
      <c r="L56" s="66"/>
      <c r="M56" s="67"/>
    </row>
    <row r="57" spans="1:16" s="64" customFormat="1" ht="9.9499999999999993" customHeight="1" x14ac:dyDescent="0.2">
      <c r="A57" s="133" t="s">
        <v>428</v>
      </c>
      <c r="B57" s="134"/>
      <c r="C57" s="165"/>
      <c r="D57" s="135">
        <f>IF(M52=0,0,(IF(M52*'Tarif ALBEA'!B364&lt;30,30,M52*'Tarif ALBEA'!B364)))</f>
        <v>86.45</v>
      </c>
      <c r="E57" s="125"/>
      <c r="F57" s="125"/>
      <c r="G57" s="125"/>
      <c r="H57" s="125"/>
      <c r="I57" s="63"/>
      <c r="K57" s="65">
        <f>IFERROR(VLOOKUP(Profils!E37,logikal!A6:D41,3,FALSE),0)</f>
        <v>0</v>
      </c>
      <c r="L57" s="66"/>
      <c r="M57" s="67"/>
    </row>
    <row r="58" spans="1:16" ht="9.9499999999999993" customHeight="1" x14ac:dyDescent="0.25">
      <c r="A58" s="114"/>
      <c r="B58" s="87"/>
      <c r="C58" s="87"/>
      <c r="D58" s="87"/>
      <c r="E58" s="136"/>
      <c r="F58" s="136"/>
      <c r="G58" s="136"/>
      <c r="H58" s="136"/>
      <c r="I58"/>
      <c r="K58" s="65"/>
      <c r="L58" s="66"/>
      <c r="M58" s="67"/>
      <c r="N58" s="70"/>
    </row>
    <row r="59" spans="1:16" ht="9.9499999999999993" customHeight="1" thickBot="1" x14ac:dyDescent="0.3">
      <c r="A59" s="114"/>
      <c r="B59" s="87"/>
      <c r="C59" s="87"/>
      <c r="D59" s="87"/>
      <c r="E59" s="136"/>
      <c r="F59" s="87"/>
      <c r="G59" s="87"/>
      <c r="H59" s="87"/>
      <c r="I59" s="56"/>
      <c r="K59" s="65"/>
      <c r="L59" s="66"/>
      <c r="M59" s="67"/>
    </row>
    <row r="60" spans="1:16" ht="20.25" customHeight="1" thickBot="1" x14ac:dyDescent="0.35">
      <c r="A60" s="86"/>
      <c r="B60" s="87"/>
      <c r="C60" s="87"/>
      <c r="D60" s="87"/>
      <c r="E60" s="137" t="s">
        <v>436</v>
      </c>
      <c r="F60" s="200">
        <f>IFERROR(K58*F15+D57+G12+M12+D55,"sur devis")</f>
        <v>160.85</v>
      </c>
      <c r="G60" s="201"/>
      <c r="H60" s="138"/>
      <c r="I60" s="56"/>
      <c r="K60" s="74"/>
      <c r="L60" s="68"/>
      <c r="M60" s="69"/>
    </row>
    <row r="61" spans="1:16" ht="19.5" customHeight="1" x14ac:dyDescent="0.25">
      <c r="A61" s="114"/>
      <c r="B61" s="87"/>
      <c r="C61" s="87"/>
      <c r="D61" s="87"/>
      <c r="E61" s="87"/>
      <c r="F61" s="87"/>
      <c r="G61" s="87"/>
      <c r="H61" s="87"/>
      <c r="I61" s="56"/>
    </row>
    <row r="62" spans="1:16" ht="9.9499999999999993" customHeight="1" x14ac:dyDescent="0.25">
      <c r="A62" s="85"/>
      <c r="I62"/>
      <c r="K62" s="70"/>
      <c r="L62" s="70"/>
      <c r="M62" s="70"/>
    </row>
    <row r="63" spans="1:16" ht="9.9499999999999993" customHeight="1" x14ac:dyDescent="0.25">
      <c r="A63" s="85"/>
      <c r="I63"/>
    </row>
    <row r="64" spans="1:16" ht="9.9499999999999993" customHeight="1" x14ac:dyDescent="0.25">
      <c r="A64" s="85"/>
      <c r="I64"/>
    </row>
    <row r="65" spans="1:9" ht="9.9499999999999993" customHeight="1" x14ac:dyDescent="0.25">
      <c r="A65" s="85"/>
      <c r="I65"/>
    </row>
    <row r="66" spans="1:9" ht="18" customHeight="1" x14ac:dyDescent="0.2">
      <c r="A66" s="85"/>
    </row>
    <row r="68" spans="1:9" ht="18" customHeight="1" x14ac:dyDescent="0.2">
      <c r="D68" s="49"/>
    </row>
  </sheetData>
  <sheetProtection selectLockedCells="1"/>
  <mergeCells count="9">
    <mergeCell ref="D5:E5"/>
    <mergeCell ref="A18:B18"/>
    <mergeCell ref="B12:C12"/>
    <mergeCell ref="F60:G60"/>
    <mergeCell ref="K10:L10"/>
    <mergeCell ref="E14:F14"/>
    <mergeCell ref="K12:L12"/>
    <mergeCell ref="C18:E18"/>
    <mergeCell ref="F11:G11"/>
  </mergeCells>
  <pageMargins left="0.11811023622047245" right="0.11811023622047245" top="0.35433070866141736" bottom="0.15748031496062992" header="0.31496062992125984" footer="0.31496062992125984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déroulante'!$B$2:$B$11</xm:f>
          </x14:formula1>
          <xm:sqref>F5</xm:sqref>
        </x14:dataValidation>
        <x14:dataValidation type="list" allowBlank="1" showInputMessage="1" showErrorMessage="1">
          <x14:formula1>
            <xm:f>'Liste déroulante'!$D$2:$D$3</xm:f>
          </x14:formula1>
          <xm:sqref>F12</xm:sqref>
        </x14:dataValidation>
        <x14:dataValidation type="list" allowBlank="1" showInputMessage="1" showErrorMessage="1">
          <x14:formula1>
            <xm:f>'Liste déroulante'!$F$2:$F$9</xm:f>
          </x14:formula1>
          <xm:sqref>H14</xm:sqref>
        </x14:dataValidation>
        <x14:dataValidation type="list" allowBlank="1" showInputMessage="1" showErrorMessage="1">
          <x14:formula1>
            <xm:f>'Liste déroulante'!$H$2:$H$4</xm:f>
          </x14:formula1>
          <xm:sqref>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U103"/>
  <sheetViews>
    <sheetView topLeftCell="A64" zoomScale="90" zoomScaleNormal="90" workbookViewId="0">
      <selection activeCell="G99" sqref="G99"/>
    </sheetView>
  </sheetViews>
  <sheetFormatPr baseColWidth="10" defaultRowHeight="15" x14ac:dyDescent="0.25"/>
  <sheetData>
    <row r="3" spans="3:21" x14ac:dyDescent="0.25">
      <c r="C3" s="189"/>
      <c r="D3" s="189"/>
      <c r="E3" s="189"/>
      <c r="F3" s="189"/>
      <c r="G3" s="189"/>
      <c r="H3" s="189"/>
      <c r="I3" s="189"/>
      <c r="J3" s="189"/>
      <c r="K3" s="189"/>
      <c r="L3" s="189"/>
      <c r="P3" s="175"/>
      <c r="Q3" s="175"/>
      <c r="R3" s="175"/>
      <c r="S3" s="175"/>
      <c r="T3" s="175"/>
      <c r="U3" s="175"/>
    </row>
    <row r="4" spans="3:21" x14ac:dyDescent="0.25">
      <c r="C4" t="str">
        <f>IFERROR(logikal!B6,0)</f>
        <v>SOCLE</v>
      </c>
      <c r="D4">
        <f>IFERROR(VLOOKUP(C4,Profils!$A$3:$G$38,2,FALSE),0)</f>
        <v>6</v>
      </c>
      <c r="E4">
        <f>IFERROR(VLOOKUP(C4,logikal!$B$6:$C$36,2,FALSE),0)</f>
        <v>1</v>
      </c>
      <c r="J4" t="str">
        <f>IFERROR(VLOOKUP(C4,Profils!$A$3:$G$38,6,FALSE),0)</f>
        <v>A407000002</v>
      </c>
      <c r="L4">
        <f>IFERROR(SUM(C4:J4),1)</f>
        <v>7</v>
      </c>
      <c r="P4" s="175"/>
      <c r="Q4" s="175"/>
      <c r="R4" s="175"/>
      <c r="S4" s="175"/>
      <c r="T4" s="175"/>
      <c r="U4" s="175"/>
    </row>
    <row r="5" spans="3:21" x14ac:dyDescent="0.25">
      <c r="C5" s="175" t="str">
        <f>IFERROR(logikal!B7,0)</f>
        <v>P32</v>
      </c>
      <c r="D5" s="175">
        <f>IFERROR(VLOOKUP(C5,Profils!$A$3:$G$38,2,FALSE),0)</f>
        <v>6</v>
      </c>
      <c r="E5" s="175">
        <f>IFERROR(VLOOKUP(C5,logikal!$B$6:$C$36,2,FALSE),0)</f>
        <v>2</v>
      </c>
      <c r="F5" s="175"/>
      <c r="G5" s="175"/>
      <c r="H5" s="175"/>
      <c r="I5" s="175"/>
      <c r="J5" s="175" t="str">
        <f>IFERROR(VLOOKUP(C5,Profils!$A$3:$G$38,6,FALSE),0)</f>
        <v>A407000003</v>
      </c>
      <c r="L5" s="175">
        <f t="shared" ref="L5:L34" si="0">IFERROR(SUM(C5:J5),1)</f>
        <v>8</v>
      </c>
      <c r="P5" s="175"/>
      <c r="Q5" s="175"/>
      <c r="R5" s="175"/>
      <c r="S5" s="175"/>
      <c r="T5" s="175"/>
      <c r="U5" s="175"/>
    </row>
    <row r="6" spans="3:21" x14ac:dyDescent="0.25">
      <c r="C6" s="175" t="str">
        <f>IFERROR(logikal!B8,0)</f>
        <v>P15</v>
      </c>
      <c r="D6" s="175">
        <f>IFERROR(VLOOKUP(C6,Profils!$A$3:$G$38,2,FALSE),0)</f>
        <v>6</v>
      </c>
      <c r="E6" s="175">
        <f>IFERROR(VLOOKUP(C6,logikal!$B$6:$C$36,2,FALSE),0)</f>
        <v>16</v>
      </c>
      <c r="J6" s="175" t="str">
        <f>IFERROR(VLOOKUP(C6,Profils!$A$3:$G$38,6,FALSE),0)</f>
        <v>A407000005</v>
      </c>
      <c r="L6" s="175">
        <f t="shared" si="0"/>
        <v>22</v>
      </c>
      <c r="P6" s="175"/>
      <c r="Q6" s="175"/>
      <c r="R6" s="175"/>
      <c r="S6" s="175"/>
      <c r="T6" s="175"/>
      <c r="U6" s="175"/>
    </row>
    <row r="7" spans="3:21" x14ac:dyDescent="0.25">
      <c r="C7" s="175">
        <f>IFERROR(logikal!B9,0)</f>
        <v>300018</v>
      </c>
      <c r="D7" s="175">
        <f>IFERROR(VLOOKUP(C7,Profils!$A$3:$G$38,2,FALSE),0)</f>
        <v>6.5</v>
      </c>
      <c r="E7" s="175">
        <f>IFERROR(VLOOKUP(C7,logikal!$B$6:$C$36,2,FALSE),0)</f>
        <v>1</v>
      </c>
      <c r="J7" s="175" t="str">
        <f>IFERROR(VLOOKUP(C7,Profils!$A$3:$G$38,6,FALSE),0)</f>
        <v>A407000006</v>
      </c>
      <c r="L7" s="175">
        <f t="shared" si="0"/>
        <v>300025.5</v>
      </c>
      <c r="P7" s="175"/>
      <c r="Q7" s="175"/>
      <c r="R7" s="175"/>
      <c r="S7" s="175"/>
      <c r="T7" s="175"/>
      <c r="U7" s="175"/>
    </row>
    <row r="8" spans="3:21" x14ac:dyDescent="0.25">
      <c r="C8" s="175">
        <f>IFERROR(logikal!B10,0)</f>
        <v>300021</v>
      </c>
      <c r="D8" s="175">
        <f>IFERROR(VLOOKUP(C8,Profils!$A$3:$G$38,2,FALSE),0)</f>
        <v>6.5</v>
      </c>
      <c r="E8" s="175">
        <f>IFERROR(VLOOKUP(C8,logikal!$B$6:$C$36,2,FALSE),0)</f>
        <v>2</v>
      </c>
      <c r="J8" s="175" t="str">
        <f>IFERROR(VLOOKUP(C8,Profils!$A$3:$G$38,6,FALSE),0)</f>
        <v>A407000009</v>
      </c>
      <c r="L8" s="175">
        <f t="shared" si="0"/>
        <v>300029.5</v>
      </c>
      <c r="P8" s="175"/>
      <c r="Q8" s="175"/>
      <c r="R8" s="175"/>
      <c r="S8" s="175"/>
      <c r="T8" s="175"/>
      <c r="U8" s="175"/>
    </row>
    <row r="9" spans="3:21" x14ac:dyDescent="0.25">
      <c r="C9" s="175">
        <f>IFERROR(logikal!B11,0)</f>
        <v>300024</v>
      </c>
      <c r="D9" s="175">
        <f>IFERROR(VLOOKUP(C9,Profils!$A$3:$G$38,2,FALSE),0)</f>
        <v>6.5</v>
      </c>
      <c r="E9" s="175">
        <f>IFERROR(VLOOKUP(C9,logikal!$B$6:$C$36,2,FALSE),0)</f>
        <v>1</v>
      </c>
      <c r="J9" s="175">
        <f>IFERROR(VLOOKUP(C9,Profils!$A$3:$G$38,6,FALSE),0)</f>
        <v>0</v>
      </c>
      <c r="L9" s="175">
        <f t="shared" si="0"/>
        <v>300031.5</v>
      </c>
      <c r="P9" s="175"/>
      <c r="Q9" s="175"/>
      <c r="R9" s="175"/>
      <c r="S9" s="175"/>
      <c r="T9" s="175"/>
      <c r="U9" s="175"/>
    </row>
    <row r="10" spans="3:21" x14ac:dyDescent="0.25">
      <c r="C10" s="175">
        <f>IFERROR(logikal!B12,0)</f>
        <v>0</v>
      </c>
      <c r="D10" s="175">
        <f>IFERROR(VLOOKUP(C10,Profils!$A$3:$G$38,2,FALSE),0)</f>
        <v>0</v>
      </c>
      <c r="E10" s="175">
        <f>IFERROR(VLOOKUP(C10,logikal!$B$6:$C$36,2,FALSE),0)</f>
        <v>0</v>
      </c>
      <c r="J10" s="175">
        <f>IFERROR(VLOOKUP(C10,Profils!$A$3:$G$38,6,FALSE),0)</f>
        <v>0</v>
      </c>
      <c r="L10" s="175">
        <f t="shared" si="0"/>
        <v>0</v>
      </c>
      <c r="P10" s="175"/>
      <c r="Q10" s="175"/>
      <c r="R10" s="175"/>
      <c r="S10" s="175"/>
      <c r="T10" s="175"/>
      <c r="U10" s="175"/>
    </row>
    <row r="11" spans="3:21" x14ac:dyDescent="0.25">
      <c r="C11" s="175">
        <f>IFERROR(logikal!B13,0)</f>
        <v>400019</v>
      </c>
      <c r="D11" s="175">
        <f>IFERROR(VLOOKUP(C11,Profils!$A$3:$G$38,2,FALSE),0)</f>
        <v>6.5</v>
      </c>
      <c r="E11" s="175">
        <f>IFERROR(VLOOKUP(C11,logikal!$B$6:$C$36,2,FALSE),0)</f>
        <v>14</v>
      </c>
      <c r="J11" s="175" t="str">
        <f>IFERROR(VLOOKUP(C11,Profils!$A$3:$G$38,6,FALSE),0)</f>
        <v>A407000019</v>
      </c>
      <c r="L11" s="175">
        <f t="shared" si="0"/>
        <v>400039.5</v>
      </c>
      <c r="P11" s="175"/>
      <c r="Q11" s="175"/>
      <c r="R11" s="175"/>
      <c r="S11" s="175"/>
      <c r="T11" s="175"/>
      <c r="U11" s="175"/>
    </row>
    <row r="12" spans="3:21" x14ac:dyDescent="0.25">
      <c r="C12" s="175">
        <f>IFERROR(logikal!B14,0)</f>
        <v>400020</v>
      </c>
      <c r="D12" s="175">
        <f>IFERROR(VLOOKUP(C12,Profils!$A$3:$G$38,2,FALSE),0)</f>
        <v>6.5</v>
      </c>
      <c r="E12" s="175">
        <f>IFERROR(VLOOKUP(C12,logikal!$B$6:$C$36,2,FALSE),0)</f>
        <v>1</v>
      </c>
      <c r="J12" s="175" t="str">
        <f>IFERROR(VLOOKUP(C12,Profils!$A$3:$G$38,6,FALSE),0)</f>
        <v>A407000020</v>
      </c>
      <c r="L12" s="175">
        <f t="shared" si="0"/>
        <v>400027.5</v>
      </c>
      <c r="P12" s="175"/>
      <c r="Q12" s="175"/>
      <c r="R12" s="175"/>
      <c r="S12" s="175"/>
      <c r="T12" s="175"/>
      <c r="U12" s="175"/>
    </row>
    <row r="13" spans="3:21" x14ac:dyDescent="0.25">
      <c r="C13" s="175">
        <f>IFERROR(logikal!B15,0)</f>
        <v>0</v>
      </c>
      <c r="D13" s="175">
        <f>IFERROR(VLOOKUP(C13,Profils!$A$3:$G$38,2,FALSE),0)</f>
        <v>0</v>
      </c>
      <c r="E13" s="175">
        <f>IFERROR(VLOOKUP(C13,logikal!$B$6:$C$36,2,FALSE),0)</f>
        <v>0</v>
      </c>
      <c r="J13" s="175">
        <f>IFERROR(VLOOKUP(C13,Profils!$A$3:$G$38,6,FALSE),0)</f>
        <v>0</v>
      </c>
      <c r="L13" s="175">
        <f t="shared" si="0"/>
        <v>0</v>
      </c>
      <c r="P13" s="175"/>
      <c r="Q13" s="175"/>
      <c r="R13" s="175"/>
      <c r="S13" s="175"/>
      <c r="T13" s="175"/>
      <c r="U13" s="175"/>
    </row>
    <row r="14" spans="3:21" x14ac:dyDescent="0.25">
      <c r="C14" s="175">
        <f>IFERROR(logikal!B16,0)</f>
        <v>0</v>
      </c>
      <c r="D14" s="175">
        <f>IFERROR(VLOOKUP(C14,Profils!$A$3:$G$38,2,FALSE),0)</f>
        <v>0</v>
      </c>
      <c r="E14" s="175">
        <f>IFERROR(VLOOKUP(C14,logikal!$B$6:$C$36,2,FALSE),0)</f>
        <v>0</v>
      </c>
      <c r="J14" s="175">
        <f>IFERROR(VLOOKUP(C14,Profils!$A$3:$G$38,6,FALSE),0)</f>
        <v>0</v>
      </c>
      <c r="L14" s="175">
        <f t="shared" si="0"/>
        <v>0</v>
      </c>
      <c r="P14" s="175"/>
      <c r="Q14" s="175"/>
      <c r="R14" s="175"/>
      <c r="S14" s="175"/>
      <c r="T14" s="175"/>
      <c r="U14" s="175"/>
    </row>
    <row r="15" spans="3:21" x14ac:dyDescent="0.25">
      <c r="C15" s="175">
        <f>IFERROR(logikal!B17,0)</f>
        <v>0</v>
      </c>
      <c r="D15" s="175">
        <f>IFERROR(VLOOKUP(C15,Profils!$A$3:$G$38,2,FALSE),0)</f>
        <v>0</v>
      </c>
      <c r="E15" s="175">
        <f>IFERROR(VLOOKUP(C15,logikal!$B$6:$C$36,2,FALSE),0)</f>
        <v>0</v>
      </c>
      <c r="J15" s="175">
        <f>IFERROR(VLOOKUP(C15,Profils!$A$3:$G$38,6,FALSE),0)</f>
        <v>0</v>
      </c>
      <c r="L15" s="175">
        <f t="shared" si="0"/>
        <v>0</v>
      </c>
      <c r="P15" s="175"/>
      <c r="Q15" s="175"/>
      <c r="R15" s="175"/>
      <c r="S15" s="175"/>
      <c r="T15" s="175"/>
      <c r="U15" s="175"/>
    </row>
    <row r="16" spans="3:21" x14ac:dyDescent="0.25">
      <c r="C16" s="175">
        <f>IFERROR(logikal!B18,0)</f>
        <v>0</v>
      </c>
      <c r="D16" s="175">
        <f>IFERROR(VLOOKUP(C16,Profils!$A$3:$G$38,2,FALSE),0)</f>
        <v>0</v>
      </c>
      <c r="E16" s="175">
        <f>IFERROR(VLOOKUP(C16,logikal!$B$6:$C$36,2,FALSE),0)</f>
        <v>0</v>
      </c>
      <c r="J16" s="175">
        <f>IFERROR(VLOOKUP(C16,Profils!$A$3:$G$38,6,FALSE),0)</f>
        <v>0</v>
      </c>
      <c r="L16" s="175">
        <f t="shared" si="0"/>
        <v>0</v>
      </c>
      <c r="P16" s="175"/>
      <c r="Q16" s="175"/>
      <c r="R16" s="175"/>
      <c r="S16" s="175"/>
      <c r="T16" s="175"/>
      <c r="U16" s="175"/>
    </row>
    <row r="17" spans="3:21" x14ac:dyDescent="0.25">
      <c r="C17" s="175">
        <f>IFERROR(logikal!B19,0)</f>
        <v>0</v>
      </c>
      <c r="D17" s="175">
        <f>IFERROR(VLOOKUP(C17,Profils!$A$3:$G$38,2,FALSE),0)</f>
        <v>0</v>
      </c>
      <c r="E17" s="175">
        <f>IFERROR(VLOOKUP(C17,logikal!$B$6:$C$36,2,FALSE),0)</f>
        <v>0</v>
      </c>
      <c r="J17" s="175">
        <f>IFERROR(VLOOKUP(C17,Profils!$A$3:$G$38,6,FALSE),0)</f>
        <v>0</v>
      </c>
      <c r="L17" s="175">
        <f t="shared" si="0"/>
        <v>0</v>
      </c>
      <c r="P17" s="175"/>
      <c r="Q17" s="175"/>
      <c r="R17" s="175"/>
      <c r="S17" s="175"/>
      <c r="T17" s="175"/>
      <c r="U17" s="175"/>
    </row>
    <row r="18" spans="3:21" x14ac:dyDescent="0.25">
      <c r="C18" s="175">
        <f>IFERROR(logikal!B20,0)</f>
        <v>0</v>
      </c>
      <c r="D18" s="175">
        <f>IFERROR(VLOOKUP(C18,Profils!$A$3:$G$38,2,FALSE),0)</f>
        <v>0</v>
      </c>
      <c r="E18" s="175">
        <f>IFERROR(VLOOKUP(C18,logikal!$B$6:$C$36,2,FALSE),0)</f>
        <v>0</v>
      </c>
      <c r="J18" s="175">
        <f>IFERROR(VLOOKUP(C18,Profils!$A$3:$G$38,6,FALSE),0)</f>
        <v>0</v>
      </c>
      <c r="L18" s="175">
        <f t="shared" si="0"/>
        <v>0</v>
      </c>
      <c r="P18" s="175"/>
      <c r="Q18" s="175"/>
      <c r="R18" s="175"/>
      <c r="S18" s="175"/>
      <c r="T18" s="175"/>
      <c r="U18" s="175"/>
    </row>
    <row r="19" spans="3:21" x14ac:dyDescent="0.25">
      <c r="C19" s="175">
        <f>IFERROR(logikal!B21,0)</f>
        <v>0</v>
      </c>
      <c r="D19" s="175">
        <f>IFERROR(VLOOKUP(C19,Profils!$A$3:$G$38,2,FALSE),0)</f>
        <v>0</v>
      </c>
      <c r="E19" s="175">
        <f>IFERROR(VLOOKUP(C19,logikal!$B$6:$C$36,2,FALSE),0)</f>
        <v>0</v>
      </c>
      <c r="J19" s="175">
        <f>IFERROR(VLOOKUP(C19,Profils!$A$3:$G$38,6,FALSE),0)</f>
        <v>0</v>
      </c>
      <c r="L19" s="175">
        <f t="shared" si="0"/>
        <v>0</v>
      </c>
      <c r="P19" s="175"/>
      <c r="Q19" s="175"/>
      <c r="R19" s="175"/>
      <c r="S19" s="175"/>
      <c r="T19" s="175"/>
      <c r="U19" s="175"/>
    </row>
    <row r="20" spans="3:21" x14ac:dyDescent="0.25">
      <c r="C20" s="175">
        <f>IFERROR(logikal!B22,0)</f>
        <v>0</v>
      </c>
      <c r="D20" s="175">
        <f>IFERROR(VLOOKUP(C20,Profils!$A$3:$G$38,2,FALSE),0)</f>
        <v>0</v>
      </c>
      <c r="E20" s="175">
        <f>IFERROR(VLOOKUP(C20,logikal!$B$6:$C$36,2,FALSE),0)</f>
        <v>0</v>
      </c>
      <c r="J20" s="175">
        <f>IFERROR(VLOOKUP(C20,Profils!$A$3:$G$38,6,FALSE),0)</f>
        <v>0</v>
      </c>
      <c r="L20" s="175">
        <f t="shared" si="0"/>
        <v>0</v>
      </c>
      <c r="P20" s="175"/>
      <c r="Q20" s="175"/>
      <c r="R20" s="175"/>
      <c r="S20" s="175"/>
      <c r="T20" s="175"/>
      <c r="U20" s="175"/>
    </row>
    <row r="21" spans="3:21" x14ac:dyDescent="0.25">
      <c r="C21" s="175">
        <f>IFERROR(logikal!B23,0)</f>
        <v>0</v>
      </c>
      <c r="D21" s="175">
        <f>IFERROR(VLOOKUP(C21,Profils!$A$3:$G$38,2,FALSE),0)</f>
        <v>0</v>
      </c>
      <c r="E21" s="175">
        <f>IFERROR(VLOOKUP(C21,logikal!$B$6:$C$36,2,FALSE),0)</f>
        <v>0</v>
      </c>
      <c r="J21" s="175">
        <f>IFERROR(VLOOKUP(C21,Profils!$A$3:$G$38,6,FALSE),0)</f>
        <v>0</v>
      </c>
      <c r="L21" s="175">
        <f t="shared" si="0"/>
        <v>0</v>
      </c>
      <c r="P21" s="175"/>
      <c r="Q21" s="175"/>
      <c r="R21" s="175"/>
      <c r="S21" s="175"/>
      <c r="T21" s="175"/>
      <c r="U21" s="175"/>
    </row>
    <row r="22" spans="3:21" x14ac:dyDescent="0.25">
      <c r="C22" s="175">
        <f>IFERROR(logikal!B24,0)</f>
        <v>0</v>
      </c>
      <c r="D22" s="175">
        <f>IFERROR(VLOOKUP(C22,Profils!$A$3:$G$38,2,FALSE),0)</f>
        <v>0</v>
      </c>
      <c r="E22" s="175">
        <f>IFERROR(VLOOKUP(C22,logikal!$B$6:$C$36,2,FALSE),0)</f>
        <v>0</v>
      </c>
      <c r="J22" s="175">
        <f>IFERROR(VLOOKUP(C22,Profils!$A$3:$G$38,6,FALSE),0)</f>
        <v>0</v>
      </c>
      <c r="L22" s="175">
        <f t="shared" si="0"/>
        <v>0</v>
      </c>
    </row>
    <row r="23" spans="3:21" x14ac:dyDescent="0.25">
      <c r="C23" s="175">
        <f>IFERROR(logikal!B25,0)</f>
        <v>0</v>
      </c>
      <c r="D23" s="175">
        <f>IFERROR(VLOOKUP(C23,Profils!$A$3:$G$38,2,FALSE),0)</f>
        <v>0</v>
      </c>
      <c r="E23" s="175">
        <f>IFERROR(VLOOKUP(C23,logikal!$B$6:$C$36,2,FALSE),0)</f>
        <v>0</v>
      </c>
      <c r="J23" s="175">
        <f>IFERROR(VLOOKUP(C23,Profils!$A$3:$G$38,6,FALSE),0)</f>
        <v>0</v>
      </c>
      <c r="L23" s="175">
        <f t="shared" si="0"/>
        <v>0</v>
      </c>
    </row>
    <row r="24" spans="3:21" s="175" customFormat="1" x14ac:dyDescent="0.25">
      <c r="C24" s="175">
        <f>IFERROR(logikal!B26,0)</f>
        <v>0</v>
      </c>
      <c r="D24" s="175">
        <f>IFERROR(VLOOKUP(C24,Profils!$A$3:$G$38,2,FALSE),0)</f>
        <v>0</v>
      </c>
      <c r="E24" s="175">
        <f>IFERROR(VLOOKUP(C24,logikal!$B$6:$C$36,2,FALSE),0)</f>
        <v>0</v>
      </c>
      <c r="J24" s="175">
        <f>IFERROR(VLOOKUP(C24,Profils!$A$3:$G$38,6,FALSE),0)</f>
        <v>0</v>
      </c>
      <c r="L24" s="175">
        <f t="shared" si="0"/>
        <v>0</v>
      </c>
    </row>
    <row r="25" spans="3:21" s="175" customFormat="1" x14ac:dyDescent="0.25">
      <c r="C25" s="175">
        <f>IFERROR(logikal!B27,0)</f>
        <v>0</v>
      </c>
      <c r="D25" s="175">
        <f>IFERROR(VLOOKUP(C25,Profils!$A$3:$G$38,2,FALSE),0)</f>
        <v>0</v>
      </c>
      <c r="E25" s="175">
        <f>IFERROR(VLOOKUP(C25,logikal!$B$6:$C$36,2,FALSE),0)</f>
        <v>0</v>
      </c>
      <c r="J25" s="175">
        <f>IFERROR(VLOOKUP(C25,Profils!$A$3:$G$38,6,FALSE),0)</f>
        <v>0</v>
      </c>
      <c r="L25" s="175">
        <f t="shared" si="0"/>
        <v>0</v>
      </c>
    </row>
    <row r="26" spans="3:21" s="175" customFormat="1" x14ac:dyDescent="0.25">
      <c r="C26" s="175">
        <f>IFERROR(logikal!B28,0)</f>
        <v>0</v>
      </c>
      <c r="D26" s="175">
        <f>IFERROR(VLOOKUP(C26,Profils!$A$3:$G$38,2,FALSE),0)</f>
        <v>0</v>
      </c>
      <c r="E26" s="175">
        <f>IFERROR(VLOOKUP(C26,logikal!$B$6:$C$36,2,FALSE),0)</f>
        <v>0</v>
      </c>
      <c r="J26" s="175">
        <f>IFERROR(VLOOKUP(C26,Profils!$A$3:$G$38,6,FALSE),0)</f>
        <v>0</v>
      </c>
      <c r="L26" s="175">
        <f t="shared" si="0"/>
        <v>0</v>
      </c>
    </row>
    <row r="27" spans="3:21" s="175" customFormat="1" x14ac:dyDescent="0.25">
      <c r="C27" s="175">
        <f>IFERROR(logikal!B29,0)</f>
        <v>0</v>
      </c>
      <c r="D27" s="175">
        <f>IFERROR(VLOOKUP(C27,Profils!$A$3:$G$38,2,FALSE),0)</f>
        <v>0</v>
      </c>
      <c r="E27" s="175">
        <f>IFERROR(VLOOKUP(C27,logikal!$B$6:$C$36,2,FALSE),0)</f>
        <v>0</v>
      </c>
      <c r="J27" s="175">
        <f>IFERROR(VLOOKUP(C27,Profils!$A$3:$G$38,6,FALSE),0)</f>
        <v>0</v>
      </c>
      <c r="L27" s="175">
        <f t="shared" si="0"/>
        <v>0</v>
      </c>
    </row>
    <row r="28" spans="3:21" s="175" customFormat="1" x14ac:dyDescent="0.25">
      <c r="C28" s="175">
        <f>IFERROR(logikal!B30,0)</f>
        <v>0</v>
      </c>
      <c r="D28" s="175">
        <f>IFERROR(VLOOKUP(C28,Profils!$A$3:$G$38,2,FALSE),0)</f>
        <v>0</v>
      </c>
      <c r="E28" s="175">
        <f>IFERROR(VLOOKUP(C28,logikal!$B$6:$C$36,2,FALSE),0)</f>
        <v>0</v>
      </c>
      <c r="J28" s="175">
        <f>IFERROR(VLOOKUP(C28,Profils!$A$3:$G$38,6,FALSE),0)</f>
        <v>0</v>
      </c>
      <c r="L28" s="175">
        <f t="shared" si="0"/>
        <v>0</v>
      </c>
    </row>
    <row r="29" spans="3:21" s="175" customFormat="1" x14ac:dyDescent="0.25">
      <c r="C29" s="175">
        <f>IFERROR(logikal!B31,0)</f>
        <v>0</v>
      </c>
      <c r="D29" s="175">
        <f>IFERROR(VLOOKUP(C29,Profils!$A$3:$G$38,2,FALSE),0)</f>
        <v>0</v>
      </c>
      <c r="E29" s="175">
        <f>IFERROR(VLOOKUP(C29,logikal!$B$6:$C$36,2,FALSE),0)</f>
        <v>0</v>
      </c>
      <c r="J29" s="175">
        <f>IFERROR(VLOOKUP(C29,Profils!$A$3:$G$38,6,FALSE),0)</f>
        <v>0</v>
      </c>
      <c r="L29" s="175">
        <f t="shared" si="0"/>
        <v>0</v>
      </c>
    </row>
    <row r="30" spans="3:21" s="175" customFormat="1" x14ac:dyDescent="0.25">
      <c r="C30" s="175">
        <f>IFERROR(logikal!B32,0)</f>
        <v>0</v>
      </c>
      <c r="D30" s="175">
        <f>IFERROR(VLOOKUP(C30,Profils!$A$3:$G$38,2,FALSE),0)</f>
        <v>0</v>
      </c>
      <c r="E30" s="175">
        <f>IFERROR(VLOOKUP(C30,logikal!$B$6:$C$36,2,FALSE),0)</f>
        <v>0</v>
      </c>
      <c r="J30" s="175">
        <f>IFERROR(VLOOKUP(C30,Profils!$A$3:$G$38,6,FALSE),0)</f>
        <v>0</v>
      </c>
      <c r="L30" s="175">
        <f t="shared" si="0"/>
        <v>0</v>
      </c>
    </row>
    <row r="31" spans="3:21" x14ac:dyDescent="0.25">
      <c r="C31" s="175">
        <f>IFERROR(logikal!B33,0)</f>
        <v>0</v>
      </c>
      <c r="D31" s="175">
        <f>IFERROR(VLOOKUP(C31,Profils!$A$3:$G$38,2,FALSE),0)</f>
        <v>0</v>
      </c>
      <c r="E31" s="175">
        <f>IFERROR(VLOOKUP(C31,logikal!$B$6:$C$36,2,FALSE),0)</f>
        <v>0</v>
      </c>
      <c r="J31" s="175">
        <f>IFERROR(VLOOKUP(C31,Profils!$A$3:$G$38,6,FALSE),0)</f>
        <v>0</v>
      </c>
      <c r="L31" s="175">
        <f t="shared" si="0"/>
        <v>0</v>
      </c>
    </row>
    <row r="32" spans="3:21" x14ac:dyDescent="0.25">
      <c r="C32" s="175">
        <f>IFERROR(logikal!B34,0)</f>
        <v>0</v>
      </c>
      <c r="D32" s="175">
        <f>IFERROR(VLOOKUP(C32,Profils!$A$3:$G$38,2,FALSE),0)</f>
        <v>0</v>
      </c>
      <c r="E32" s="175">
        <f>IFERROR(VLOOKUP(C32,logikal!$B$6:$C$36,2,FALSE),0)</f>
        <v>0</v>
      </c>
      <c r="J32" s="175">
        <f>IFERROR(VLOOKUP(C32,Profils!$A$3:$G$38,6,FALSE),0)</f>
        <v>0</v>
      </c>
      <c r="L32" s="175">
        <f t="shared" si="0"/>
        <v>0</v>
      </c>
    </row>
    <row r="33" spans="3:12" x14ac:dyDescent="0.25">
      <c r="C33" s="175">
        <f>IFERROR(logikal!B35,0)</f>
        <v>0</v>
      </c>
      <c r="D33" s="175">
        <f>IFERROR(VLOOKUP(C33,Profils!$A$3:$G$38,2,FALSE),0)</f>
        <v>0</v>
      </c>
      <c r="E33" s="175">
        <f>IFERROR(VLOOKUP(C33,logikal!$B$6:$C$36,2,FALSE),0)</f>
        <v>0</v>
      </c>
      <c r="J33" s="175">
        <f>IFERROR(VLOOKUP(C33,Profils!$A$3:$G$38,6,FALSE),0)</f>
        <v>0</v>
      </c>
      <c r="L33" s="175">
        <f t="shared" si="0"/>
        <v>0</v>
      </c>
    </row>
    <row r="34" spans="3:12" x14ac:dyDescent="0.25">
      <c r="C34" s="175">
        <f>IFERROR(logikal!B36,0)</f>
        <v>0</v>
      </c>
      <c r="D34" s="175">
        <f>IFERROR(VLOOKUP(C34,Profils!$A$3:$G$38,2,FALSE),0)</f>
        <v>0</v>
      </c>
      <c r="E34" s="175">
        <f>IFERROR(VLOOKUP(C34,logikal!$B$6:$C$36,2,FALSE),0)</f>
        <v>0</v>
      </c>
      <c r="J34" s="175">
        <f>IFERROR(VLOOKUP(C34,Profils!$A$3:$G$38,6,FALSE),0)</f>
        <v>0</v>
      </c>
      <c r="L34" s="175">
        <f t="shared" si="0"/>
        <v>0</v>
      </c>
    </row>
    <row r="36" spans="3:12" x14ac:dyDescent="0.25">
      <c r="C36" s="175"/>
      <c r="D36" s="175"/>
      <c r="E36" s="175"/>
      <c r="F36" s="181" t="s">
        <v>474</v>
      </c>
      <c r="G36" s="185" t="s">
        <v>475</v>
      </c>
      <c r="H36" s="176" t="s">
        <v>476</v>
      </c>
    </row>
    <row r="37" spans="3:12" x14ac:dyDescent="0.25">
      <c r="C37" s="181">
        <v>300023</v>
      </c>
      <c r="D37" s="186">
        <v>300021</v>
      </c>
      <c r="E37" s="186"/>
      <c r="F37" s="181">
        <f t="shared" ref="F37:F44" si="1">IFERROR(VLOOKUP(C37,$C$4:$E$32,3,FALSE),0)</f>
        <v>0</v>
      </c>
      <c r="G37" s="185"/>
      <c r="H37" s="176">
        <f>F37</f>
        <v>0</v>
      </c>
    </row>
    <row r="38" spans="3:12" x14ac:dyDescent="0.25">
      <c r="C38" s="182">
        <v>300024</v>
      </c>
      <c r="D38" s="11">
        <v>300022</v>
      </c>
      <c r="E38" s="11"/>
      <c r="F38" s="182">
        <f t="shared" si="1"/>
        <v>1</v>
      </c>
      <c r="G38" s="187"/>
      <c r="H38" s="178">
        <f>F38</f>
        <v>1</v>
      </c>
    </row>
    <row r="39" spans="3:12" x14ac:dyDescent="0.25">
      <c r="C39" s="182">
        <v>300026</v>
      </c>
      <c r="D39" s="11">
        <v>300022</v>
      </c>
      <c r="E39" s="11"/>
      <c r="F39" s="182">
        <f t="shared" si="1"/>
        <v>0</v>
      </c>
      <c r="G39" s="187">
        <f>F39</f>
        <v>0</v>
      </c>
      <c r="H39" s="178"/>
    </row>
    <row r="40" spans="3:12" x14ac:dyDescent="0.25">
      <c r="C40" s="182">
        <v>300027</v>
      </c>
      <c r="D40" s="11">
        <v>300021</v>
      </c>
      <c r="E40" s="11"/>
      <c r="F40" s="182">
        <f t="shared" si="1"/>
        <v>0</v>
      </c>
      <c r="G40" s="187">
        <f>F40</f>
        <v>0</v>
      </c>
      <c r="H40" s="178"/>
    </row>
    <row r="41" spans="3:12" x14ac:dyDescent="0.25">
      <c r="C41" s="182">
        <v>400023</v>
      </c>
      <c r="D41" s="11">
        <v>400021</v>
      </c>
      <c r="E41" s="11"/>
      <c r="F41" s="182">
        <f t="shared" si="1"/>
        <v>0</v>
      </c>
      <c r="G41" s="187"/>
      <c r="H41" s="178">
        <f>F41</f>
        <v>0</v>
      </c>
    </row>
    <row r="42" spans="3:12" x14ac:dyDescent="0.25">
      <c r="C42" s="182">
        <v>400024</v>
      </c>
      <c r="D42" s="11">
        <v>400022</v>
      </c>
      <c r="E42" s="11"/>
      <c r="F42" s="182">
        <f t="shared" si="1"/>
        <v>0</v>
      </c>
      <c r="G42" s="187"/>
      <c r="H42" s="178">
        <f>F42</f>
        <v>0</v>
      </c>
    </row>
    <row r="43" spans="3:12" x14ac:dyDescent="0.25">
      <c r="C43" s="182">
        <v>400026</v>
      </c>
      <c r="D43" s="11">
        <v>400022</v>
      </c>
      <c r="E43" s="11"/>
      <c r="F43" s="182">
        <f t="shared" si="1"/>
        <v>0</v>
      </c>
      <c r="G43" s="187">
        <f>F43</f>
        <v>0</v>
      </c>
      <c r="H43" s="178"/>
    </row>
    <row r="44" spans="3:12" x14ac:dyDescent="0.25">
      <c r="C44" s="183">
        <v>400027</v>
      </c>
      <c r="D44" s="12">
        <v>400021</v>
      </c>
      <c r="E44" s="12"/>
      <c r="F44" s="183">
        <f t="shared" si="1"/>
        <v>0</v>
      </c>
      <c r="G44" s="188">
        <f>F44</f>
        <v>0</v>
      </c>
      <c r="H44" s="180"/>
    </row>
    <row r="45" spans="3:12" x14ac:dyDescent="0.25">
      <c r="C45" s="175"/>
      <c r="D45" s="175"/>
      <c r="E45" s="175"/>
      <c r="F45" s="175"/>
      <c r="G45" s="175"/>
      <c r="H45" s="175"/>
    </row>
    <row r="46" spans="3:12" x14ac:dyDescent="0.25">
      <c r="C46" s="175"/>
      <c r="D46" s="175"/>
      <c r="E46" s="175"/>
      <c r="F46" s="175"/>
      <c r="G46" s="175"/>
      <c r="H46" s="175"/>
    </row>
    <row r="47" spans="3:12" x14ac:dyDescent="0.25">
      <c r="C47" s="175"/>
      <c r="D47" s="175"/>
      <c r="E47" s="175"/>
      <c r="F47" s="175"/>
      <c r="G47" s="175"/>
      <c r="H47" s="175"/>
    </row>
    <row r="48" spans="3:12" x14ac:dyDescent="0.25">
      <c r="C48" s="184" t="s">
        <v>477</v>
      </c>
      <c r="D48" s="185">
        <v>300021</v>
      </c>
      <c r="E48" s="186"/>
      <c r="F48" s="181">
        <f>F37+F40</f>
        <v>0</v>
      </c>
      <c r="G48" s="185">
        <f t="shared" ref="G48:H48" si="2">G37+G40</f>
        <v>0</v>
      </c>
      <c r="H48" s="176">
        <f t="shared" si="2"/>
        <v>0</v>
      </c>
    </row>
    <row r="49" spans="3:8" x14ac:dyDescent="0.25">
      <c r="C49" s="177"/>
      <c r="D49" s="187">
        <v>300022</v>
      </c>
      <c r="E49" s="11"/>
      <c r="F49" s="182">
        <f>F38+F39</f>
        <v>1</v>
      </c>
      <c r="G49" s="187">
        <f t="shared" ref="G49:H49" si="3">G38+G39</f>
        <v>0</v>
      </c>
      <c r="H49" s="178">
        <f t="shared" si="3"/>
        <v>1</v>
      </c>
    </row>
    <row r="50" spans="3:8" x14ac:dyDescent="0.25">
      <c r="C50" s="177"/>
      <c r="D50" s="187">
        <v>400021</v>
      </c>
      <c r="E50" s="11"/>
      <c r="F50" s="182">
        <f>F41+F44</f>
        <v>0</v>
      </c>
      <c r="G50" s="187">
        <f t="shared" ref="G50:H50" si="4">G41+G44</f>
        <v>0</v>
      </c>
      <c r="H50" s="178">
        <f t="shared" si="4"/>
        <v>0</v>
      </c>
    </row>
    <row r="51" spans="3:8" x14ac:dyDescent="0.25">
      <c r="C51" s="179"/>
      <c r="D51" s="188">
        <v>400022</v>
      </c>
      <c r="E51" s="12"/>
      <c r="F51" s="183">
        <f>F42+F43</f>
        <v>0</v>
      </c>
      <c r="G51" s="188">
        <f t="shared" ref="G51:H51" si="5">G42+G43</f>
        <v>0</v>
      </c>
      <c r="H51" s="180">
        <f t="shared" si="5"/>
        <v>0</v>
      </c>
    </row>
    <row r="52" spans="3:8" x14ac:dyDescent="0.25">
      <c r="C52" s="175"/>
      <c r="D52" s="175"/>
      <c r="E52" s="175"/>
      <c r="F52" s="175"/>
      <c r="G52" s="175"/>
      <c r="H52" s="175"/>
    </row>
    <row r="53" spans="3:8" x14ac:dyDescent="0.25">
      <c r="C53" s="175"/>
      <c r="D53" s="175"/>
      <c r="E53" s="175"/>
      <c r="F53" s="175"/>
      <c r="G53" s="175"/>
      <c r="H53" s="175"/>
    </row>
    <row r="54" spans="3:8" x14ac:dyDescent="0.25">
      <c r="C54" s="184" t="s">
        <v>478</v>
      </c>
      <c r="D54" s="185">
        <v>300021</v>
      </c>
      <c r="E54" s="186"/>
      <c r="F54" s="181">
        <f>IFERROR(VLOOKUP(D54,$C$4:$E$32,3,FALSE),0)</f>
        <v>2</v>
      </c>
      <c r="G54" s="185"/>
      <c r="H54" s="176"/>
    </row>
    <row r="55" spans="3:8" x14ac:dyDescent="0.25">
      <c r="C55" s="177"/>
      <c r="D55" s="187">
        <v>300022</v>
      </c>
      <c r="E55" s="11"/>
      <c r="F55" s="182">
        <f>IFERROR(VLOOKUP(D55,$C$4:$E$32,3,FALSE),0)</f>
        <v>0</v>
      </c>
      <c r="G55" s="187"/>
      <c r="H55" s="178"/>
    </row>
    <row r="56" spans="3:8" x14ac:dyDescent="0.25">
      <c r="C56" s="177"/>
      <c r="D56" s="187">
        <v>400021</v>
      </c>
      <c r="E56" s="11"/>
      <c r="F56" s="182">
        <f>IFERROR(VLOOKUP(D56,$C$4:$E$32,3,FALSE),0)</f>
        <v>0</v>
      </c>
      <c r="G56" s="187"/>
      <c r="H56" s="178"/>
    </row>
    <row r="57" spans="3:8" x14ac:dyDescent="0.25">
      <c r="C57" s="179"/>
      <c r="D57" s="188">
        <v>400022</v>
      </c>
      <c r="E57" s="12"/>
      <c r="F57" s="183">
        <f>IFERROR(VLOOKUP(D57,$C$4:$E$32,3,FALSE),0)</f>
        <v>0</v>
      </c>
      <c r="G57" s="188"/>
      <c r="H57" s="180"/>
    </row>
    <row r="58" spans="3:8" x14ac:dyDescent="0.25">
      <c r="C58" s="175"/>
      <c r="D58" s="175"/>
      <c r="E58" s="175"/>
      <c r="F58" s="175"/>
      <c r="G58" s="175"/>
      <c r="H58" s="175"/>
    </row>
    <row r="59" spans="3:8" x14ac:dyDescent="0.25">
      <c r="C59" s="175"/>
      <c r="D59" s="175"/>
      <c r="E59" s="175"/>
      <c r="F59" s="175"/>
      <c r="G59" s="175"/>
      <c r="H59" s="175"/>
    </row>
    <row r="60" spans="3:8" x14ac:dyDescent="0.25">
      <c r="C60" s="181" t="s">
        <v>479</v>
      </c>
      <c r="D60" s="185">
        <v>300021</v>
      </c>
      <c r="E60" s="186"/>
      <c r="F60" s="181">
        <f>F48+F54</f>
        <v>2</v>
      </c>
      <c r="G60" s="185">
        <f t="shared" ref="G60:H60" si="6">G48+G54</f>
        <v>0</v>
      </c>
      <c r="H60" s="176">
        <f t="shared" si="6"/>
        <v>0</v>
      </c>
    </row>
    <row r="61" spans="3:8" x14ac:dyDescent="0.25">
      <c r="C61" s="182"/>
      <c r="D61" s="187">
        <v>300022</v>
      </c>
      <c r="E61" s="11"/>
      <c r="F61" s="182">
        <f t="shared" ref="F61:H61" si="7">F49+F55</f>
        <v>1</v>
      </c>
      <c r="G61" s="187">
        <f t="shared" si="7"/>
        <v>0</v>
      </c>
      <c r="H61" s="178">
        <f t="shared" si="7"/>
        <v>1</v>
      </c>
    </row>
    <row r="62" spans="3:8" x14ac:dyDescent="0.25">
      <c r="C62" s="182"/>
      <c r="D62" s="187">
        <v>400021</v>
      </c>
      <c r="E62" s="11"/>
      <c r="F62" s="182">
        <f t="shared" ref="F62:H62" si="8">F50+F56</f>
        <v>0</v>
      </c>
      <c r="G62" s="187">
        <f t="shared" si="8"/>
        <v>0</v>
      </c>
      <c r="H62" s="178">
        <f t="shared" si="8"/>
        <v>0</v>
      </c>
    </row>
    <row r="63" spans="3:8" x14ac:dyDescent="0.25">
      <c r="C63" s="183"/>
      <c r="D63" s="188">
        <v>400022</v>
      </c>
      <c r="E63" s="12"/>
      <c r="F63" s="183">
        <f t="shared" ref="F63:H63" si="9">F51+F57</f>
        <v>0</v>
      </c>
      <c r="G63" s="188">
        <f t="shared" si="9"/>
        <v>0</v>
      </c>
      <c r="H63" s="180">
        <f t="shared" si="9"/>
        <v>0</v>
      </c>
    </row>
    <row r="66" spans="3:8" x14ac:dyDescent="0.25">
      <c r="C66" s="181" t="s">
        <v>480</v>
      </c>
      <c r="D66" s="185">
        <f>IF(F60&lt;&gt;0,D60,0)</f>
        <v>300021</v>
      </c>
      <c r="E66" s="186"/>
      <c r="F66" s="185">
        <f>IFERROR(VLOOKUP(D66,$D$60:$H$63,3,FALSE),0)</f>
        <v>2</v>
      </c>
      <c r="G66" s="176">
        <f>IFERROR(VLOOKUP(D66,$D$60:$H$63,4,FALSE),0)</f>
        <v>0</v>
      </c>
      <c r="H66" s="185">
        <f>IFERROR(VLOOKUP(D66,$D$60:$H$63,5,FALSE),0)</f>
        <v>0</v>
      </c>
    </row>
    <row r="67" spans="3:8" x14ac:dyDescent="0.25">
      <c r="C67" s="182"/>
      <c r="D67" s="187">
        <f t="shared" ref="D67:D69" si="10">IF(F61&lt;&gt;0,D61,0)</f>
        <v>300022</v>
      </c>
      <c r="E67" s="11"/>
      <c r="F67" s="187">
        <f t="shared" ref="F67:F69" si="11">IFERROR(VLOOKUP(D67,$D$60:$H$63,3,FALSE),0)</f>
        <v>1</v>
      </c>
      <c r="G67" s="178">
        <f t="shared" ref="G67:G69" si="12">IFERROR(VLOOKUP(D67,$D$60:$H$63,4,FALSE),0)</f>
        <v>0</v>
      </c>
      <c r="H67" s="187">
        <f t="shared" ref="H67:H69" si="13">IFERROR(VLOOKUP(D67,$D$60:$H$63,5,FALSE),0)</f>
        <v>1</v>
      </c>
    </row>
    <row r="68" spans="3:8" x14ac:dyDescent="0.25">
      <c r="C68" s="182"/>
      <c r="D68" s="187">
        <f t="shared" si="10"/>
        <v>0</v>
      </c>
      <c r="E68" s="11"/>
      <c r="F68" s="187">
        <f t="shared" si="11"/>
        <v>0</v>
      </c>
      <c r="G68" s="178">
        <f t="shared" si="12"/>
        <v>0</v>
      </c>
      <c r="H68" s="187">
        <f t="shared" si="13"/>
        <v>0</v>
      </c>
    </row>
    <row r="69" spans="3:8" x14ac:dyDescent="0.25">
      <c r="C69" s="183"/>
      <c r="D69" s="188">
        <f t="shared" si="10"/>
        <v>0</v>
      </c>
      <c r="E69" s="12"/>
      <c r="F69" s="188">
        <f t="shared" si="11"/>
        <v>0</v>
      </c>
      <c r="G69" s="180">
        <f t="shared" si="12"/>
        <v>0</v>
      </c>
      <c r="H69" s="188">
        <f t="shared" si="13"/>
        <v>0</v>
      </c>
    </row>
    <row r="70" spans="3:8" x14ac:dyDescent="0.25">
      <c r="C70" s="175"/>
      <c r="D70" s="175"/>
      <c r="E70" s="175"/>
    </row>
    <row r="71" spans="3:8" x14ac:dyDescent="0.25">
      <c r="C71" s="175"/>
      <c r="D71" s="175"/>
      <c r="E71" s="175"/>
    </row>
    <row r="72" spans="3:8" x14ac:dyDescent="0.25">
      <c r="C72" s="175"/>
      <c r="D72" s="175"/>
      <c r="E72" s="175"/>
    </row>
    <row r="73" spans="3:8" x14ac:dyDescent="0.25">
      <c r="C73" s="175" t="str">
        <f>IF(C4=300021,0,IF(C4=300022,0,IF(C4=300023,0,IF(C4=300024,0,IF(C4=300026,0,IF(C4=300027,0,IF(C4=400021,0,IF(C4=400022,0,IF(C4=400023,0,IF(C4=400024,0,IF(C4=400026,0,IF(C4=400027,0,C4))))))))))))</f>
        <v>SOCLE</v>
      </c>
      <c r="D73" s="175"/>
      <c r="E73" s="175"/>
    </row>
    <row r="74" spans="3:8" x14ac:dyDescent="0.25">
      <c r="C74" s="175" t="str">
        <f t="shared" ref="C74:C103" si="14">IF(C5=300021,0,IF(C5=300022,0,IF(C5=300023,0,IF(C5=300024,0,IF(C5=300026,0,IF(C5=300027,0,IF(C5=400021,0,IF(C5=400022,0,IF(C5=400023,0,IF(C5=400024,0,IF(C5=400026,0,IF(C5=400027,0,C5))))))))))))</f>
        <v>P32</v>
      </c>
      <c r="D74" s="175"/>
      <c r="E74" s="175"/>
    </row>
    <row r="75" spans="3:8" x14ac:dyDescent="0.25">
      <c r="C75" s="175" t="str">
        <f t="shared" si="14"/>
        <v>P15</v>
      </c>
    </row>
    <row r="76" spans="3:8" x14ac:dyDescent="0.25">
      <c r="C76" s="175">
        <f t="shared" si="14"/>
        <v>300018</v>
      </c>
    </row>
    <row r="77" spans="3:8" x14ac:dyDescent="0.25">
      <c r="C77" s="175">
        <f t="shared" si="14"/>
        <v>0</v>
      </c>
      <c r="E77" s="175"/>
    </row>
    <row r="78" spans="3:8" x14ac:dyDescent="0.25">
      <c r="C78" s="175">
        <f t="shared" si="14"/>
        <v>0</v>
      </c>
    </row>
    <row r="79" spans="3:8" x14ac:dyDescent="0.25">
      <c r="C79" s="175">
        <f t="shared" si="14"/>
        <v>0</v>
      </c>
    </row>
    <row r="80" spans="3:8" x14ac:dyDescent="0.25">
      <c r="C80" s="175">
        <f t="shared" si="14"/>
        <v>400019</v>
      </c>
    </row>
    <row r="81" spans="3:3" x14ac:dyDescent="0.25">
      <c r="C81" s="175">
        <f t="shared" si="14"/>
        <v>400020</v>
      </c>
    </row>
    <row r="82" spans="3:3" x14ac:dyDescent="0.25">
      <c r="C82" s="175">
        <f t="shared" si="14"/>
        <v>0</v>
      </c>
    </row>
    <row r="83" spans="3:3" x14ac:dyDescent="0.25">
      <c r="C83" s="175">
        <f t="shared" si="14"/>
        <v>0</v>
      </c>
    </row>
    <row r="84" spans="3:3" x14ac:dyDescent="0.25">
      <c r="C84" s="175">
        <f t="shared" si="14"/>
        <v>0</v>
      </c>
    </row>
    <row r="85" spans="3:3" x14ac:dyDescent="0.25">
      <c r="C85" s="175">
        <f t="shared" si="14"/>
        <v>0</v>
      </c>
    </row>
    <row r="86" spans="3:3" x14ac:dyDescent="0.25">
      <c r="C86" s="175">
        <f t="shared" si="14"/>
        <v>0</v>
      </c>
    </row>
    <row r="87" spans="3:3" x14ac:dyDescent="0.25">
      <c r="C87" s="175">
        <f t="shared" si="14"/>
        <v>0</v>
      </c>
    </row>
    <row r="88" spans="3:3" x14ac:dyDescent="0.25">
      <c r="C88" s="175">
        <f t="shared" si="14"/>
        <v>0</v>
      </c>
    </row>
    <row r="89" spans="3:3" x14ac:dyDescent="0.25">
      <c r="C89" s="175">
        <f t="shared" si="14"/>
        <v>0</v>
      </c>
    </row>
    <row r="90" spans="3:3" x14ac:dyDescent="0.25">
      <c r="C90" s="175">
        <f t="shared" si="14"/>
        <v>0</v>
      </c>
    </row>
    <row r="91" spans="3:3" x14ac:dyDescent="0.25">
      <c r="C91" s="175">
        <f t="shared" si="14"/>
        <v>0</v>
      </c>
    </row>
    <row r="92" spans="3:3" x14ac:dyDescent="0.25">
      <c r="C92" s="175">
        <f t="shared" si="14"/>
        <v>0</v>
      </c>
    </row>
    <row r="93" spans="3:3" x14ac:dyDescent="0.25">
      <c r="C93" s="175">
        <f t="shared" si="14"/>
        <v>0</v>
      </c>
    </row>
    <row r="94" spans="3:3" x14ac:dyDescent="0.25">
      <c r="C94" s="175">
        <f t="shared" si="14"/>
        <v>0</v>
      </c>
    </row>
    <row r="95" spans="3:3" x14ac:dyDescent="0.25">
      <c r="C95" s="175">
        <f t="shared" si="14"/>
        <v>0</v>
      </c>
    </row>
    <row r="96" spans="3:3" x14ac:dyDescent="0.25">
      <c r="C96" s="175">
        <f t="shared" si="14"/>
        <v>0</v>
      </c>
    </row>
    <row r="97" spans="3:3" x14ac:dyDescent="0.25">
      <c r="C97" s="175">
        <f t="shared" si="14"/>
        <v>0</v>
      </c>
    </row>
    <row r="98" spans="3:3" x14ac:dyDescent="0.25">
      <c r="C98" s="175">
        <f t="shared" si="14"/>
        <v>0</v>
      </c>
    </row>
    <row r="99" spans="3:3" x14ac:dyDescent="0.25">
      <c r="C99" s="175">
        <f t="shared" si="14"/>
        <v>0</v>
      </c>
    </row>
    <row r="100" spans="3:3" x14ac:dyDescent="0.25">
      <c r="C100" s="175">
        <f t="shared" si="14"/>
        <v>0</v>
      </c>
    </row>
    <row r="101" spans="3:3" x14ac:dyDescent="0.25">
      <c r="C101" s="175">
        <f t="shared" si="14"/>
        <v>0</v>
      </c>
    </row>
    <row r="102" spans="3:3" x14ac:dyDescent="0.25">
      <c r="C102" s="175">
        <f t="shared" si="14"/>
        <v>0</v>
      </c>
    </row>
    <row r="103" spans="3:3" x14ac:dyDescent="0.25">
      <c r="C103" s="175">
        <f t="shared" si="14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8"/>
  <sheetViews>
    <sheetView workbookViewId="0">
      <pane ySplit="2" topLeftCell="A3" activePane="bottomLeft" state="frozen"/>
      <selection pane="bottomLeft" activeCell="J15" sqref="J15"/>
    </sheetView>
  </sheetViews>
  <sheetFormatPr baseColWidth="10" defaultRowHeight="15" x14ac:dyDescent="0.25"/>
  <cols>
    <col min="1" max="3" width="11.42578125" style="57"/>
    <col min="4" max="4" width="16.42578125" style="57" bestFit="1" customWidth="1"/>
    <col min="5" max="5" width="34.42578125" style="57" bestFit="1" customWidth="1"/>
    <col min="6" max="6" width="15.7109375" style="57" bestFit="1" customWidth="1"/>
    <col min="7" max="16384" width="11.42578125" style="57"/>
  </cols>
  <sheetData>
    <row r="1" spans="1:9" ht="14.25" customHeight="1" x14ac:dyDescent="0.25">
      <c r="E1" s="59" t="s">
        <v>5</v>
      </c>
      <c r="H1" s="59"/>
      <c r="I1" s="59"/>
    </row>
    <row r="2" spans="1:9" x14ac:dyDescent="0.25">
      <c r="A2" s="60" t="s">
        <v>7</v>
      </c>
      <c r="B2" s="60" t="s">
        <v>8</v>
      </c>
      <c r="C2" s="60" t="s">
        <v>6</v>
      </c>
      <c r="D2" s="60" t="s">
        <v>163</v>
      </c>
      <c r="E2" s="60" t="s">
        <v>159</v>
      </c>
      <c r="F2" s="61" t="s">
        <v>210</v>
      </c>
      <c r="G2" s="60" t="s">
        <v>7</v>
      </c>
    </row>
    <row r="3" spans="1:9" x14ac:dyDescent="0.25">
      <c r="A3" s="62">
        <v>300018</v>
      </c>
      <c r="B3" s="57">
        <v>6.5</v>
      </c>
      <c r="C3" s="57">
        <v>0.41</v>
      </c>
      <c r="D3" s="57">
        <f>ROUNDUP(C3*B3,2)</f>
        <v>2.67</v>
      </c>
      <c r="E3" s="57" t="s">
        <v>239</v>
      </c>
      <c r="F3" s="57" t="s">
        <v>211</v>
      </c>
      <c r="G3" s="62">
        <v>300018</v>
      </c>
    </row>
    <row r="4" spans="1:9" x14ac:dyDescent="0.25">
      <c r="A4" s="62">
        <v>300019</v>
      </c>
      <c r="B4" s="57">
        <v>6.5</v>
      </c>
      <c r="C4" s="57">
        <v>0.38700000000000001</v>
      </c>
      <c r="D4" s="57">
        <f t="shared" ref="D4:D35" si="0">ROUNDUP(C4*B4,2)</f>
        <v>2.5199999999999996</v>
      </c>
      <c r="E4" s="57" t="s">
        <v>451</v>
      </c>
      <c r="F4" s="57" t="s">
        <v>212</v>
      </c>
      <c r="G4" s="62">
        <v>300019</v>
      </c>
    </row>
    <row r="5" spans="1:9" x14ac:dyDescent="0.25">
      <c r="A5" s="62">
        <v>300020</v>
      </c>
      <c r="B5" s="57">
        <v>6.5</v>
      </c>
      <c r="C5" s="57">
        <v>0.40100000000000002</v>
      </c>
      <c r="D5" s="57">
        <f t="shared" si="0"/>
        <v>2.61</v>
      </c>
      <c r="E5" s="57" t="s">
        <v>452</v>
      </c>
      <c r="F5" s="57" t="s">
        <v>213</v>
      </c>
      <c r="G5" s="62">
        <v>300020</v>
      </c>
    </row>
    <row r="6" spans="1:9" x14ac:dyDescent="0.25">
      <c r="A6" s="62">
        <v>300021</v>
      </c>
      <c r="B6" s="57">
        <v>6.5</v>
      </c>
      <c r="C6" s="57">
        <v>0.42399999999999999</v>
      </c>
      <c r="D6" s="57">
        <f t="shared" si="0"/>
        <v>2.76</v>
      </c>
      <c r="E6" s="57" t="s">
        <v>442</v>
      </c>
      <c r="F6" s="57" t="s">
        <v>214</v>
      </c>
      <c r="G6" s="62">
        <v>300021</v>
      </c>
    </row>
    <row r="7" spans="1:9" x14ac:dyDescent="0.25">
      <c r="A7" s="62">
        <v>300022</v>
      </c>
      <c r="B7" s="57">
        <v>6.5</v>
      </c>
      <c r="C7" s="57">
        <v>0.42399999999999999</v>
      </c>
      <c r="D7" s="57">
        <f t="shared" si="0"/>
        <v>2.76</v>
      </c>
      <c r="E7" s="57" t="s">
        <v>240</v>
      </c>
      <c r="F7" s="57" t="s">
        <v>215</v>
      </c>
      <c r="G7" s="62">
        <v>300022</v>
      </c>
    </row>
    <row r="8" spans="1:9" x14ac:dyDescent="0.25">
      <c r="A8" s="62">
        <v>300023</v>
      </c>
      <c r="B8" s="57">
        <v>6.5</v>
      </c>
      <c r="C8" s="57">
        <v>0.42399999999999999</v>
      </c>
      <c r="D8" s="57">
        <f t="shared" si="0"/>
        <v>2.76</v>
      </c>
      <c r="E8" s="57" t="s">
        <v>482</v>
      </c>
      <c r="G8" s="62">
        <v>300023</v>
      </c>
    </row>
    <row r="9" spans="1:9" x14ac:dyDescent="0.25">
      <c r="A9" s="62">
        <v>300024</v>
      </c>
      <c r="B9" s="57">
        <v>6.5</v>
      </c>
      <c r="C9" s="57">
        <v>0.42399999999999999</v>
      </c>
      <c r="D9" s="57">
        <f t="shared" si="0"/>
        <v>2.76</v>
      </c>
      <c r="E9" s="56" t="s">
        <v>443</v>
      </c>
      <c r="G9" s="62">
        <v>300024</v>
      </c>
    </row>
    <row r="10" spans="1:9" x14ac:dyDescent="0.25">
      <c r="A10" s="62">
        <v>300025</v>
      </c>
      <c r="B10" s="57">
        <v>6.5</v>
      </c>
      <c r="C10" s="57">
        <v>0.49099999999999999</v>
      </c>
      <c r="D10" s="57">
        <f t="shared" si="0"/>
        <v>3.1999999999999997</v>
      </c>
      <c r="E10" s="57" t="s">
        <v>453</v>
      </c>
      <c r="F10" s="57" t="s">
        <v>221</v>
      </c>
      <c r="G10" s="62">
        <v>300025</v>
      </c>
    </row>
    <row r="11" spans="1:9" x14ac:dyDescent="0.25">
      <c r="A11" s="62">
        <v>300026</v>
      </c>
      <c r="B11" s="57">
        <v>6.5</v>
      </c>
      <c r="C11" s="57">
        <v>0.42399999999999999</v>
      </c>
      <c r="D11" s="57">
        <f t="shared" si="0"/>
        <v>2.76</v>
      </c>
      <c r="E11" s="57" t="s">
        <v>454</v>
      </c>
      <c r="G11" s="62">
        <v>300026</v>
      </c>
    </row>
    <row r="12" spans="1:9" x14ac:dyDescent="0.25">
      <c r="A12" s="62">
        <v>300027</v>
      </c>
      <c r="B12" s="57">
        <v>6.5</v>
      </c>
      <c r="C12" s="57">
        <v>0.42399999999999999</v>
      </c>
      <c r="D12" s="57">
        <f t="shared" si="0"/>
        <v>2.76</v>
      </c>
      <c r="E12" s="57" t="s">
        <v>455</v>
      </c>
      <c r="G12" s="62">
        <v>300027</v>
      </c>
    </row>
    <row r="13" spans="1:9" x14ac:dyDescent="0.25">
      <c r="A13" s="62">
        <v>300028</v>
      </c>
      <c r="B13" s="57">
        <v>6</v>
      </c>
      <c r="C13" s="57">
        <v>0.32800000000000001</v>
      </c>
      <c r="D13" s="57">
        <f t="shared" si="0"/>
        <v>1.97</v>
      </c>
      <c r="G13" s="62">
        <v>300028</v>
      </c>
    </row>
    <row r="14" spans="1:9" x14ac:dyDescent="0.25">
      <c r="A14" s="62">
        <v>300029</v>
      </c>
      <c r="B14" s="57">
        <v>6</v>
      </c>
      <c r="C14" s="57">
        <v>0.47799999999999998</v>
      </c>
      <c r="D14" s="57">
        <f t="shared" si="0"/>
        <v>2.8699999999999997</v>
      </c>
      <c r="G14" s="62">
        <v>300029</v>
      </c>
    </row>
    <row r="15" spans="1:9" x14ac:dyDescent="0.25">
      <c r="A15" s="62">
        <v>400018</v>
      </c>
      <c r="B15" s="57">
        <v>6.5</v>
      </c>
      <c r="C15" s="57">
        <v>0.434</v>
      </c>
      <c r="D15" s="57">
        <f t="shared" si="0"/>
        <v>2.8299999999999996</v>
      </c>
      <c r="E15" s="57" t="s">
        <v>447</v>
      </c>
      <c r="F15" s="57" t="s">
        <v>217</v>
      </c>
      <c r="G15" s="62">
        <v>400018</v>
      </c>
    </row>
    <row r="16" spans="1:9" x14ac:dyDescent="0.25">
      <c r="A16" s="62">
        <v>400019</v>
      </c>
      <c r="B16" s="57">
        <v>6.5</v>
      </c>
      <c r="C16" s="57">
        <v>0.41099999999999998</v>
      </c>
      <c r="D16" s="57">
        <f t="shared" si="0"/>
        <v>2.6799999999999997</v>
      </c>
      <c r="E16" s="57" t="s">
        <v>444</v>
      </c>
      <c r="F16" s="57" t="s">
        <v>209</v>
      </c>
      <c r="G16" s="62">
        <v>400019</v>
      </c>
    </row>
    <row r="17" spans="1:7" x14ac:dyDescent="0.25">
      <c r="A17" s="62">
        <v>400020</v>
      </c>
      <c r="B17" s="57">
        <v>6.5</v>
      </c>
      <c r="C17" s="57">
        <v>0.42499999999999999</v>
      </c>
      <c r="D17" s="57">
        <f t="shared" si="0"/>
        <v>2.7699999999999996</v>
      </c>
      <c r="E17" s="57" t="s">
        <v>445</v>
      </c>
      <c r="F17" s="57" t="s">
        <v>218</v>
      </c>
      <c r="G17" s="62">
        <v>400020</v>
      </c>
    </row>
    <row r="18" spans="1:7" x14ac:dyDescent="0.25">
      <c r="A18" s="62">
        <v>400021</v>
      </c>
      <c r="B18" s="57">
        <v>6.5</v>
      </c>
      <c r="C18" s="57">
        <v>0.44800000000000001</v>
      </c>
      <c r="D18" s="57">
        <f t="shared" si="0"/>
        <v>2.92</v>
      </c>
      <c r="E18" s="57" t="s">
        <v>448</v>
      </c>
      <c r="F18" s="57" t="s">
        <v>219</v>
      </c>
      <c r="G18" s="62">
        <v>400021</v>
      </c>
    </row>
    <row r="19" spans="1:7" x14ac:dyDescent="0.25">
      <c r="A19" s="62">
        <v>400022</v>
      </c>
      <c r="B19" s="57">
        <v>6.5</v>
      </c>
      <c r="C19" s="57">
        <v>0.44800000000000001</v>
      </c>
      <c r="D19" s="57">
        <f t="shared" si="0"/>
        <v>2.92</v>
      </c>
      <c r="E19" s="57" t="s">
        <v>456</v>
      </c>
      <c r="F19" s="57" t="s">
        <v>220</v>
      </c>
      <c r="G19" s="62">
        <v>400022</v>
      </c>
    </row>
    <row r="20" spans="1:7" x14ac:dyDescent="0.25">
      <c r="A20" s="62">
        <v>400023</v>
      </c>
      <c r="B20" s="57">
        <v>6.5</v>
      </c>
      <c r="C20" s="57">
        <v>0.44800000000000001</v>
      </c>
      <c r="D20" s="57">
        <f t="shared" si="0"/>
        <v>2.92</v>
      </c>
      <c r="E20" s="57" t="s">
        <v>457</v>
      </c>
      <c r="G20" s="62">
        <v>400023</v>
      </c>
    </row>
    <row r="21" spans="1:7" x14ac:dyDescent="0.25">
      <c r="A21" s="62">
        <v>400024</v>
      </c>
      <c r="B21" s="57">
        <v>6.5</v>
      </c>
      <c r="C21" s="57">
        <v>0.44800000000000001</v>
      </c>
      <c r="D21" s="57">
        <f t="shared" si="0"/>
        <v>2.92</v>
      </c>
      <c r="E21" s="57" t="s">
        <v>458</v>
      </c>
      <c r="G21" s="62">
        <v>400024</v>
      </c>
    </row>
    <row r="22" spans="1:7" x14ac:dyDescent="0.25">
      <c r="A22" s="62">
        <v>400025</v>
      </c>
      <c r="B22" s="57">
        <v>6.5</v>
      </c>
      <c r="C22" s="57">
        <v>0.51500000000000001</v>
      </c>
      <c r="D22" s="57">
        <f t="shared" si="0"/>
        <v>3.3499999999999996</v>
      </c>
      <c r="E22" s="57" t="s">
        <v>459</v>
      </c>
      <c r="F22" s="57" t="s">
        <v>222</v>
      </c>
      <c r="G22" s="62">
        <v>400025</v>
      </c>
    </row>
    <row r="23" spans="1:7" x14ac:dyDescent="0.25">
      <c r="A23" s="62">
        <v>400026</v>
      </c>
      <c r="B23" s="57">
        <v>6.5</v>
      </c>
      <c r="C23" s="57">
        <v>0.44800000000000001</v>
      </c>
      <c r="D23" s="57">
        <f t="shared" si="0"/>
        <v>2.92</v>
      </c>
      <c r="E23" s="57" t="s">
        <v>460</v>
      </c>
      <c r="G23" s="62">
        <v>400026</v>
      </c>
    </row>
    <row r="24" spans="1:7" x14ac:dyDescent="0.25">
      <c r="A24" s="62">
        <v>400027</v>
      </c>
      <c r="B24" s="57">
        <v>6.5</v>
      </c>
      <c r="C24" s="57">
        <v>0.44800000000000001</v>
      </c>
      <c r="D24" s="57">
        <f t="shared" si="0"/>
        <v>2.92</v>
      </c>
      <c r="E24" s="57" t="s">
        <v>461</v>
      </c>
      <c r="G24" s="62">
        <v>400027</v>
      </c>
    </row>
    <row r="25" spans="1:7" x14ac:dyDescent="0.25">
      <c r="A25" s="62">
        <v>400028</v>
      </c>
      <c r="B25" s="57">
        <v>6</v>
      </c>
      <c r="C25" s="57">
        <v>0.35199999999999998</v>
      </c>
      <c r="D25" s="57">
        <f t="shared" si="0"/>
        <v>2.1199999999999997</v>
      </c>
      <c r="G25" s="62">
        <v>400028</v>
      </c>
    </row>
    <row r="26" spans="1:7" x14ac:dyDescent="0.25">
      <c r="A26" s="62">
        <v>400029</v>
      </c>
      <c r="B26" s="57">
        <v>6</v>
      </c>
      <c r="C26" s="57">
        <v>0.502</v>
      </c>
      <c r="D26" s="57">
        <f t="shared" si="0"/>
        <v>3.0199999999999996</v>
      </c>
      <c r="G26" s="62">
        <v>400029</v>
      </c>
    </row>
    <row r="27" spans="1:7" x14ac:dyDescent="0.25">
      <c r="A27" s="62" t="s">
        <v>9</v>
      </c>
      <c r="B27" s="57">
        <v>6</v>
      </c>
      <c r="C27" s="57">
        <v>0.13</v>
      </c>
      <c r="D27" s="57">
        <f t="shared" si="0"/>
        <v>0.78</v>
      </c>
      <c r="E27" s="57" t="s">
        <v>450</v>
      </c>
      <c r="F27" s="57" t="s">
        <v>223</v>
      </c>
      <c r="G27" s="62" t="s">
        <v>9</v>
      </c>
    </row>
    <row r="28" spans="1:7" x14ac:dyDescent="0.25">
      <c r="A28" s="62" t="s">
        <v>11</v>
      </c>
      <c r="B28" s="57">
        <v>6</v>
      </c>
      <c r="C28" s="57">
        <v>0.13</v>
      </c>
      <c r="D28" s="57">
        <f t="shared" si="0"/>
        <v>0.78</v>
      </c>
      <c r="E28" s="57" t="s">
        <v>441</v>
      </c>
      <c r="F28" s="57" t="s">
        <v>208</v>
      </c>
      <c r="G28" s="62" t="s">
        <v>11</v>
      </c>
    </row>
    <row r="29" spans="1:7" x14ac:dyDescent="0.25">
      <c r="A29" s="62" t="s">
        <v>10</v>
      </c>
      <c r="B29" s="57">
        <v>6</v>
      </c>
      <c r="C29" s="57">
        <v>0.13</v>
      </c>
      <c r="D29" s="57">
        <f t="shared" si="0"/>
        <v>0.78</v>
      </c>
      <c r="E29" s="57" t="s">
        <v>449</v>
      </c>
      <c r="F29" s="57" t="s">
        <v>225</v>
      </c>
      <c r="G29" s="62" t="s">
        <v>10</v>
      </c>
    </row>
    <row r="30" spans="1:7" x14ac:dyDescent="0.25">
      <c r="A30" s="62" t="s">
        <v>4</v>
      </c>
      <c r="B30" s="57">
        <v>6</v>
      </c>
      <c r="C30" s="57">
        <v>0.13300000000000001</v>
      </c>
      <c r="D30" s="57">
        <f t="shared" si="0"/>
        <v>0.8</v>
      </c>
      <c r="E30" s="57" t="s">
        <v>481</v>
      </c>
      <c r="F30" s="57" t="s">
        <v>229</v>
      </c>
      <c r="G30" s="62" t="s">
        <v>4</v>
      </c>
    </row>
    <row r="31" spans="1:7" x14ac:dyDescent="0.25">
      <c r="A31" s="62" t="s">
        <v>12</v>
      </c>
      <c r="B31" s="57">
        <v>6</v>
      </c>
      <c r="C31" s="57">
        <v>0.14699999999999999</v>
      </c>
      <c r="D31" s="57">
        <f t="shared" si="0"/>
        <v>0.89</v>
      </c>
      <c r="E31" s="57" t="s">
        <v>440</v>
      </c>
      <c r="F31" s="57" t="s">
        <v>228</v>
      </c>
      <c r="G31" s="62" t="s">
        <v>12</v>
      </c>
    </row>
    <row r="32" spans="1:7" x14ac:dyDescent="0.25">
      <c r="A32" s="62">
        <v>100025</v>
      </c>
      <c r="B32" s="57">
        <v>6</v>
      </c>
      <c r="C32" s="57">
        <v>0.186</v>
      </c>
      <c r="D32" s="57">
        <f t="shared" si="0"/>
        <v>1.1200000000000001</v>
      </c>
      <c r="F32" s="57" t="s">
        <v>226</v>
      </c>
      <c r="G32" s="62">
        <v>100025</v>
      </c>
    </row>
    <row r="33" spans="1:7" x14ac:dyDescent="0.25">
      <c r="A33" s="62">
        <v>100033</v>
      </c>
      <c r="B33" s="57">
        <v>6</v>
      </c>
      <c r="C33" s="57">
        <v>0.17299999999999999</v>
      </c>
      <c r="D33" s="57">
        <f t="shared" si="0"/>
        <v>1.04</v>
      </c>
      <c r="F33" s="57" t="s">
        <v>224</v>
      </c>
      <c r="G33" s="62">
        <v>100033</v>
      </c>
    </row>
    <row r="34" spans="1:7" x14ac:dyDescent="0.25">
      <c r="A34" s="62" t="s">
        <v>236</v>
      </c>
      <c r="B34" s="57">
        <v>6</v>
      </c>
      <c r="C34" s="57">
        <v>0.13</v>
      </c>
      <c r="D34" s="57">
        <f t="shared" si="0"/>
        <v>0.78</v>
      </c>
      <c r="E34" s="57" t="s">
        <v>237</v>
      </c>
      <c r="F34" s="57" t="s">
        <v>227</v>
      </c>
      <c r="G34" s="62" t="s">
        <v>236</v>
      </c>
    </row>
    <row r="35" spans="1:7" x14ac:dyDescent="0.25">
      <c r="A35" s="62" t="s">
        <v>230</v>
      </c>
      <c r="B35" s="57">
        <v>6</v>
      </c>
      <c r="C35" s="57">
        <v>8.4000000000000005E-2</v>
      </c>
      <c r="D35" s="57">
        <f t="shared" si="0"/>
        <v>0.51</v>
      </c>
      <c r="E35" s="58" t="s">
        <v>462</v>
      </c>
      <c r="F35" s="57" t="s">
        <v>216</v>
      </c>
      <c r="G35" s="62" t="s">
        <v>230</v>
      </c>
    </row>
    <row r="37" spans="1:7" x14ac:dyDescent="0.25">
      <c r="A37" s="62" t="s">
        <v>164</v>
      </c>
      <c r="D37" s="57">
        <v>0</v>
      </c>
      <c r="E37" s="57" t="s">
        <v>467</v>
      </c>
      <c r="G37" s="62" t="str">
        <f>A37</f>
        <v>PAUM751</v>
      </c>
    </row>
    <row r="38" spans="1:7" x14ac:dyDescent="0.25">
      <c r="A38" s="62" t="s">
        <v>165</v>
      </c>
      <c r="D38" s="57">
        <v>0</v>
      </c>
      <c r="E38" s="57" t="s">
        <v>446</v>
      </c>
      <c r="G38" s="62" t="str">
        <f>A38</f>
        <v>PAUMTB4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K680"/>
  <sheetViews>
    <sheetView workbookViewId="0">
      <selection activeCell="D34" sqref="D34"/>
    </sheetView>
  </sheetViews>
  <sheetFormatPr baseColWidth="10" defaultRowHeight="15" x14ac:dyDescent="0.25"/>
  <sheetData>
    <row r="6" spans="1:7" ht="18.75" x14ac:dyDescent="0.3">
      <c r="A6" s="5"/>
      <c r="G6" s="6" t="s">
        <v>13</v>
      </c>
    </row>
    <row r="7" spans="1:7" x14ac:dyDescent="0.25">
      <c r="A7" s="7"/>
    </row>
    <row r="8" spans="1:7" x14ac:dyDescent="0.25">
      <c r="G8" s="8" t="s">
        <v>14</v>
      </c>
    </row>
    <row r="9" spans="1:7" x14ac:dyDescent="0.25">
      <c r="G9" s="8" t="s">
        <v>167</v>
      </c>
    </row>
    <row r="10" spans="1:7" x14ac:dyDescent="0.25">
      <c r="G10" s="8"/>
    </row>
    <row r="11" spans="1:7" x14ac:dyDescent="0.25">
      <c r="G11" s="8"/>
    </row>
    <row r="12" spans="1:7" x14ac:dyDescent="0.25">
      <c r="G12" s="8"/>
    </row>
    <row r="13" spans="1:7" x14ac:dyDescent="0.25">
      <c r="G13" s="8"/>
    </row>
    <row r="18" spans="1:11" ht="12" customHeight="1" x14ac:dyDescent="0.25">
      <c r="A18" s="9" t="s">
        <v>15</v>
      </c>
    </row>
    <row r="19" spans="1:11" ht="12" customHeight="1" x14ac:dyDescent="0.25"/>
    <row r="20" spans="1:11" ht="12" customHeight="1" x14ac:dyDescent="0.25">
      <c r="A20" t="s">
        <v>16</v>
      </c>
      <c r="B20" t="s">
        <v>17</v>
      </c>
    </row>
    <row r="21" spans="1:11" ht="12" customHeight="1" x14ac:dyDescent="0.25">
      <c r="A21" t="s">
        <v>18</v>
      </c>
      <c r="B21" t="s">
        <v>19</v>
      </c>
    </row>
    <row r="22" spans="1:11" ht="12" customHeight="1" x14ac:dyDescent="0.25">
      <c r="B22" t="s">
        <v>20</v>
      </c>
    </row>
    <row r="23" spans="1:11" ht="12" customHeight="1" x14ac:dyDescent="0.25">
      <c r="A23" t="s">
        <v>21</v>
      </c>
      <c r="B23" t="s">
        <v>22</v>
      </c>
    </row>
    <row r="24" spans="1:11" ht="12" customHeight="1" x14ac:dyDescent="0.25">
      <c r="B24" t="s">
        <v>23</v>
      </c>
    </row>
    <row r="25" spans="1:11" ht="12" customHeight="1" x14ac:dyDescent="0.25">
      <c r="B25" t="s">
        <v>24</v>
      </c>
    </row>
    <row r="26" spans="1:11" ht="12" customHeight="1" x14ac:dyDescent="0.25"/>
    <row r="27" spans="1:11" ht="12" customHeight="1" x14ac:dyDescent="0.25">
      <c r="A27" s="10" t="s">
        <v>192</v>
      </c>
      <c r="B27" s="33">
        <v>1</v>
      </c>
      <c r="C27" s="42">
        <v>2</v>
      </c>
      <c r="D27" s="40">
        <v>3</v>
      </c>
      <c r="E27" s="43">
        <v>4</v>
      </c>
      <c r="F27" s="43">
        <v>5</v>
      </c>
      <c r="G27" s="34">
        <v>6</v>
      </c>
      <c r="H27" s="38" t="s">
        <v>181</v>
      </c>
      <c r="I27" s="48">
        <v>7</v>
      </c>
      <c r="J27">
        <v>8</v>
      </c>
      <c r="K27">
        <v>9</v>
      </c>
    </row>
    <row r="28" spans="1:11" ht="12" customHeight="1" x14ac:dyDescent="0.25">
      <c r="A28" s="10"/>
      <c r="B28" s="11"/>
      <c r="D28" s="11"/>
      <c r="G28" s="10" t="s">
        <v>30</v>
      </c>
      <c r="H28" s="10" t="s">
        <v>182</v>
      </c>
    </row>
    <row r="29" spans="1:11" ht="12" customHeight="1" x14ac:dyDescent="0.25">
      <c r="A29" s="12" t="s">
        <v>25</v>
      </c>
      <c r="B29" s="12"/>
      <c r="D29" s="12"/>
      <c r="G29" s="13" t="s">
        <v>31</v>
      </c>
      <c r="H29" s="12"/>
    </row>
    <row r="30" spans="1:11" ht="12" customHeight="1" x14ac:dyDescent="0.25">
      <c r="A30" s="14" t="s">
        <v>32</v>
      </c>
      <c r="B30" s="15">
        <v>10.5</v>
      </c>
      <c r="C30" s="15">
        <v>10.5</v>
      </c>
      <c r="D30" s="15">
        <v>10.8</v>
      </c>
      <c r="E30" s="15">
        <v>10.8</v>
      </c>
      <c r="F30" s="15">
        <v>10.8</v>
      </c>
      <c r="G30" s="15">
        <v>13.42</v>
      </c>
      <c r="H30" s="15">
        <v>5.37</v>
      </c>
      <c r="I30" s="15">
        <v>7.3</v>
      </c>
      <c r="J30" s="15">
        <v>12.84</v>
      </c>
      <c r="K30" s="15">
        <v>22.18</v>
      </c>
    </row>
    <row r="31" spans="1:11" ht="12" customHeight="1" x14ac:dyDescent="0.25">
      <c r="A31" s="14" t="s">
        <v>203</v>
      </c>
      <c r="B31" s="15">
        <v>10.5</v>
      </c>
      <c r="C31" s="15">
        <v>10.5</v>
      </c>
      <c r="D31" s="15">
        <v>10.8</v>
      </c>
      <c r="E31" s="15">
        <v>10.8</v>
      </c>
      <c r="F31" s="15">
        <v>10.8</v>
      </c>
      <c r="G31" s="15">
        <v>13.42</v>
      </c>
      <c r="H31" s="15">
        <v>5.37</v>
      </c>
      <c r="I31" s="15">
        <v>7.3</v>
      </c>
      <c r="J31" s="15">
        <v>12.84</v>
      </c>
      <c r="K31" s="15">
        <v>22.18</v>
      </c>
    </row>
    <row r="32" spans="1:11" ht="12" customHeight="1" x14ac:dyDescent="0.25">
      <c r="A32" s="14" t="s">
        <v>86</v>
      </c>
      <c r="B32" s="15">
        <v>8.18</v>
      </c>
      <c r="C32" s="15">
        <v>8.18</v>
      </c>
      <c r="D32" s="15">
        <v>8.4700000000000006</v>
      </c>
      <c r="E32" s="15">
        <v>8.4700000000000006</v>
      </c>
      <c r="F32" s="15">
        <v>8.4700000000000006</v>
      </c>
      <c r="G32" s="15">
        <v>10.8</v>
      </c>
      <c r="H32" s="15">
        <v>4.66</v>
      </c>
      <c r="I32" s="15">
        <v>5.5</v>
      </c>
      <c r="J32" s="15">
        <v>10.5</v>
      </c>
      <c r="K32" s="15">
        <v>21.31</v>
      </c>
    </row>
    <row r="33" spans="1:11" ht="12" customHeight="1" x14ac:dyDescent="0.25">
      <c r="A33" s="14" t="s">
        <v>33</v>
      </c>
      <c r="B33" s="15">
        <v>6.41</v>
      </c>
      <c r="C33" s="15">
        <v>6.41</v>
      </c>
      <c r="D33" s="15">
        <v>6.72</v>
      </c>
      <c r="E33" s="15">
        <v>6.72</v>
      </c>
      <c r="F33" s="15">
        <v>6.72</v>
      </c>
      <c r="G33" s="15">
        <v>8.18</v>
      </c>
      <c r="H33" s="15">
        <v>4.3</v>
      </c>
      <c r="I33" s="15">
        <v>4.2</v>
      </c>
      <c r="J33" s="15">
        <v>8.2899999999999991</v>
      </c>
      <c r="K33" s="15">
        <v>20.43</v>
      </c>
    </row>
    <row r="34" spans="1:11" ht="12" customHeight="1" x14ac:dyDescent="0.25">
      <c r="A34" s="14" t="s">
        <v>34</v>
      </c>
      <c r="B34" s="15">
        <v>5.37</v>
      </c>
      <c r="C34" s="15">
        <v>5.37</v>
      </c>
      <c r="D34" s="15">
        <v>5.66</v>
      </c>
      <c r="E34" s="15">
        <v>5.66</v>
      </c>
      <c r="F34" s="15">
        <v>5.66</v>
      </c>
      <c r="G34" s="15">
        <v>6.77</v>
      </c>
      <c r="H34" s="15">
        <v>4.16</v>
      </c>
      <c r="I34" s="15">
        <v>4.2</v>
      </c>
      <c r="J34" s="15">
        <v>8.2899999999999991</v>
      </c>
      <c r="K34" s="15">
        <v>20.43</v>
      </c>
    </row>
    <row r="35" spans="1:11" ht="12" customHeight="1" x14ac:dyDescent="0.25">
      <c r="A35" s="14" t="s">
        <v>35</v>
      </c>
      <c r="B35" s="15">
        <v>4.9000000000000004</v>
      </c>
      <c r="C35" s="15">
        <v>4.9000000000000004</v>
      </c>
      <c r="D35" s="15">
        <v>5.19</v>
      </c>
      <c r="E35" s="15">
        <v>5.19</v>
      </c>
      <c r="F35" s="15">
        <v>5.19</v>
      </c>
      <c r="G35" s="15">
        <v>6.07</v>
      </c>
      <c r="H35" s="15">
        <v>4.0999999999999996</v>
      </c>
      <c r="I35" s="16" t="s">
        <v>38</v>
      </c>
      <c r="J35" s="16" t="s">
        <v>38</v>
      </c>
      <c r="K35" s="16" t="s">
        <v>38</v>
      </c>
    </row>
    <row r="36" spans="1:11" ht="12" customHeight="1" x14ac:dyDescent="0.25">
      <c r="A36" s="14" t="s">
        <v>36</v>
      </c>
      <c r="B36" s="15">
        <v>4.5599999999999996</v>
      </c>
      <c r="C36" s="15">
        <v>4.5599999999999996</v>
      </c>
      <c r="D36" s="15">
        <v>4.8499999999999996</v>
      </c>
      <c r="E36" s="15">
        <v>4.8499999999999996</v>
      </c>
      <c r="F36" s="15">
        <v>4.8499999999999996</v>
      </c>
      <c r="G36" s="15">
        <v>5.73</v>
      </c>
      <c r="H36" s="15">
        <v>4.05</v>
      </c>
      <c r="I36" s="16" t="s">
        <v>38</v>
      </c>
      <c r="J36" s="16" t="s">
        <v>38</v>
      </c>
      <c r="K36" s="16" t="s">
        <v>38</v>
      </c>
    </row>
    <row r="37" spans="1:11" ht="12" customHeight="1" x14ac:dyDescent="0.25">
      <c r="A37" s="14" t="s">
        <v>37</v>
      </c>
      <c r="B37" s="16" t="s">
        <v>38</v>
      </c>
      <c r="C37" s="16" t="s">
        <v>38</v>
      </c>
      <c r="D37" s="16" t="s">
        <v>38</v>
      </c>
      <c r="E37" s="16" t="s">
        <v>38</v>
      </c>
      <c r="F37" s="16" t="s">
        <v>38</v>
      </c>
      <c r="G37" s="16" t="s">
        <v>38</v>
      </c>
      <c r="H37" s="16" t="s">
        <v>38</v>
      </c>
      <c r="I37" s="16" t="s">
        <v>38</v>
      </c>
      <c r="J37" s="16" t="s">
        <v>38</v>
      </c>
      <c r="K37" s="16" t="s">
        <v>38</v>
      </c>
    </row>
    <row r="38" spans="1:11" ht="12" customHeight="1" x14ac:dyDescent="0.25">
      <c r="A38" s="14"/>
      <c r="B38" s="16"/>
      <c r="C38" s="11"/>
      <c r="D38" s="11"/>
      <c r="E38" s="11"/>
    </row>
    <row r="39" spans="1:11" ht="12" customHeight="1" x14ac:dyDescent="0.25">
      <c r="A39" s="14"/>
      <c r="B39" s="16"/>
      <c r="C39" s="11"/>
      <c r="D39" s="11"/>
      <c r="E39" s="11"/>
    </row>
    <row r="40" spans="1:11" ht="12" customHeight="1" x14ac:dyDescent="0.25"/>
    <row r="41" spans="1:11" ht="12" customHeight="1" x14ac:dyDescent="0.25"/>
    <row r="42" spans="1:11" ht="12" customHeight="1" x14ac:dyDescent="0.25">
      <c r="A42" s="9" t="s">
        <v>39</v>
      </c>
    </row>
    <row r="43" spans="1:11" ht="12" customHeight="1" x14ac:dyDescent="0.25"/>
    <row r="44" spans="1:11" ht="12" customHeight="1" x14ac:dyDescent="0.25">
      <c r="A44" t="s">
        <v>16</v>
      </c>
      <c r="B44" t="s">
        <v>40</v>
      </c>
    </row>
    <row r="45" spans="1:11" ht="12" customHeight="1" x14ac:dyDescent="0.25">
      <c r="A45" t="s">
        <v>21</v>
      </c>
      <c r="B45" t="s">
        <v>22</v>
      </c>
    </row>
    <row r="46" spans="1:11" ht="12" customHeight="1" x14ac:dyDescent="0.25">
      <c r="B46" t="s">
        <v>23</v>
      </c>
    </row>
    <row r="47" spans="1:11" ht="12" customHeight="1" x14ac:dyDescent="0.25">
      <c r="B47" t="s">
        <v>41</v>
      </c>
    </row>
    <row r="48" spans="1:11" ht="12" customHeight="1" x14ac:dyDescent="0.25">
      <c r="B48" t="s">
        <v>42</v>
      </c>
    </row>
    <row r="49" spans="1:2" ht="12" customHeight="1" x14ac:dyDescent="0.25">
      <c r="A49" t="s">
        <v>43</v>
      </c>
      <c r="B49" t="s">
        <v>44</v>
      </c>
    </row>
    <row r="50" spans="1:2" ht="12" customHeight="1" x14ac:dyDescent="0.25"/>
    <row r="51" spans="1:2" ht="12" customHeight="1" x14ac:dyDescent="0.25"/>
    <row r="52" spans="1:2" ht="12" customHeight="1" x14ac:dyDescent="0.25"/>
    <row r="53" spans="1:2" ht="12" customHeight="1" x14ac:dyDescent="0.25"/>
    <row r="54" spans="1:2" ht="12" customHeight="1" x14ac:dyDescent="0.25"/>
    <row r="55" spans="1:2" ht="12" customHeight="1" x14ac:dyDescent="0.25"/>
    <row r="56" spans="1:2" ht="12" customHeight="1" x14ac:dyDescent="0.25"/>
    <row r="57" spans="1:2" ht="12" customHeight="1" x14ac:dyDescent="0.25"/>
    <row r="58" spans="1:2" ht="12" customHeight="1" x14ac:dyDescent="0.25"/>
    <row r="59" spans="1:2" ht="12" customHeight="1" x14ac:dyDescent="0.25"/>
    <row r="60" spans="1:2" ht="12" customHeight="1" x14ac:dyDescent="0.25"/>
    <row r="61" spans="1:2" ht="12" customHeight="1" x14ac:dyDescent="0.25"/>
    <row r="62" spans="1:2" ht="12" customHeight="1" x14ac:dyDescent="0.25"/>
    <row r="63" spans="1:2" ht="12" customHeight="1" x14ac:dyDescent="0.25"/>
    <row r="64" spans="1:2" ht="12" customHeight="1" x14ac:dyDescent="0.25"/>
    <row r="65" spans="1:5" ht="12" customHeight="1" x14ac:dyDescent="0.25"/>
    <row r="66" spans="1:5" ht="12" customHeight="1" x14ac:dyDescent="0.25"/>
    <row r="67" spans="1:5" ht="12" customHeight="1" x14ac:dyDescent="0.25"/>
    <row r="68" spans="1:5" ht="12" customHeight="1" x14ac:dyDescent="0.25">
      <c r="A68" s="9" t="s">
        <v>45</v>
      </c>
    </row>
    <row r="69" spans="1:5" ht="12" customHeight="1" x14ac:dyDescent="0.25"/>
    <row r="70" spans="1:5" ht="12" customHeight="1" x14ac:dyDescent="0.25">
      <c r="A70" t="s">
        <v>16</v>
      </c>
      <c r="B70" t="s">
        <v>46</v>
      </c>
    </row>
    <row r="71" spans="1:5" ht="12" customHeight="1" x14ac:dyDescent="0.25">
      <c r="B71" t="s">
        <v>47</v>
      </c>
    </row>
    <row r="72" spans="1:5" ht="12" customHeight="1" x14ac:dyDescent="0.25">
      <c r="A72" t="s">
        <v>18</v>
      </c>
      <c r="B72" t="s">
        <v>19</v>
      </c>
    </row>
    <row r="73" spans="1:5" ht="12" customHeight="1" x14ac:dyDescent="0.25">
      <c r="B73" t="s">
        <v>20</v>
      </c>
    </row>
    <row r="74" spans="1:5" ht="12" customHeight="1" x14ac:dyDescent="0.25">
      <c r="A74" t="s">
        <v>21</v>
      </c>
      <c r="B74" t="s">
        <v>48</v>
      </c>
    </row>
    <row r="75" spans="1:5" ht="12" customHeight="1" x14ac:dyDescent="0.25">
      <c r="B75" t="s">
        <v>49</v>
      </c>
    </row>
    <row r="76" spans="1:5" ht="12" customHeight="1" x14ac:dyDescent="0.25">
      <c r="B76" t="s">
        <v>24</v>
      </c>
    </row>
    <row r="77" spans="1:5" ht="12" customHeight="1" x14ac:dyDescent="0.25">
      <c r="A77" t="s">
        <v>43</v>
      </c>
      <c r="B77" t="s">
        <v>50</v>
      </c>
    </row>
    <row r="78" spans="1:5" ht="12" customHeight="1" x14ac:dyDescent="0.25">
      <c r="A78" t="s">
        <v>51</v>
      </c>
      <c r="B78" t="s">
        <v>52</v>
      </c>
    </row>
    <row r="79" spans="1:5" ht="12" customHeight="1" x14ac:dyDescent="0.25"/>
    <row r="80" spans="1:5" ht="12" customHeight="1" x14ac:dyDescent="0.25">
      <c r="A80" s="10" t="s">
        <v>25</v>
      </c>
      <c r="B80" s="10" t="s">
        <v>26</v>
      </c>
      <c r="C80" s="10" t="s">
        <v>27</v>
      </c>
      <c r="D80" s="10" t="s">
        <v>28</v>
      </c>
      <c r="E80" s="10" t="s">
        <v>29</v>
      </c>
    </row>
    <row r="81" spans="1:5" ht="12" customHeight="1" x14ac:dyDescent="0.25">
      <c r="A81" s="10"/>
      <c r="B81" s="11"/>
      <c r="C81" s="11"/>
      <c r="D81" s="11"/>
      <c r="E81" s="10" t="s">
        <v>30</v>
      </c>
    </row>
    <row r="82" spans="1:5" ht="12" customHeight="1" x14ac:dyDescent="0.25">
      <c r="A82" s="11"/>
      <c r="B82" s="11"/>
      <c r="C82" s="11"/>
      <c r="D82" s="11"/>
      <c r="E82" s="10" t="s">
        <v>31</v>
      </c>
    </row>
    <row r="83" spans="1:5" ht="12" customHeight="1" x14ac:dyDescent="0.25">
      <c r="A83" s="12"/>
      <c r="B83" s="17" t="s">
        <v>53</v>
      </c>
      <c r="C83" s="17" t="s">
        <v>53</v>
      </c>
      <c r="D83" s="17" t="s">
        <v>53</v>
      </c>
      <c r="E83" s="17" t="s">
        <v>53</v>
      </c>
    </row>
    <row r="84" spans="1:5" ht="12" customHeight="1" x14ac:dyDescent="0.25">
      <c r="A84" s="14" t="s">
        <v>54</v>
      </c>
      <c r="B84" s="15">
        <v>8.7100000000000009</v>
      </c>
      <c r="C84" s="15">
        <v>9.01</v>
      </c>
      <c r="D84" s="15">
        <v>7.16</v>
      </c>
      <c r="E84" s="15">
        <v>9.9499999999999993</v>
      </c>
    </row>
    <row r="85" spans="1:5" ht="12" customHeight="1" x14ac:dyDescent="0.25">
      <c r="A85" s="14" t="s">
        <v>55</v>
      </c>
      <c r="B85" s="16" t="s">
        <v>38</v>
      </c>
      <c r="C85" s="11"/>
      <c r="D85" s="11"/>
      <c r="E85" s="11"/>
    </row>
    <row r="86" spans="1:5" ht="12" customHeight="1" x14ac:dyDescent="0.25"/>
    <row r="87" spans="1:5" ht="12" customHeight="1" x14ac:dyDescent="0.25"/>
    <row r="88" spans="1:5" ht="12" customHeight="1" x14ac:dyDescent="0.25">
      <c r="A88" s="9" t="s">
        <v>56</v>
      </c>
    </row>
    <row r="89" spans="1:5" ht="12" customHeight="1" x14ac:dyDescent="0.25"/>
    <row r="90" spans="1:5" ht="12" customHeight="1" x14ac:dyDescent="0.25">
      <c r="A90" t="s">
        <v>16</v>
      </c>
      <c r="B90" t="s">
        <v>57</v>
      </c>
    </row>
    <row r="91" spans="1:5" ht="12" customHeight="1" x14ac:dyDescent="0.25">
      <c r="A91" t="s">
        <v>18</v>
      </c>
      <c r="B91" t="s">
        <v>19</v>
      </c>
    </row>
    <row r="92" spans="1:5" ht="12" customHeight="1" x14ac:dyDescent="0.25">
      <c r="B92" t="s">
        <v>20</v>
      </c>
    </row>
    <row r="93" spans="1:5" ht="12" customHeight="1" x14ac:dyDescent="0.25">
      <c r="A93" t="s">
        <v>21</v>
      </c>
      <c r="B93" t="s">
        <v>48</v>
      </c>
    </row>
    <row r="94" spans="1:5" ht="12" customHeight="1" x14ac:dyDescent="0.25">
      <c r="B94" t="s">
        <v>49</v>
      </c>
    </row>
    <row r="95" spans="1:5" ht="12" customHeight="1" x14ac:dyDescent="0.25">
      <c r="B95" t="s">
        <v>41</v>
      </c>
    </row>
    <row r="96" spans="1:5" ht="12" customHeight="1" x14ac:dyDescent="0.25">
      <c r="B96" t="s">
        <v>24</v>
      </c>
    </row>
    <row r="97" spans="1:5" ht="12" customHeight="1" x14ac:dyDescent="0.25">
      <c r="A97" t="s">
        <v>43</v>
      </c>
      <c r="B97" t="s">
        <v>58</v>
      </c>
    </row>
    <row r="98" spans="1:5" ht="12" customHeight="1" x14ac:dyDescent="0.25">
      <c r="A98" t="s">
        <v>43</v>
      </c>
      <c r="B98" t="s">
        <v>59</v>
      </c>
      <c r="D98" t="s">
        <v>60</v>
      </c>
      <c r="E98" t="s">
        <v>61</v>
      </c>
    </row>
    <row r="99" spans="1:5" ht="12" customHeight="1" x14ac:dyDescent="0.25">
      <c r="D99" t="s">
        <v>62</v>
      </c>
      <c r="E99" t="s">
        <v>63</v>
      </c>
    </row>
    <row r="100" spans="1:5" ht="12" customHeight="1" x14ac:dyDescent="0.25">
      <c r="D100" t="s">
        <v>64</v>
      </c>
      <c r="E100" t="s">
        <v>65</v>
      </c>
    </row>
    <row r="101" spans="1:5" ht="12" customHeight="1" x14ac:dyDescent="0.25">
      <c r="A101" t="s">
        <v>51</v>
      </c>
      <c r="B101" t="s">
        <v>52</v>
      </c>
    </row>
    <row r="102" spans="1:5" ht="12" customHeight="1" x14ac:dyDescent="0.25"/>
    <row r="103" spans="1:5" ht="12" customHeight="1" x14ac:dyDescent="0.25">
      <c r="A103" s="10" t="s">
        <v>25</v>
      </c>
      <c r="B103" s="10" t="s">
        <v>26</v>
      </c>
      <c r="C103" s="10" t="s">
        <v>27</v>
      </c>
      <c r="D103" s="10" t="s">
        <v>28</v>
      </c>
      <c r="E103" s="10" t="s">
        <v>29</v>
      </c>
    </row>
    <row r="104" spans="1:5" ht="12" customHeight="1" x14ac:dyDescent="0.25">
      <c r="A104" s="10"/>
      <c r="B104" s="11"/>
      <c r="C104" s="11"/>
      <c r="D104" s="11"/>
      <c r="E104" s="10" t="s">
        <v>30</v>
      </c>
    </row>
    <row r="105" spans="1:5" ht="12" customHeight="1" x14ac:dyDescent="0.25">
      <c r="A105" s="11"/>
      <c r="B105" s="11"/>
      <c r="C105" s="11"/>
      <c r="D105" s="11"/>
      <c r="E105" s="10" t="s">
        <v>31</v>
      </c>
    </row>
    <row r="106" spans="1:5" ht="12" customHeight="1" x14ac:dyDescent="0.25">
      <c r="A106" s="12"/>
      <c r="B106" s="17" t="s">
        <v>53</v>
      </c>
      <c r="C106" s="17" t="s">
        <v>53</v>
      </c>
      <c r="D106" s="17" t="s">
        <v>53</v>
      </c>
      <c r="E106" s="17" t="s">
        <v>53</v>
      </c>
    </row>
    <row r="107" spans="1:5" ht="12" customHeight="1" x14ac:dyDescent="0.25">
      <c r="A107" s="18" t="s">
        <v>66</v>
      </c>
      <c r="B107" s="19">
        <v>11.19</v>
      </c>
      <c r="C107" s="19">
        <v>12.75</v>
      </c>
      <c r="D107" s="19">
        <v>8.08</v>
      </c>
      <c r="E107" s="19">
        <v>13.07</v>
      </c>
    </row>
    <row r="108" spans="1:5" ht="12" customHeight="1" x14ac:dyDescent="0.25">
      <c r="A108" s="18" t="s">
        <v>67</v>
      </c>
      <c r="B108" s="19">
        <v>8.0299999999999994</v>
      </c>
      <c r="C108" s="19">
        <v>8.33</v>
      </c>
      <c r="D108" s="19">
        <v>7.48</v>
      </c>
      <c r="E108" s="19">
        <v>9.7100000000000009</v>
      </c>
    </row>
    <row r="109" spans="1:5" ht="12" customHeight="1" x14ac:dyDescent="0.25">
      <c r="A109" s="18" t="s">
        <v>68</v>
      </c>
      <c r="B109" s="19">
        <v>6.35</v>
      </c>
      <c r="C109" s="19">
        <v>6.65</v>
      </c>
      <c r="D109" s="19">
        <v>6.22</v>
      </c>
      <c r="E109" s="19">
        <v>7.83</v>
      </c>
    </row>
    <row r="110" spans="1:5" ht="12" customHeight="1" x14ac:dyDescent="0.25">
      <c r="A110" s="18" t="s">
        <v>69</v>
      </c>
      <c r="B110" s="19">
        <v>5.41</v>
      </c>
      <c r="C110" s="19">
        <v>5.73</v>
      </c>
      <c r="D110" s="19">
        <v>5.41</v>
      </c>
      <c r="E110" s="19">
        <v>6.91</v>
      </c>
    </row>
    <row r="111" spans="1:5" ht="12" customHeight="1" x14ac:dyDescent="0.25">
      <c r="A111" s="18" t="s">
        <v>36</v>
      </c>
      <c r="B111" s="19">
        <v>5.15</v>
      </c>
      <c r="C111" s="19">
        <v>5.48</v>
      </c>
      <c r="D111" s="19">
        <v>5.15</v>
      </c>
      <c r="E111" s="19">
        <v>6.65</v>
      </c>
    </row>
    <row r="112" spans="1:5" ht="12" customHeight="1" x14ac:dyDescent="0.25">
      <c r="A112" s="18" t="s">
        <v>37</v>
      </c>
      <c r="B112" s="8" t="s">
        <v>38</v>
      </c>
    </row>
    <row r="113" spans="1:3" ht="12" customHeight="1" x14ac:dyDescent="0.25"/>
    <row r="114" spans="1:3" ht="12" customHeight="1" x14ac:dyDescent="0.25">
      <c r="A114" s="20" t="s">
        <v>70</v>
      </c>
      <c r="C114" s="21" t="s">
        <v>71</v>
      </c>
    </row>
    <row r="115" spans="1:3" ht="12" customHeight="1" x14ac:dyDescent="0.25">
      <c r="A115" s="22" t="s">
        <v>72</v>
      </c>
      <c r="C115" t="s">
        <v>73</v>
      </c>
    </row>
    <row r="116" spans="1:3" ht="12" customHeight="1" x14ac:dyDescent="0.25">
      <c r="A116" s="23" t="s">
        <v>74</v>
      </c>
      <c r="C116" t="s">
        <v>75</v>
      </c>
    </row>
    <row r="117" spans="1:3" ht="12" customHeight="1" x14ac:dyDescent="0.25">
      <c r="A117" t="s">
        <v>76</v>
      </c>
    </row>
    <row r="118" spans="1:3" ht="12" customHeight="1" x14ac:dyDescent="0.25"/>
    <row r="119" spans="1:3" ht="12" customHeight="1" x14ac:dyDescent="0.25">
      <c r="A119" s="24"/>
    </row>
    <row r="120" spans="1:3" ht="12" customHeight="1" x14ac:dyDescent="0.25"/>
    <row r="121" spans="1:3" ht="12" customHeight="1" x14ac:dyDescent="0.25"/>
    <row r="122" spans="1:3" ht="12" customHeight="1" x14ac:dyDescent="0.25"/>
    <row r="123" spans="1:3" ht="12" customHeight="1" x14ac:dyDescent="0.25"/>
    <row r="124" spans="1:3" ht="12" customHeight="1" x14ac:dyDescent="0.25"/>
    <row r="125" spans="1:3" ht="12" customHeight="1" x14ac:dyDescent="0.25"/>
    <row r="126" spans="1:3" ht="12" customHeight="1" x14ac:dyDescent="0.25"/>
    <row r="127" spans="1:3" ht="12" customHeight="1" x14ac:dyDescent="0.25"/>
    <row r="128" spans="1:3" ht="12" customHeight="1" x14ac:dyDescent="0.25"/>
    <row r="129" spans="1:5" ht="12" customHeight="1" x14ac:dyDescent="0.25"/>
    <row r="130" spans="1:5" ht="12" customHeight="1" x14ac:dyDescent="0.25"/>
    <row r="131" spans="1:5" ht="12" customHeight="1" x14ac:dyDescent="0.25">
      <c r="A131" s="9" t="s">
        <v>77</v>
      </c>
    </row>
    <row r="132" spans="1:5" ht="12" customHeight="1" x14ac:dyDescent="0.25"/>
    <row r="133" spans="1:5" ht="12" customHeight="1" x14ac:dyDescent="0.25">
      <c r="A133" t="s">
        <v>16</v>
      </c>
      <c r="B133" t="s">
        <v>17</v>
      </c>
    </row>
    <row r="134" spans="1:5" ht="12" customHeight="1" x14ac:dyDescent="0.25">
      <c r="A134" t="s">
        <v>18</v>
      </c>
      <c r="B134" t="s">
        <v>78</v>
      </c>
    </row>
    <row r="135" spans="1:5" ht="12" customHeight="1" x14ac:dyDescent="0.25">
      <c r="A135" t="s">
        <v>21</v>
      </c>
      <c r="B135" t="s">
        <v>22</v>
      </c>
    </row>
    <row r="136" spans="1:5" ht="12" customHeight="1" x14ac:dyDescent="0.25">
      <c r="B136" t="s">
        <v>23</v>
      </c>
    </row>
    <row r="137" spans="1:5" ht="12" customHeight="1" x14ac:dyDescent="0.25">
      <c r="B137" t="s">
        <v>24</v>
      </c>
    </row>
    <row r="138" spans="1:5" ht="12" customHeight="1" x14ac:dyDescent="0.25"/>
    <row r="139" spans="1:5" ht="12" customHeight="1" x14ac:dyDescent="0.25">
      <c r="A139" s="13" t="s">
        <v>25</v>
      </c>
      <c r="B139" s="13"/>
      <c r="C139" s="10"/>
      <c r="D139" s="10"/>
      <c r="E139" s="10"/>
    </row>
    <row r="140" spans="1:5" ht="12" customHeight="1" x14ac:dyDescent="0.25">
      <c r="A140" s="14" t="s">
        <v>54</v>
      </c>
      <c r="B140" s="15">
        <v>7.58</v>
      </c>
      <c r="C140" s="15"/>
      <c r="D140" s="15"/>
      <c r="E140" s="15"/>
    </row>
    <row r="141" spans="1:5" ht="12" customHeight="1" x14ac:dyDescent="0.25">
      <c r="A141" s="14" t="s">
        <v>79</v>
      </c>
      <c r="B141" s="15">
        <v>5.84</v>
      </c>
      <c r="C141" s="15"/>
      <c r="D141" s="15"/>
      <c r="E141" s="15"/>
    </row>
    <row r="142" spans="1:5" ht="12" customHeight="1" x14ac:dyDescent="0.25">
      <c r="A142" s="14" t="s">
        <v>35</v>
      </c>
      <c r="B142" s="15">
        <v>4.09</v>
      </c>
      <c r="C142" s="15"/>
      <c r="D142" s="15"/>
      <c r="E142" s="15"/>
    </row>
    <row r="143" spans="1:5" ht="12" customHeight="1" x14ac:dyDescent="0.25">
      <c r="A143" s="14" t="s">
        <v>80</v>
      </c>
      <c r="B143" s="16" t="s">
        <v>38</v>
      </c>
      <c r="C143" s="11"/>
      <c r="D143" s="11"/>
      <c r="E143" s="11"/>
    </row>
    <row r="144" spans="1:5" ht="12" customHeight="1" x14ac:dyDescent="0.25"/>
    <row r="145" spans="1:2" ht="12" customHeight="1" x14ac:dyDescent="0.25"/>
    <row r="146" spans="1:2" ht="12" customHeight="1" x14ac:dyDescent="0.25"/>
    <row r="147" spans="1:2" ht="12" customHeight="1" x14ac:dyDescent="0.25">
      <c r="A147" t="s">
        <v>16</v>
      </c>
      <c r="B147" t="s">
        <v>81</v>
      </c>
    </row>
    <row r="148" spans="1:2" ht="12" customHeight="1" x14ac:dyDescent="0.25">
      <c r="A148" t="s">
        <v>18</v>
      </c>
      <c r="B148" t="s">
        <v>78</v>
      </c>
    </row>
    <row r="149" spans="1:2" ht="12" customHeight="1" x14ac:dyDescent="0.25">
      <c r="A149" t="s">
        <v>21</v>
      </c>
      <c r="B149" t="s">
        <v>82</v>
      </c>
    </row>
    <row r="150" spans="1:2" ht="12" customHeight="1" x14ac:dyDescent="0.25">
      <c r="B150" t="s">
        <v>41</v>
      </c>
    </row>
    <row r="151" spans="1:2" ht="12" customHeight="1" x14ac:dyDescent="0.25">
      <c r="B151" t="s">
        <v>24</v>
      </c>
    </row>
    <row r="152" spans="1:2" ht="12" customHeight="1" x14ac:dyDescent="0.25">
      <c r="A152" t="s">
        <v>51</v>
      </c>
      <c r="B152" t="s">
        <v>83</v>
      </c>
    </row>
    <row r="153" spans="1:2" ht="12" customHeight="1" x14ac:dyDescent="0.25">
      <c r="B153" t="s">
        <v>84</v>
      </c>
    </row>
    <row r="154" spans="1:2" ht="12" customHeight="1" x14ac:dyDescent="0.25"/>
    <row r="155" spans="1:2" ht="12" customHeight="1" x14ac:dyDescent="0.25">
      <c r="A155" s="13" t="s">
        <v>25</v>
      </c>
      <c r="B155" s="13"/>
    </row>
    <row r="156" spans="1:2" ht="12" customHeight="1" x14ac:dyDescent="0.25">
      <c r="A156" s="14" t="s">
        <v>85</v>
      </c>
      <c r="B156" s="15">
        <v>11.96</v>
      </c>
    </row>
    <row r="157" spans="1:2" ht="12" customHeight="1" x14ac:dyDescent="0.25">
      <c r="A157" s="14" t="s">
        <v>86</v>
      </c>
      <c r="B157" s="15">
        <v>9.98</v>
      </c>
    </row>
    <row r="158" spans="1:2" ht="12" customHeight="1" x14ac:dyDescent="0.25">
      <c r="A158" s="14" t="s">
        <v>79</v>
      </c>
      <c r="B158" s="15">
        <v>7.53</v>
      </c>
    </row>
    <row r="159" spans="1:2" ht="12" customHeight="1" x14ac:dyDescent="0.25">
      <c r="A159" s="14" t="s">
        <v>87</v>
      </c>
      <c r="B159" s="16" t="s">
        <v>38</v>
      </c>
    </row>
    <row r="160" spans="1:2" ht="12" customHeight="1" x14ac:dyDescent="0.25"/>
    <row r="161" spans="1:1" ht="12" customHeight="1" x14ac:dyDescent="0.25">
      <c r="A161" s="25" t="s">
        <v>88</v>
      </c>
    </row>
    <row r="162" spans="1:1" ht="12" customHeight="1" x14ac:dyDescent="0.25">
      <c r="A162" s="25" t="s">
        <v>89</v>
      </c>
    </row>
    <row r="163" spans="1:1" ht="12" customHeight="1" x14ac:dyDescent="0.25">
      <c r="A163" s="25" t="s">
        <v>90</v>
      </c>
    </row>
    <row r="164" spans="1:1" ht="12" customHeight="1" x14ac:dyDescent="0.25">
      <c r="A164" s="25" t="s">
        <v>91</v>
      </c>
    </row>
    <row r="165" spans="1:1" ht="12" customHeight="1" x14ac:dyDescent="0.25">
      <c r="A165" s="25" t="s">
        <v>92</v>
      </c>
    </row>
    <row r="166" spans="1:1" ht="12" customHeight="1" x14ac:dyDescent="0.25">
      <c r="A166" s="25" t="s">
        <v>93</v>
      </c>
    </row>
    <row r="167" spans="1:1" ht="12" customHeight="1" x14ac:dyDescent="0.25">
      <c r="A167" s="25" t="s">
        <v>94</v>
      </c>
    </row>
    <row r="168" spans="1:1" ht="12" customHeight="1" x14ac:dyDescent="0.25"/>
    <row r="169" spans="1:1" ht="12" customHeight="1" x14ac:dyDescent="0.25"/>
    <row r="170" spans="1:1" ht="12" customHeight="1" x14ac:dyDescent="0.25"/>
    <row r="171" spans="1:1" ht="12" customHeight="1" x14ac:dyDescent="0.25"/>
    <row r="172" spans="1:1" ht="12" customHeight="1" x14ac:dyDescent="0.25"/>
    <row r="173" spans="1:1" ht="12" customHeight="1" x14ac:dyDescent="0.25"/>
    <row r="174" spans="1:1" ht="12" customHeight="1" x14ac:dyDescent="0.25"/>
    <row r="175" spans="1:1" ht="12" customHeight="1" x14ac:dyDescent="0.25"/>
    <row r="176" spans="1:1" ht="12" customHeight="1" x14ac:dyDescent="0.25"/>
    <row r="177" ht="12" customHeight="1" x14ac:dyDescent="0.25"/>
    <row r="178" ht="12" customHeight="1" x14ac:dyDescent="0.25"/>
    <row r="179" ht="12" customHeight="1" x14ac:dyDescent="0.25"/>
    <row r="180" ht="12" customHeight="1" x14ac:dyDescent="0.25"/>
    <row r="181" ht="12" customHeight="1" x14ac:dyDescent="0.25"/>
    <row r="182" ht="12" customHeight="1" x14ac:dyDescent="0.25"/>
    <row r="183" ht="12" customHeight="1" x14ac:dyDescent="0.25"/>
    <row r="184" ht="12" customHeight="1" x14ac:dyDescent="0.25"/>
    <row r="185" ht="12" customHeight="1" x14ac:dyDescent="0.25"/>
    <row r="186" ht="12" customHeight="1" x14ac:dyDescent="0.25"/>
    <row r="187" ht="12" customHeight="1" x14ac:dyDescent="0.25"/>
    <row r="188" ht="12" customHeight="1" x14ac:dyDescent="0.25"/>
    <row r="189" ht="12" customHeight="1" x14ac:dyDescent="0.25"/>
    <row r="190" ht="12" customHeight="1" x14ac:dyDescent="0.25"/>
    <row r="191" ht="12" customHeight="1" x14ac:dyDescent="0.25"/>
    <row r="192" ht="12" customHeight="1" x14ac:dyDescent="0.25"/>
    <row r="193" spans="1:5" ht="12" customHeight="1" x14ac:dyDescent="0.25">
      <c r="A193" s="9" t="s">
        <v>95</v>
      </c>
    </row>
    <row r="194" spans="1:5" ht="12" customHeight="1" x14ac:dyDescent="0.25"/>
    <row r="195" spans="1:5" ht="12" customHeight="1" x14ac:dyDescent="0.25">
      <c r="A195" t="s">
        <v>16</v>
      </c>
      <c r="B195" t="s">
        <v>17</v>
      </c>
    </row>
    <row r="196" spans="1:5" ht="12" customHeight="1" x14ac:dyDescent="0.25">
      <c r="A196" t="s">
        <v>18</v>
      </c>
      <c r="B196" t="s">
        <v>96</v>
      </c>
    </row>
    <row r="197" spans="1:5" ht="12" customHeight="1" x14ac:dyDescent="0.25">
      <c r="A197" t="s">
        <v>21</v>
      </c>
      <c r="B197" t="s">
        <v>22</v>
      </c>
    </row>
    <row r="198" spans="1:5" ht="12" customHeight="1" x14ac:dyDescent="0.25">
      <c r="B198" t="s">
        <v>23</v>
      </c>
    </row>
    <row r="199" spans="1:5" ht="12" customHeight="1" x14ac:dyDescent="0.25">
      <c r="B199" t="s">
        <v>24</v>
      </c>
    </row>
    <row r="200" spans="1:5" ht="12" customHeight="1" x14ac:dyDescent="0.25">
      <c r="A200" t="s">
        <v>43</v>
      </c>
      <c r="B200" s="21" t="s">
        <v>97</v>
      </c>
    </row>
    <row r="201" spans="1:5" ht="12" customHeight="1" x14ac:dyDescent="0.25"/>
    <row r="202" spans="1:5" ht="12" customHeight="1" x14ac:dyDescent="0.25">
      <c r="A202" s="10" t="s">
        <v>25</v>
      </c>
      <c r="B202" s="10" t="s">
        <v>98</v>
      </c>
      <c r="C202" s="10" t="s">
        <v>99</v>
      </c>
      <c r="D202" s="10" t="s">
        <v>100</v>
      </c>
      <c r="E202" s="10"/>
    </row>
    <row r="203" spans="1:5" ht="12" customHeight="1" x14ac:dyDescent="0.25">
      <c r="A203" s="10"/>
      <c r="B203" s="11">
        <v>7</v>
      </c>
      <c r="C203" s="11">
        <v>8</v>
      </c>
      <c r="D203" s="11">
        <v>9</v>
      </c>
      <c r="E203" s="10"/>
    </row>
    <row r="204" spans="1:5" ht="12" customHeight="1" x14ac:dyDescent="0.25">
      <c r="A204" s="12"/>
      <c r="B204" s="12"/>
      <c r="C204" s="12"/>
      <c r="D204" s="12"/>
      <c r="E204" s="13"/>
    </row>
    <row r="205" spans="1:5" ht="12" customHeight="1" x14ac:dyDescent="0.25">
      <c r="A205" s="14" t="s">
        <v>85</v>
      </c>
      <c r="B205" s="15">
        <v>7.3</v>
      </c>
      <c r="C205" s="15">
        <v>12.84</v>
      </c>
      <c r="D205" s="15">
        <v>22.18</v>
      </c>
      <c r="E205" s="15"/>
    </row>
    <row r="206" spans="1:5" ht="12" customHeight="1" x14ac:dyDescent="0.25">
      <c r="A206" s="14" t="s">
        <v>86</v>
      </c>
      <c r="B206" s="15">
        <v>5.5</v>
      </c>
      <c r="C206" s="15">
        <v>10.5</v>
      </c>
      <c r="D206" s="15">
        <v>21.31</v>
      </c>
      <c r="E206" s="15"/>
    </row>
    <row r="207" spans="1:5" ht="12" customHeight="1" x14ac:dyDescent="0.25">
      <c r="A207" s="14" t="s">
        <v>79</v>
      </c>
      <c r="B207" s="15">
        <v>4.2</v>
      </c>
      <c r="C207" s="15">
        <v>8.2899999999999991</v>
      </c>
      <c r="D207" s="15">
        <v>20.43</v>
      </c>
      <c r="E207" s="15"/>
    </row>
    <row r="208" spans="1:5" ht="12" customHeight="1" x14ac:dyDescent="0.25">
      <c r="A208" s="14" t="s">
        <v>87</v>
      </c>
      <c r="B208" s="16" t="s">
        <v>38</v>
      </c>
      <c r="C208" s="16" t="s">
        <v>38</v>
      </c>
      <c r="D208" s="16" t="s">
        <v>38</v>
      </c>
      <c r="E208" s="11"/>
    </row>
    <row r="209" spans="1:2" ht="12" customHeight="1" x14ac:dyDescent="0.25"/>
    <row r="210" spans="1:2" ht="12" customHeight="1" x14ac:dyDescent="0.25">
      <c r="A210" s="26" t="s">
        <v>39</v>
      </c>
    </row>
    <row r="211" spans="1:2" ht="12" customHeight="1" x14ac:dyDescent="0.25"/>
    <row r="212" spans="1:2" ht="12" customHeight="1" x14ac:dyDescent="0.25">
      <c r="A212" t="s">
        <v>16</v>
      </c>
      <c r="B212" t="s">
        <v>40</v>
      </c>
    </row>
    <row r="213" spans="1:2" ht="12" customHeight="1" x14ac:dyDescent="0.25">
      <c r="A213" t="s">
        <v>21</v>
      </c>
      <c r="B213" t="s">
        <v>22</v>
      </c>
    </row>
    <row r="214" spans="1:2" ht="12" customHeight="1" x14ac:dyDescent="0.25">
      <c r="B214" t="s">
        <v>23</v>
      </c>
    </row>
    <row r="215" spans="1:2" ht="12" customHeight="1" x14ac:dyDescent="0.25">
      <c r="B215" t="s">
        <v>41</v>
      </c>
    </row>
    <row r="216" spans="1:2" ht="12" customHeight="1" x14ac:dyDescent="0.25">
      <c r="B216" t="s">
        <v>42</v>
      </c>
    </row>
    <row r="217" spans="1:2" ht="12" customHeight="1" x14ac:dyDescent="0.25">
      <c r="A217" t="s">
        <v>43</v>
      </c>
      <c r="B217" t="s">
        <v>44</v>
      </c>
    </row>
    <row r="218" spans="1:2" ht="12" customHeight="1" x14ac:dyDescent="0.25"/>
    <row r="219" spans="1:2" ht="12" customHeight="1" x14ac:dyDescent="0.25"/>
    <row r="220" spans="1:2" ht="12" customHeight="1" x14ac:dyDescent="0.25"/>
    <row r="221" spans="1:2" ht="12" customHeight="1" x14ac:dyDescent="0.25">
      <c r="A221" s="9" t="s">
        <v>102</v>
      </c>
    </row>
    <row r="222" spans="1:2" ht="12" customHeight="1" x14ac:dyDescent="0.25"/>
    <row r="223" spans="1:2" ht="12" customHeight="1" x14ac:dyDescent="0.25">
      <c r="A223" t="s">
        <v>16</v>
      </c>
      <c r="B223" t="s">
        <v>81</v>
      </c>
    </row>
    <row r="224" spans="1:2" ht="12" customHeight="1" x14ac:dyDescent="0.25">
      <c r="A224" t="s">
        <v>103</v>
      </c>
      <c r="B224" t="s">
        <v>104</v>
      </c>
    </row>
    <row r="225" spans="1:3" ht="12" customHeight="1" x14ac:dyDescent="0.25">
      <c r="A225" t="s">
        <v>18</v>
      </c>
      <c r="B225" t="s">
        <v>96</v>
      </c>
    </row>
    <row r="226" spans="1:3" ht="12" customHeight="1" x14ac:dyDescent="0.25">
      <c r="A226" t="s">
        <v>21</v>
      </c>
      <c r="B226" t="s">
        <v>82</v>
      </c>
    </row>
    <row r="227" spans="1:3" ht="12" customHeight="1" x14ac:dyDescent="0.25">
      <c r="B227" t="s">
        <v>41</v>
      </c>
    </row>
    <row r="228" spans="1:3" ht="12" customHeight="1" x14ac:dyDescent="0.25">
      <c r="B228" t="s">
        <v>24</v>
      </c>
    </row>
    <row r="229" spans="1:3" ht="12" customHeight="1" x14ac:dyDescent="0.25">
      <c r="A229" t="s">
        <v>51</v>
      </c>
      <c r="B229" t="s">
        <v>83</v>
      </c>
    </row>
    <row r="230" spans="1:3" ht="12" customHeight="1" x14ac:dyDescent="0.25">
      <c r="B230" t="s">
        <v>84</v>
      </c>
    </row>
    <row r="231" spans="1:3" ht="12" customHeight="1" x14ac:dyDescent="0.25"/>
    <row r="232" spans="1:3" ht="12" customHeight="1" x14ac:dyDescent="0.25">
      <c r="A232" s="10" t="s">
        <v>25</v>
      </c>
      <c r="B232" s="10" t="s">
        <v>98</v>
      </c>
      <c r="C232" s="10" t="s">
        <v>99</v>
      </c>
    </row>
    <row r="233" spans="1:3" ht="12" customHeight="1" x14ac:dyDescent="0.25">
      <c r="A233" s="10"/>
      <c r="B233" s="11" t="s">
        <v>101</v>
      </c>
      <c r="C233" s="11"/>
    </row>
    <row r="234" spans="1:3" ht="12" customHeight="1" x14ac:dyDescent="0.25">
      <c r="A234" s="12"/>
      <c r="B234" s="12"/>
      <c r="C234" s="12"/>
    </row>
    <row r="235" spans="1:3" ht="12" customHeight="1" x14ac:dyDescent="0.25">
      <c r="A235" s="14" t="s">
        <v>85</v>
      </c>
      <c r="B235" s="15">
        <v>11.96</v>
      </c>
      <c r="C235" s="15">
        <v>20.61</v>
      </c>
    </row>
    <row r="236" spans="1:3" ht="12" customHeight="1" x14ac:dyDescent="0.25">
      <c r="A236" s="14" t="s">
        <v>86</v>
      </c>
      <c r="B236" s="15">
        <v>9.98</v>
      </c>
      <c r="C236" s="15">
        <v>18.91</v>
      </c>
    </row>
    <row r="237" spans="1:3" ht="12" customHeight="1" x14ac:dyDescent="0.25">
      <c r="A237" s="14" t="s">
        <v>79</v>
      </c>
      <c r="B237" s="15">
        <v>7.53</v>
      </c>
      <c r="C237" s="15">
        <v>4.3</v>
      </c>
    </row>
    <row r="238" spans="1:3" ht="12" customHeight="1" x14ac:dyDescent="0.25">
      <c r="A238" s="14" t="s">
        <v>87</v>
      </c>
      <c r="B238" s="16" t="s">
        <v>38</v>
      </c>
      <c r="C238" s="11"/>
    </row>
    <row r="239" spans="1:3" ht="12" customHeight="1" x14ac:dyDescent="0.25"/>
    <row r="240" spans="1:3" ht="12" customHeight="1" x14ac:dyDescent="0.25"/>
    <row r="241" ht="12" customHeight="1" x14ac:dyDescent="0.25"/>
    <row r="242" ht="12" customHeight="1" x14ac:dyDescent="0.25"/>
    <row r="243" ht="12" customHeight="1" x14ac:dyDescent="0.25"/>
    <row r="244" ht="12" customHeight="1" x14ac:dyDescent="0.25"/>
    <row r="245" ht="12" customHeight="1" x14ac:dyDescent="0.25"/>
    <row r="246" ht="12" customHeight="1" x14ac:dyDescent="0.25"/>
    <row r="247" ht="12" customHeight="1" x14ac:dyDescent="0.25"/>
    <row r="248" ht="12" customHeight="1" x14ac:dyDescent="0.25"/>
    <row r="249" ht="12" customHeight="1" x14ac:dyDescent="0.25"/>
    <row r="250" ht="12" customHeight="1" x14ac:dyDescent="0.25"/>
    <row r="251" ht="12" customHeight="1" x14ac:dyDescent="0.25"/>
    <row r="252" ht="12" customHeight="1" x14ac:dyDescent="0.25"/>
    <row r="253" ht="12" customHeight="1" x14ac:dyDescent="0.25"/>
    <row r="254" ht="12" customHeight="1" x14ac:dyDescent="0.25"/>
    <row r="255" ht="12" customHeight="1" x14ac:dyDescent="0.25"/>
    <row r="256" ht="12" customHeight="1" x14ac:dyDescent="0.25"/>
    <row r="257" spans="1:2" ht="12" customHeight="1" x14ac:dyDescent="0.25">
      <c r="A257" s="9" t="s">
        <v>105</v>
      </c>
    </row>
    <row r="258" spans="1:2" ht="12" customHeight="1" x14ac:dyDescent="0.25"/>
    <row r="259" spans="1:2" ht="12" customHeight="1" x14ac:dyDescent="0.25">
      <c r="A259" t="s">
        <v>16</v>
      </c>
      <c r="B259" t="s">
        <v>106</v>
      </c>
    </row>
    <row r="260" spans="1:2" ht="12" customHeight="1" x14ac:dyDescent="0.25">
      <c r="A260" t="s">
        <v>18</v>
      </c>
      <c r="B260" t="s">
        <v>96</v>
      </c>
    </row>
    <row r="261" spans="1:2" ht="12" customHeight="1" x14ac:dyDescent="0.25">
      <c r="A261" t="s">
        <v>21</v>
      </c>
      <c r="B261" t="s">
        <v>107</v>
      </c>
    </row>
    <row r="262" spans="1:2" ht="12" customHeight="1" x14ac:dyDescent="0.25">
      <c r="B262" t="s">
        <v>108</v>
      </c>
    </row>
    <row r="263" spans="1:2" ht="12" customHeight="1" x14ac:dyDescent="0.25">
      <c r="B263" t="s">
        <v>109</v>
      </c>
    </row>
    <row r="264" spans="1:2" ht="12" customHeight="1" x14ac:dyDescent="0.25">
      <c r="B264" t="s">
        <v>41</v>
      </c>
    </row>
    <row r="265" spans="1:2" ht="12" customHeight="1" x14ac:dyDescent="0.25">
      <c r="A265" t="s">
        <v>51</v>
      </c>
      <c r="B265" t="s">
        <v>83</v>
      </c>
    </row>
    <row r="266" spans="1:2" ht="12" customHeight="1" x14ac:dyDescent="0.25">
      <c r="B266" t="s">
        <v>84</v>
      </c>
    </row>
    <row r="267" spans="1:2" ht="12" customHeight="1" x14ac:dyDescent="0.25"/>
    <row r="268" spans="1:2" ht="12" customHeight="1" x14ac:dyDescent="0.25"/>
    <row r="269" spans="1:2" ht="12" customHeight="1" x14ac:dyDescent="0.25"/>
    <row r="270" spans="1:2" ht="12" customHeight="1" x14ac:dyDescent="0.25"/>
    <row r="271" spans="1:2" ht="12" customHeight="1" x14ac:dyDescent="0.25">
      <c r="A271" s="9" t="s">
        <v>110</v>
      </c>
    </row>
    <row r="272" spans="1:2" ht="12" customHeight="1" x14ac:dyDescent="0.25"/>
    <row r="273" spans="1:7" ht="12" customHeight="1" x14ac:dyDescent="0.25">
      <c r="A273" s="10" t="s">
        <v>25</v>
      </c>
      <c r="B273" s="10" t="s">
        <v>111</v>
      </c>
    </row>
    <row r="274" spans="1:7" ht="12" customHeight="1" x14ac:dyDescent="0.25">
      <c r="A274" s="10"/>
      <c r="B274" t="s">
        <v>112</v>
      </c>
    </row>
    <row r="275" spans="1:7" ht="12" customHeight="1" x14ac:dyDescent="0.25">
      <c r="A275" s="12"/>
      <c r="B275" s="12"/>
    </row>
    <row r="276" spans="1:7" ht="12" customHeight="1" x14ac:dyDescent="0.25">
      <c r="A276" s="14" t="s">
        <v>85</v>
      </c>
      <c r="B276" s="15">
        <v>1.99</v>
      </c>
    </row>
    <row r="277" spans="1:7" ht="12" customHeight="1" x14ac:dyDescent="0.25">
      <c r="A277" s="14" t="s">
        <v>86</v>
      </c>
      <c r="B277" s="15">
        <v>1.54</v>
      </c>
    </row>
    <row r="278" spans="1:7" ht="12" customHeight="1" x14ac:dyDescent="0.25">
      <c r="A278" s="14" t="s">
        <v>33</v>
      </c>
      <c r="B278" s="15">
        <v>1.37</v>
      </c>
    </row>
    <row r="279" spans="1:7" ht="12" customHeight="1" x14ac:dyDescent="0.25">
      <c r="A279" s="14" t="s">
        <v>34</v>
      </c>
      <c r="B279" s="16">
        <v>1.18</v>
      </c>
    </row>
    <row r="280" spans="1:7" ht="12" customHeight="1" x14ac:dyDescent="0.25">
      <c r="A280" s="14" t="s">
        <v>168</v>
      </c>
      <c r="B280" s="16" t="s">
        <v>38</v>
      </c>
    </row>
    <row r="281" spans="1:7" ht="12" customHeight="1" x14ac:dyDescent="0.25">
      <c r="A281" s="14"/>
      <c r="B281" s="16"/>
    </row>
    <row r="282" spans="1:7" ht="12" customHeight="1" x14ac:dyDescent="0.25"/>
    <row r="283" spans="1:7" ht="12" customHeight="1" x14ac:dyDescent="0.25"/>
    <row r="284" spans="1:7" ht="12" customHeight="1" x14ac:dyDescent="0.25">
      <c r="A284" s="27" t="s">
        <v>113</v>
      </c>
    </row>
    <row r="285" spans="1:7" ht="12" customHeight="1" x14ac:dyDescent="0.25"/>
    <row r="286" spans="1:7" ht="12" customHeight="1" x14ac:dyDescent="0.25">
      <c r="A286" s="28" t="s">
        <v>114</v>
      </c>
      <c r="B286" s="28"/>
      <c r="C286" s="28"/>
      <c r="D286" s="28"/>
      <c r="E286" s="28"/>
      <c r="F286" s="28" t="s">
        <v>38</v>
      </c>
      <c r="G286" s="28"/>
    </row>
    <row r="287" spans="1:7" ht="12" customHeight="1" x14ac:dyDescent="0.25">
      <c r="A287" s="28" t="s">
        <v>115</v>
      </c>
      <c r="B287" s="28"/>
      <c r="C287" s="28"/>
      <c r="D287" s="28"/>
      <c r="E287" s="28"/>
      <c r="F287" s="28" t="s">
        <v>169</v>
      </c>
      <c r="G287" s="28"/>
    </row>
    <row r="288" spans="1:7" ht="12" customHeight="1" x14ac:dyDescent="0.25">
      <c r="A288" s="28" t="s">
        <v>116</v>
      </c>
      <c r="B288" s="28"/>
      <c r="C288" s="28"/>
      <c r="D288" s="28"/>
      <c r="E288" s="28"/>
      <c r="F288" s="28" t="s">
        <v>117</v>
      </c>
      <c r="G288" s="28"/>
    </row>
    <row r="289" spans="1:7" ht="12" customHeight="1" x14ac:dyDescent="0.25">
      <c r="A289" s="28" t="s">
        <v>118</v>
      </c>
      <c r="B289" s="28"/>
      <c r="C289" s="28"/>
      <c r="D289" s="28"/>
      <c r="E289" s="28"/>
      <c r="F289" s="28" t="s">
        <v>170</v>
      </c>
      <c r="G289" s="28"/>
    </row>
    <row r="290" spans="1:7" ht="12" customHeight="1" x14ac:dyDescent="0.25">
      <c r="A290" s="28" t="s">
        <v>119</v>
      </c>
      <c r="B290" s="28"/>
      <c r="C290" s="28"/>
      <c r="D290" s="28"/>
      <c r="E290" s="28"/>
      <c r="F290" s="28" t="s">
        <v>171</v>
      </c>
      <c r="G290" s="28"/>
    </row>
    <row r="291" spans="1:7" ht="12" customHeight="1" x14ac:dyDescent="0.25">
      <c r="A291" s="28" t="s">
        <v>120</v>
      </c>
      <c r="B291" s="28"/>
      <c r="C291" s="28"/>
      <c r="D291" s="28"/>
      <c r="E291" s="28"/>
      <c r="F291" s="28" t="s">
        <v>172</v>
      </c>
      <c r="G291" s="28"/>
    </row>
    <row r="292" spans="1:7" ht="12" customHeight="1" x14ac:dyDescent="0.25">
      <c r="A292" s="29" t="s">
        <v>121</v>
      </c>
      <c r="B292" s="28"/>
      <c r="C292" s="28"/>
      <c r="D292" s="28"/>
      <c r="E292" s="28"/>
      <c r="F292" s="28" t="s">
        <v>173</v>
      </c>
      <c r="G292" s="28"/>
    </row>
    <row r="293" spans="1:7" ht="12" customHeight="1" x14ac:dyDescent="0.25">
      <c r="A293" s="28" t="s">
        <v>122</v>
      </c>
      <c r="B293" s="28"/>
      <c r="C293" s="28"/>
      <c r="D293" s="28"/>
      <c r="E293" s="28"/>
      <c r="F293" s="28" t="s">
        <v>174</v>
      </c>
      <c r="G293" s="28"/>
    </row>
    <row r="294" spans="1:7" ht="12" customHeight="1" x14ac:dyDescent="0.25">
      <c r="A294" s="28" t="s">
        <v>123</v>
      </c>
      <c r="B294" s="28"/>
      <c r="C294" s="28"/>
      <c r="D294" s="28"/>
      <c r="E294" s="28"/>
      <c r="F294" s="28" t="s">
        <v>175</v>
      </c>
      <c r="G294" s="28"/>
    </row>
    <row r="295" spans="1:7" ht="12" customHeight="1" x14ac:dyDescent="0.25">
      <c r="A295" s="28" t="s">
        <v>124</v>
      </c>
      <c r="B295" s="28"/>
      <c r="C295" s="28"/>
      <c r="D295" s="28"/>
      <c r="E295" s="28"/>
      <c r="F295" s="28" t="s">
        <v>176</v>
      </c>
      <c r="G295" s="28"/>
    </row>
    <row r="296" spans="1:7" ht="12" customHeight="1" x14ac:dyDescent="0.25">
      <c r="A296" s="28" t="s">
        <v>177</v>
      </c>
      <c r="B296" s="28"/>
      <c r="C296" s="28"/>
      <c r="D296" s="28"/>
      <c r="E296" s="28"/>
      <c r="F296" s="28" t="s">
        <v>178</v>
      </c>
      <c r="G296" s="28"/>
    </row>
    <row r="297" spans="1:7" ht="12" customHeight="1" x14ac:dyDescent="0.25">
      <c r="A297" s="37" t="s">
        <v>179</v>
      </c>
      <c r="F297" s="37" t="s">
        <v>178</v>
      </c>
    </row>
    <row r="298" spans="1:7" ht="12" customHeight="1" x14ac:dyDescent="0.25">
      <c r="A298" t="s">
        <v>125</v>
      </c>
    </row>
    <row r="299" spans="1:7" ht="12" customHeight="1" x14ac:dyDescent="0.25"/>
    <row r="300" spans="1:7" ht="12" customHeight="1" x14ac:dyDescent="0.25"/>
    <row r="301" spans="1:7" ht="12" customHeight="1" x14ac:dyDescent="0.25"/>
    <row r="302" spans="1:7" ht="12" customHeight="1" x14ac:dyDescent="0.25"/>
    <row r="303" spans="1:7" ht="12" customHeight="1" x14ac:dyDescent="0.25"/>
    <row r="304" spans="1:7" ht="12" customHeight="1" x14ac:dyDescent="0.25"/>
    <row r="305" spans="1:4" ht="12" customHeight="1" x14ac:dyDescent="0.25"/>
    <row r="306" spans="1:4" ht="12" customHeight="1" x14ac:dyDescent="0.25"/>
    <row r="307" spans="1:4" ht="12" customHeight="1" x14ac:dyDescent="0.25"/>
    <row r="308" spans="1:4" ht="12" customHeight="1" x14ac:dyDescent="0.25"/>
    <row r="309" spans="1:4" ht="12" customHeight="1" x14ac:dyDescent="0.25"/>
    <row r="310" spans="1:4" ht="12" customHeight="1" x14ac:dyDescent="0.25"/>
    <row r="311" spans="1:4" ht="12" customHeight="1" x14ac:dyDescent="0.25"/>
    <row r="312" spans="1:4" ht="12" customHeight="1" x14ac:dyDescent="0.25"/>
    <row r="313" spans="1:4" ht="12" customHeight="1" x14ac:dyDescent="0.25"/>
    <row r="314" spans="1:4" ht="12" customHeight="1" x14ac:dyDescent="0.25"/>
    <row r="315" spans="1:4" ht="12" customHeight="1" x14ac:dyDescent="0.25"/>
    <row r="316" spans="1:4" ht="12" customHeight="1" x14ac:dyDescent="0.25"/>
    <row r="317" spans="1:4" ht="12" customHeight="1" x14ac:dyDescent="0.25"/>
    <row r="318" spans="1:4" ht="12" customHeight="1" x14ac:dyDescent="0.25"/>
    <row r="319" spans="1:4" ht="12" customHeight="1" x14ac:dyDescent="0.25"/>
    <row r="320" spans="1:4" ht="12" customHeight="1" x14ac:dyDescent="0.25">
      <c r="A320" s="9" t="s">
        <v>126</v>
      </c>
      <c r="D320" t="s">
        <v>127</v>
      </c>
    </row>
    <row r="321" spans="4:11" ht="12" customHeight="1" x14ac:dyDescent="0.25"/>
    <row r="322" spans="4:11" ht="12" customHeight="1" x14ac:dyDescent="0.25">
      <c r="D322" s="30" t="s">
        <v>128</v>
      </c>
    </row>
    <row r="323" spans="4:11" ht="12" customHeight="1" x14ac:dyDescent="0.25">
      <c r="D323" s="31">
        <v>65</v>
      </c>
      <c r="E323" t="s">
        <v>129</v>
      </c>
      <c r="I323" t="s">
        <v>181</v>
      </c>
      <c r="J323" s="31">
        <v>65</v>
      </c>
      <c r="K323" t="s">
        <v>129</v>
      </c>
    </row>
    <row r="324" spans="4:11" ht="12" customHeight="1" x14ac:dyDescent="0.25">
      <c r="D324" s="31">
        <v>65</v>
      </c>
      <c r="E324" t="s">
        <v>130</v>
      </c>
      <c r="I324">
        <v>1</v>
      </c>
      <c r="J324" s="31">
        <v>65</v>
      </c>
      <c r="K324" t="s">
        <v>130</v>
      </c>
    </row>
    <row r="325" spans="4:11" ht="12" customHeight="1" x14ac:dyDescent="0.25">
      <c r="D325" s="31">
        <v>95</v>
      </c>
      <c r="E325" t="s">
        <v>131</v>
      </c>
      <c r="I325">
        <v>2</v>
      </c>
      <c r="J325" s="31">
        <v>65</v>
      </c>
    </row>
    <row r="326" spans="4:11" ht="12" customHeight="1" x14ac:dyDescent="0.25">
      <c r="D326" s="31">
        <v>110</v>
      </c>
      <c r="E326" t="s">
        <v>132</v>
      </c>
      <c r="I326">
        <v>3</v>
      </c>
      <c r="J326" s="31">
        <v>95</v>
      </c>
      <c r="K326" t="s">
        <v>131</v>
      </c>
    </row>
    <row r="327" spans="4:11" ht="12" customHeight="1" x14ac:dyDescent="0.25">
      <c r="D327" s="31">
        <v>110</v>
      </c>
      <c r="E327" t="s">
        <v>133</v>
      </c>
      <c r="I327">
        <v>4</v>
      </c>
      <c r="J327" s="31">
        <v>95</v>
      </c>
    </row>
    <row r="328" spans="4:11" ht="12" customHeight="1" x14ac:dyDescent="0.25">
      <c r="D328" s="31">
        <v>260</v>
      </c>
      <c r="E328" t="s">
        <v>78</v>
      </c>
      <c r="I328">
        <v>5</v>
      </c>
      <c r="J328" s="31">
        <v>95</v>
      </c>
    </row>
    <row r="329" spans="4:11" ht="12" customHeight="1" x14ac:dyDescent="0.25">
      <c r="D329" s="31"/>
      <c r="I329">
        <v>6</v>
      </c>
      <c r="J329" s="31">
        <v>110</v>
      </c>
      <c r="K329" t="s">
        <v>132</v>
      </c>
    </row>
    <row r="330" spans="4:11" ht="12" customHeight="1" x14ac:dyDescent="0.25">
      <c r="D330" s="31">
        <v>30</v>
      </c>
      <c r="E330" s="21" t="s">
        <v>121</v>
      </c>
      <c r="I330">
        <v>7</v>
      </c>
      <c r="J330" s="31">
        <v>65</v>
      </c>
      <c r="K330" t="s">
        <v>135</v>
      </c>
    </row>
    <row r="331" spans="4:11" ht="12" customHeight="1" x14ac:dyDescent="0.25">
      <c r="D331" s="31">
        <v>30</v>
      </c>
      <c r="E331" s="21" t="s">
        <v>134</v>
      </c>
      <c r="I331">
        <v>8</v>
      </c>
      <c r="J331" s="31">
        <v>160</v>
      </c>
      <c r="K331" t="s">
        <v>136</v>
      </c>
    </row>
    <row r="332" spans="4:11" ht="12" customHeight="1" x14ac:dyDescent="0.25">
      <c r="D332" s="31"/>
      <c r="I332">
        <v>9</v>
      </c>
      <c r="J332" s="31">
        <v>250</v>
      </c>
      <c r="K332" t="s">
        <v>137</v>
      </c>
    </row>
    <row r="333" spans="4:11" ht="12" customHeight="1" x14ac:dyDescent="0.25">
      <c r="D333" s="31">
        <v>65</v>
      </c>
      <c r="E333" t="s">
        <v>135</v>
      </c>
      <c r="J333" s="31"/>
      <c r="K333" s="21"/>
    </row>
    <row r="334" spans="4:11" ht="12" customHeight="1" x14ac:dyDescent="0.25">
      <c r="D334" s="31">
        <v>160</v>
      </c>
      <c r="E334" t="s">
        <v>136</v>
      </c>
      <c r="J334" s="31"/>
      <c r="K334" s="21"/>
    </row>
    <row r="335" spans="4:11" ht="12" customHeight="1" x14ac:dyDescent="0.25">
      <c r="D335" s="31">
        <v>250</v>
      </c>
      <c r="E335" t="s">
        <v>137</v>
      </c>
      <c r="J335" s="31"/>
    </row>
    <row r="336" spans="4:11" ht="12" customHeight="1" x14ac:dyDescent="0.25"/>
    <row r="337" spans="1:4" ht="12" customHeight="1" x14ac:dyDescent="0.25">
      <c r="A337" s="9" t="s">
        <v>138</v>
      </c>
      <c r="D337" s="21" t="s">
        <v>139</v>
      </c>
    </row>
    <row r="338" spans="1:4" ht="12" customHeight="1" x14ac:dyDescent="0.25"/>
    <row r="339" spans="1:4" ht="12" customHeight="1" x14ac:dyDescent="0.25">
      <c r="A339" s="32" t="s">
        <v>140</v>
      </c>
      <c r="D339" s="21" t="s">
        <v>141</v>
      </c>
    </row>
    <row r="340" spans="1:4" ht="12" customHeight="1" x14ac:dyDescent="0.25">
      <c r="D340" s="21" t="s">
        <v>142</v>
      </c>
    </row>
    <row r="341" spans="1:4" ht="12" customHeight="1" x14ac:dyDescent="0.25"/>
    <row r="342" spans="1:4" ht="12" customHeight="1" x14ac:dyDescent="0.25">
      <c r="A342" s="32" t="s">
        <v>143</v>
      </c>
      <c r="D342" s="21" t="s">
        <v>166</v>
      </c>
    </row>
    <row r="343" spans="1:4" ht="12" customHeight="1" x14ac:dyDescent="0.25"/>
    <row r="344" spans="1:4" ht="12" customHeight="1" x14ac:dyDescent="0.25"/>
    <row r="345" spans="1:4" ht="12" customHeight="1" x14ac:dyDescent="0.25">
      <c r="A345" t="s">
        <v>144</v>
      </c>
    </row>
    <row r="346" spans="1:4" ht="12" customHeight="1" x14ac:dyDescent="0.25">
      <c r="A346" t="s">
        <v>145</v>
      </c>
    </row>
    <row r="347" spans="1:4" ht="12" customHeight="1" x14ac:dyDescent="0.25"/>
    <row r="348" spans="1:4" ht="12" customHeight="1" x14ac:dyDescent="0.25">
      <c r="A348" t="s">
        <v>146</v>
      </c>
    </row>
    <row r="349" spans="1:4" ht="12" customHeight="1" x14ac:dyDescent="0.25">
      <c r="A349" t="s">
        <v>147</v>
      </c>
    </row>
    <row r="350" spans="1:4" ht="12" customHeight="1" x14ac:dyDescent="0.25"/>
    <row r="351" spans="1:4" ht="12" customHeight="1" x14ac:dyDescent="0.25"/>
    <row r="352" spans="1:4" ht="12" customHeight="1" x14ac:dyDescent="0.25"/>
    <row r="353" spans="1:3" ht="12" customHeight="1" x14ac:dyDescent="0.25">
      <c r="A353" t="s">
        <v>148</v>
      </c>
    </row>
    <row r="354" spans="1:3" ht="12" customHeight="1" x14ac:dyDescent="0.25">
      <c r="A354" t="s">
        <v>149</v>
      </c>
    </row>
    <row r="355" spans="1:3" ht="12" customHeight="1" x14ac:dyDescent="0.25"/>
    <row r="356" spans="1:3" ht="12" customHeight="1" x14ac:dyDescent="0.25">
      <c r="A356" s="21" t="s">
        <v>150</v>
      </c>
      <c r="B356" t="s">
        <v>151</v>
      </c>
    </row>
    <row r="357" spans="1:3" ht="12" customHeight="1" x14ac:dyDescent="0.25">
      <c r="B357" t="s">
        <v>152</v>
      </c>
    </row>
    <row r="358" spans="1:3" ht="12" customHeight="1" x14ac:dyDescent="0.25">
      <c r="B358" t="s">
        <v>153</v>
      </c>
    </row>
    <row r="359" spans="1:3" ht="12" customHeight="1" x14ac:dyDescent="0.25">
      <c r="B359" t="s">
        <v>154</v>
      </c>
    </row>
    <row r="360" spans="1:3" ht="12" customHeight="1" x14ac:dyDescent="0.25"/>
    <row r="361" spans="1:3" ht="12" customHeight="1" x14ac:dyDescent="0.25"/>
    <row r="362" spans="1:3" ht="12" customHeight="1" x14ac:dyDescent="0.25">
      <c r="A362" s="9" t="s">
        <v>183</v>
      </c>
    </row>
    <row r="363" spans="1:3" ht="12" customHeight="1" x14ac:dyDescent="0.25">
      <c r="A363" t="s">
        <v>186</v>
      </c>
      <c r="B363">
        <v>2.73</v>
      </c>
      <c r="C363" t="s">
        <v>184</v>
      </c>
    </row>
    <row r="364" spans="1:3" ht="12" customHeight="1" x14ac:dyDescent="0.25">
      <c r="A364" t="s">
        <v>185</v>
      </c>
      <c r="B364">
        <v>4.55</v>
      </c>
      <c r="C364" t="s">
        <v>184</v>
      </c>
    </row>
    <row r="365" spans="1:3" ht="12" customHeight="1" x14ac:dyDescent="0.25">
      <c r="A365" t="s">
        <v>187</v>
      </c>
      <c r="B365">
        <v>6.44</v>
      </c>
      <c r="C365" t="s">
        <v>184</v>
      </c>
    </row>
    <row r="366" spans="1:3" ht="12" customHeight="1" x14ac:dyDescent="0.25"/>
    <row r="367" spans="1:3" ht="12" customHeight="1" x14ac:dyDescent="0.25"/>
    <row r="368" spans="1:3" ht="12" customHeight="1" x14ac:dyDescent="0.25"/>
    <row r="369" ht="12" customHeight="1" x14ac:dyDescent="0.25"/>
    <row r="370" ht="12" customHeight="1" x14ac:dyDescent="0.25"/>
    <row r="371" ht="12" customHeight="1" x14ac:dyDescent="0.25"/>
    <row r="372" ht="12" customHeight="1" x14ac:dyDescent="0.25"/>
    <row r="373" ht="12" customHeight="1" x14ac:dyDescent="0.25"/>
    <row r="374" ht="12" customHeight="1" x14ac:dyDescent="0.25"/>
    <row r="375" ht="12" customHeight="1" x14ac:dyDescent="0.25"/>
    <row r="376" ht="12" customHeight="1" x14ac:dyDescent="0.25"/>
    <row r="377" ht="12" customHeight="1" x14ac:dyDescent="0.25"/>
    <row r="378" ht="12" customHeight="1" x14ac:dyDescent="0.25"/>
    <row r="379" ht="12" customHeight="1" x14ac:dyDescent="0.25"/>
    <row r="380" ht="12" customHeight="1" x14ac:dyDescent="0.25"/>
    <row r="381" ht="12" customHeight="1" x14ac:dyDescent="0.25"/>
    <row r="382" ht="12" customHeight="1" x14ac:dyDescent="0.25"/>
    <row r="383" ht="12" customHeight="1" x14ac:dyDescent="0.25"/>
    <row r="384" ht="12" customHeight="1" x14ac:dyDescent="0.25"/>
    <row r="385" ht="12" customHeight="1" x14ac:dyDescent="0.25"/>
    <row r="386" ht="12" customHeight="1" x14ac:dyDescent="0.25"/>
    <row r="387" ht="12" customHeight="1" x14ac:dyDescent="0.25"/>
    <row r="388" ht="12" customHeight="1" x14ac:dyDescent="0.25"/>
    <row r="389" ht="12" customHeight="1" x14ac:dyDescent="0.25"/>
    <row r="390" ht="12" customHeight="1" x14ac:dyDescent="0.25"/>
    <row r="391" ht="12" customHeight="1" x14ac:dyDescent="0.25"/>
    <row r="392" ht="12" customHeight="1" x14ac:dyDescent="0.25"/>
    <row r="393" ht="12" customHeight="1" x14ac:dyDescent="0.25"/>
    <row r="394" ht="12" customHeight="1" x14ac:dyDescent="0.25"/>
    <row r="395" ht="12" customHeight="1" x14ac:dyDescent="0.25"/>
    <row r="396" ht="12" customHeight="1" x14ac:dyDescent="0.25"/>
    <row r="397" ht="12" customHeight="1" x14ac:dyDescent="0.25"/>
    <row r="398" ht="12" customHeight="1" x14ac:dyDescent="0.25"/>
    <row r="399" ht="12" customHeight="1" x14ac:dyDescent="0.25"/>
    <row r="400" ht="12" customHeight="1" x14ac:dyDescent="0.25"/>
    <row r="401" ht="12" customHeight="1" x14ac:dyDescent="0.25"/>
    <row r="402" ht="12" customHeight="1" x14ac:dyDescent="0.25"/>
    <row r="403" ht="12" customHeight="1" x14ac:dyDescent="0.25"/>
    <row r="404" ht="12" customHeight="1" x14ac:dyDescent="0.25"/>
    <row r="405" ht="12" customHeight="1" x14ac:dyDescent="0.25"/>
    <row r="406" ht="12" customHeight="1" x14ac:dyDescent="0.25"/>
    <row r="407" ht="12" customHeight="1" x14ac:dyDescent="0.25"/>
    <row r="408" ht="12" customHeight="1" x14ac:dyDescent="0.25"/>
    <row r="409" ht="12" customHeight="1" x14ac:dyDescent="0.25"/>
    <row r="410" ht="12" customHeight="1" x14ac:dyDescent="0.25"/>
    <row r="411" ht="12" customHeight="1" x14ac:dyDescent="0.25"/>
    <row r="412" ht="12" customHeight="1" x14ac:dyDescent="0.25"/>
    <row r="413" ht="12" customHeight="1" x14ac:dyDescent="0.25"/>
    <row r="414" ht="12" customHeight="1" x14ac:dyDescent="0.25"/>
    <row r="415" ht="12" customHeight="1" x14ac:dyDescent="0.25"/>
    <row r="416" ht="12" customHeight="1" x14ac:dyDescent="0.25"/>
    <row r="417" ht="12" customHeight="1" x14ac:dyDescent="0.25"/>
    <row r="418" ht="12" customHeight="1" x14ac:dyDescent="0.25"/>
    <row r="419" ht="12" customHeight="1" x14ac:dyDescent="0.25"/>
    <row r="420" ht="12" customHeight="1" x14ac:dyDescent="0.25"/>
    <row r="421" ht="12" customHeight="1" x14ac:dyDescent="0.25"/>
    <row r="422" ht="12" customHeight="1" x14ac:dyDescent="0.25"/>
    <row r="423" ht="12" customHeight="1" x14ac:dyDescent="0.25"/>
    <row r="424" ht="12" customHeight="1" x14ac:dyDescent="0.25"/>
    <row r="425" ht="12" customHeight="1" x14ac:dyDescent="0.25"/>
    <row r="426" ht="12" customHeight="1" x14ac:dyDescent="0.25"/>
    <row r="427" ht="12" customHeight="1" x14ac:dyDescent="0.25"/>
    <row r="428" ht="12" customHeight="1" x14ac:dyDescent="0.25"/>
    <row r="429" ht="12" customHeight="1" x14ac:dyDescent="0.25"/>
    <row r="430" ht="12" customHeight="1" x14ac:dyDescent="0.25"/>
    <row r="431" ht="12" customHeight="1" x14ac:dyDescent="0.25"/>
    <row r="432" ht="12" customHeight="1" x14ac:dyDescent="0.25"/>
    <row r="433" ht="12" customHeight="1" x14ac:dyDescent="0.25"/>
    <row r="434" ht="12" customHeight="1" x14ac:dyDescent="0.25"/>
    <row r="435" ht="12" customHeight="1" x14ac:dyDescent="0.25"/>
    <row r="436" ht="12" customHeight="1" x14ac:dyDescent="0.25"/>
    <row r="437" ht="12" customHeight="1" x14ac:dyDescent="0.25"/>
    <row r="438" ht="12" customHeight="1" x14ac:dyDescent="0.25"/>
    <row r="439" ht="12" customHeight="1" x14ac:dyDescent="0.25"/>
    <row r="440" ht="12" customHeight="1" x14ac:dyDescent="0.25"/>
    <row r="441" ht="12" customHeight="1" x14ac:dyDescent="0.25"/>
    <row r="442" ht="12" customHeight="1" x14ac:dyDescent="0.25"/>
    <row r="443" ht="12" customHeight="1" x14ac:dyDescent="0.25"/>
    <row r="444" ht="12" customHeight="1" x14ac:dyDescent="0.25"/>
    <row r="445" ht="12" customHeight="1" x14ac:dyDescent="0.25"/>
    <row r="446" ht="12" customHeight="1" x14ac:dyDescent="0.25"/>
    <row r="447" ht="12" customHeight="1" x14ac:dyDescent="0.25"/>
    <row r="448" ht="12" customHeight="1" x14ac:dyDescent="0.25"/>
    <row r="449" ht="12" customHeight="1" x14ac:dyDescent="0.25"/>
    <row r="450" ht="12" customHeight="1" x14ac:dyDescent="0.25"/>
    <row r="451" ht="12" customHeight="1" x14ac:dyDescent="0.25"/>
    <row r="452" ht="12" customHeight="1" x14ac:dyDescent="0.25"/>
    <row r="453" ht="12" customHeight="1" x14ac:dyDescent="0.25"/>
    <row r="454" ht="12" customHeight="1" x14ac:dyDescent="0.25"/>
    <row r="455" ht="12" customHeight="1" x14ac:dyDescent="0.25"/>
    <row r="456" ht="12" customHeight="1" x14ac:dyDescent="0.25"/>
    <row r="457" ht="12" customHeight="1" x14ac:dyDescent="0.25"/>
    <row r="458" ht="12" customHeight="1" x14ac:dyDescent="0.25"/>
    <row r="459" ht="12" customHeight="1" x14ac:dyDescent="0.25"/>
    <row r="460" ht="12" customHeight="1" x14ac:dyDescent="0.25"/>
    <row r="461" ht="12" customHeight="1" x14ac:dyDescent="0.25"/>
    <row r="462" ht="12" customHeight="1" x14ac:dyDescent="0.25"/>
    <row r="463" ht="12" customHeight="1" x14ac:dyDescent="0.25"/>
    <row r="464" ht="12" customHeight="1" x14ac:dyDescent="0.25"/>
    <row r="465" ht="12" customHeight="1" x14ac:dyDescent="0.25"/>
    <row r="466" ht="12" customHeight="1" x14ac:dyDescent="0.25"/>
    <row r="467" ht="12" customHeight="1" x14ac:dyDescent="0.25"/>
    <row r="468" ht="12" customHeight="1" x14ac:dyDescent="0.25"/>
    <row r="469" ht="12" customHeight="1" x14ac:dyDescent="0.25"/>
    <row r="470" ht="12" customHeight="1" x14ac:dyDescent="0.25"/>
    <row r="471" ht="12" customHeight="1" x14ac:dyDescent="0.25"/>
    <row r="472" ht="12" customHeight="1" x14ac:dyDescent="0.25"/>
    <row r="473" ht="12" customHeight="1" x14ac:dyDescent="0.25"/>
    <row r="474" ht="12" customHeight="1" x14ac:dyDescent="0.25"/>
    <row r="475" ht="12" customHeight="1" x14ac:dyDescent="0.25"/>
    <row r="476" ht="12" customHeight="1" x14ac:dyDescent="0.25"/>
    <row r="477" ht="12" customHeight="1" x14ac:dyDescent="0.25"/>
    <row r="478" ht="12" customHeight="1" x14ac:dyDescent="0.25"/>
    <row r="479" ht="12" customHeight="1" x14ac:dyDescent="0.25"/>
    <row r="480" ht="12" customHeight="1" x14ac:dyDescent="0.25"/>
    <row r="481" ht="12" customHeight="1" x14ac:dyDescent="0.25"/>
    <row r="482" ht="12" customHeight="1" x14ac:dyDescent="0.25"/>
    <row r="483" ht="12" customHeight="1" x14ac:dyDescent="0.25"/>
    <row r="484" ht="12" customHeight="1" x14ac:dyDescent="0.25"/>
    <row r="485" ht="12" customHeight="1" x14ac:dyDescent="0.25"/>
    <row r="486" ht="12" customHeight="1" x14ac:dyDescent="0.25"/>
    <row r="487" ht="12" customHeight="1" x14ac:dyDescent="0.25"/>
    <row r="488" ht="12" customHeight="1" x14ac:dyDescent="0.25"/>
    <row r="489" ht="12" customHeight="1" x14ac:dyDescent="0.25"/>
    <row r="490" ht="12" customHeight="1" x14ac:dyDescent="0.25"/>
    <row r="491" ht="12" customHeight="1" x14ac:dyDescent="0.25"/>
    <row r="492" ht="12" customHeight="1" x14ac:dyDescent="0.25"/>
    <row r="493" ht="12" customHeight="1" x14ac:dyDescent="0.25"/>
    <row r="494" ht="12" customHeight="1" x14ac:dyDescent="0.25"/>
    <row r="495" ht="12" customHeight="1" x14ac:dyDescent="0.25"/>
    <row r="496" ht="12" customHeight="1" x14ac:dyDescent="0.25"/>
    <row r="497" ht="12" customHeight="1" x14ac:dyDescent="0.25"/>
    <row r="498" ht="12" customHeight="1" x14ac:dyDescent="0.25"/>
    <row r="499" ht="12" customHeight="1" x14ac:dyDescent="0.25"/>
    <row r="500" ht="12" customHeight="1" x14ac:dyDescent="0.25"/>
    <row r="501" ht="12" customHeight="1" x14ac:dyDescent="0.25"/>
    <row r="502" ht="12" customHeight="1" x14ac:dyDescent="0.25"/>
    <row r="503" ht="12" customHeight="1" x14ac:dyDescent="0.25"/>
    <row r="504" ht="12" customHeight="1" x14ac:dyDescent="0.25"/>
    <row r="505" ht="12" customHeight="1" x14ac:dyDescent="0.25"/>
    <row r="506" ht="12" customHeight="1" x14ac:dyDescent="0.25"/>
    <row r="507" ht="12" customHeight="1" x14ac:dyDescent="0.25"/>
    <row r="508" ht="12" customHeight="1" x14ac:dyDescent="0.25"/>
    <row r="509" ht="12" customHeight="1" x14ac:dyDescent="0.25"/>
    <row r="510" ht="12" customHeight="1" x14ac:dyDescent="0.25"/>
    <row r="511" ht="12" customHeight="1" x14ac:dyDescent="0.25"/>
    <row r="512" ht="12" customHeight="1" x14ac:dyDescent="0.25"/>
    <row r="513" ht="12" customHeight="1" x14ac:dyDescent="0.25"/>
    <row r="514" ht="12" customHeight="1" x14ac:dyDescent="0.25"/>
    <row r="515" ht="12" customHeight="1" x14ac:dyDescent="0.25"/>
    <row r="516" ht="12" customHeight="1" x14ac:dyDescent="0.25"/>
    <row r="517" ht="12" customHeight="1" x14ac:dyDescent="0.25"/>
    <row r="518" ht="12" customHeight="1" x14ac:dyDescent="0.25"/>
    <row r="519" ht="12" customHeight="1" x14ac:dyDescent="0.25"/>
    <row r="520" ht="12" customHeight="1" x14ac:dyDescent="0.25"/>
    <row r="521" ht="12" customHeight="1" x14ac:dyDescent="0.25"/>
    <row r="522" ht="12" customHeight="1" x14ac:dyDescent="0.25"/>
    <row r="523" ht="12" customHeight="1" x14ac:dyDescent="0.25"/>
    <row r="524" ht="12" customHeight="1" x14ac:dyDescent="0.25"/>
    <row r="525" ht="12" customHeight="1" x14ac:dyDescent="0.25"/>
    <row r="526" ht="12" customHeight="1" x14ac:dyDescent="0.25"/>
    <row r="527" ht="12" customHeight="1" x14ac:dyDescent="0.25"/>
    <row r="528" ht="12" customHeight="1" x14ac:dyDescent="0.25"/>
    <row r="529" ht="12" customHeight="1" x14ac:dyDescent="0.25"/>
    <row r="530" ht="12" customHeight="1" x14ac:dyDescent="0.25"/>
    <row r="531" ht="12" customHeight="1" x14ac:dyDescent="0.25"/>
    <row r="532" ht="12" customHeight="1" x14ac:dyDescent="0.25"/>
    <row r="533" ht="12" customHeight="1" x14ac:dyDescent="0.25"/>
    <row r="534" ht="12" customHeight="1" x14ac:dyDescent="0.25"/>
    <row r="535" ht="12" customHeight="1" x14ac:dyDescent="0.25"/>
    <row r="536" ht="12" customHeight="1" x14ac:dyDescent="0.25"/>
    <row r="537" ht="12" customHeight="1" x14ac:dyDescent="0.25"/>
    <row r="538" ht="12" customHeight="1" x14ac:dyDescent="0.25"/>
    <row r="539" ht="12" customHeight="1" x14ac:dyDescent="0.25"/>
    <row r="540" ht="12" customHeight="1" x14ac:dyDescent="0.25"/>
    <row r="541" ht="12" customHeight="1" x14ac:dyDescent="0.25"/>
    <row r="542" ht="12" customHeight="1" x14ac:dyDescent="0.25"/>
    <row r="543" ht="12" customHeight="1" x14ac:dyDescent="0.25"/>
    <row r="544" ht="12" customHeight="1" x14ac:dyDescent="0.25"/>
    <row r="545" ht="12" customHeight="1" x14ac:dyDescent="0.25"/>
    <row r="546" ht="12" customHeight="1" x14ac:dyDescent="0.25"/>
    <row r="547" ht="12" customHeight="1" x14ac:dyDescent="0.25"/>
    <row r="548" ht="12" customHeight="1" x14ac:dyDescent="0.25"/>
    <row r="549" ht="12" customHeight="1" x14ac:dyDescent="0.25"/>
    <row r="550" ht="12" customHeight="1" x14ac:dyDescent="0.25"/>
    <row r="551" ht="12" customHeight="1" x14ac:dyDescent="0.25"/>
    <row r="552" ht="12" customHeight="1" x14ac:dyDescent="0.25"/>
    <row r="553" ht="12" customHeight="1" x14ac:dyDescent="0.25"/>
    <row r="554" ht="12" customHeight="1" x14ac:dyDescent="0.25"/>
    <row r="555" ht="12" customHeight="1" x14ac:dyDescent="0.25"/>
    <row r="556" ht="12" customHeight="1" x14ac:dyDescent="0.25"/>
    <row r="557" ht="12" customHeight="1" x14ac:dyDescent="0.25"/>
    <row r="558" ht="12" customHeight="1" x14ac:dyDescent="0.25"/>
    <row r="559" ht="12" customHeight="1" x14ac:dyDescent="0.25"/>
    <row r="560" ht="12" customHeight="1" x14ac:dyDescent="0.25"/>
    <row r="561" ht="12" customHeight="1" x14ac:dyDescent="0.25"/>
    <row r="562" ht="12" customHeight="1" x14ac:dyDescent="0.25"/>
    <row r="563" ht="12" customHeight="1" x14ac:dyDescent="0.25"/>
    <row r="564" ht="12" customHeight="1" x14ac:dyDescent="0.25"/>
    <row r="565" ht="12" customHeight="1" x14ac:dyDescent="0.25"/>
    <row r="566" ht="12" customHeight="1" x14ac:dyDescent="0.25"/>
    <row r="567" ht="12" customHeight="1" x14ac:dyDescent="0.25"/>
    <row r="568" ht="12" customHeight="1" x14ac:dyDescent="0.25"/>
    <row r="569" ht="12" customHeight="1" x14ac:dyDescent="0.25"/>
    <row r="570" ht="12" customHeight="1" x14ac:dyDescent="0.25"/>
    <row r="571" ht="12" customHeight="1" x14ac:dyDescent="0.25"/>
    <row r="572" ht="12" customHeight="1" x14ac:dyDescent="0.25"/>
    <row r="573" ht="12" customHeight="1" x14ac:dyDescent="0.25"/>
    <row r="574" ht="12" customHeight="1" x14ac:dyDescent="0.25"/>
    <row r="575" ht="12" customHeight="1" x14ac:dyDescent="0.25"/>
    <row r="576" ht="12" customHeight="1" x14ac:dyDescent="0.25"/>
    <row r="577" ht="12" customHeight="1" x14ac:dyDescent="0.25"/>
    <row r="578" ht="12" customHeight="1" x14ac:dyDescent="0.25"/>
    <row r="579" ht="12" customHeight="1" x14ac:dyDescent="0.25"/>
    <row r="580" ht="12" customHeight="1" x14ac:dyDescent="0.25"/>
    <row r="581" ht="12" customHeight="1" x14ac:dyDescent="0.25"/>
    <row r="582" ht="12" customHeight="1" x14ac:dyDescent="0.25"/>
    <row r="583" ht="12" customHeight="1" x14ac:dyDescent="0.25"/>
    <row r="584" ht="12" customHeight="1" x14ac:dyDescent="0.25"/>
    <row r="585" ht="12" customHeight="1" x14ac:dyDescent="0.25"/>
    <row r="586" ht="12" customHeight="1" x14ac:dyDescent="0.25"/>
    <row r="587" ht="12" customHeight="1" x14ac:dyDescent="0.25"/>
    <row r="588" ht="12" customHeight="1" x14ac:dyDescent="0.25"/>
    <row r="589" ht="12" customHeight="1" x14ac:dyDescent="0.25"/>
    <row r="590" ht="12" customHeight="1" x14ac:dyDescent="0.25"/>
    <row r="591" ht="12" customHeight="1" x14ac:dyDescent="0.25"/>
    <row r="592" ht="12" customHeight="1" x14ac:dyDescent="0.25"/>
    <row r="593" ht="12" customHeight="1" x14ac:dyDescent="0.25"/>
    <row r="594" ht="12" customHeight="1" x14ac:dyDescent="0.25"/>
    <row r="595" ht="12" customHeight="1" x14ac:dyDescent="0.25"/>
    <row r="596" ht="12" customHeight="1" x14ac:dyDescent="0.25"/>
    <row r="597" ht="12" customHeight="1" x14ac:dyDescent="0.25"/>
    <row r="598" ht="12" customHeight="1" x14ac:dyDescent="0.25"/>
    <row r="599" ht="12" customHeight="1" x14ac:dyDescent="0.25"/>
    <row r="600" ht="12" customHeight="1" x14ac:dyDescent="0.25"/>
    <row r="601" ht="12" customHeight="1" x14ac:dyDescent="0.25"/>
    <row r="602" ht="12" customHeight="1" x14ac:dyDescent="0.25"/>
    <row r="603" ht="12" customHeight="1" x14ac:dyDescent="0.25"/>
    <row r="604" ht="12" customHeight="1" x14ac:dyDescent="0.25"/>
    <row r="605" ht="12" customHeight="1" x14ac:dyDescent="0.25"/>
    <row r="606" ht="12" customHeight="1" x14ac:dyDescent="0.25"/>
    <row r="607" ht="12" customHeight="1" x14ac:dyDescent="0.25"/>
    <row r="608" ht="12" customHeight="1" x14ac:dyDescent="0.25"/>
    <row r="609" ht="12" customHeight="1" x14ac:dyDescent="0.25"/>
    <row r="610" ht="12" customHeight="1" x14ac:dyDescent="0.25"/>
    <row r="611" ht="12" customHeight="1" x14ac:dyDescent="0.25"/>
    <row r="612" ht="12" customHeight="1" x14ac:dyDescent="0.25"/>
    <row r="613" ht="12" customHeight="1" x14ac:dyDescent="0.25"/>
    <row r="614" ht="12" customHeight="1" x14ac:dyDescent="0.25"/>
    <row r="615" ht="12" customHeight="1" x14ac:dyDescent="0.25"/>
    <row r="616" ht="12" customHeight="1" x14ac:dyDescent="0.25"/>
    <row r="617" ht="12" customHeight="1" x14ac:dyDescent="0.25"/>
    <row r="618" ht="12" customHeight="1" x14ac:dyDescent="0.25"/>
    <row r="619" ht="12" customHeight="1" x14ac:dyDescent="0.25"/>
    <row r="620" ht="12" customHeight="1" x14ac:dyDescent="0.25"/>
    <row r="621" ht="12" customHeight="1" x14ac:dyDescent="0.25"/>
    <row r="622" ht="12" customHeight="1" x14ac:dyDescent="0.25"/>
    <row r="623" ht="12" customHeight="1" x14ac:dyDescent="0.25"/>
    <row r="624" ht="12" customHeight="1" x14ac:dyDescent="0.25"/>
    <row r="625" ht="12" customHeight="1" x14ac:dyDescent="0.25"/>
    <row r="626" ht="12" customHeight="1" x14ac:dyDescent="0.25"/>
    <row r="627" ht="12" customHeight="1" x14ac:dyDescent="0.25"/>
    <row r="628" ht="12" customHeight="1" x14ac:dyDescent="0.25"/>
    <row r="629" ht="12" customHeight="1" x14ac:dyDescent="0.25"/>
    <row r="630" ht="12" customHeight="1" x14ac:dyDescent="0.25"/>
    <row r="631" ht="12" customHeight="1" x14ac:dyDescent="0.25"/>
    <row r="632" ht="12" customHeight="1" x14ac:dyDescent="0.25"/>
    <row r="633" ht="12" customHeight="1" x14ac:dyDescent="0.25"/>
    <row r="634" ht="12" customHeight="1" x14ac:dyDescent="0.25"/>
    <row r="635" ht="12" customHeight="1" x14ac:dyDescent="0.25"/>
    <row r="636" ht="12" customHeight="1" x14ac:dyDescent="0.25"/>
    <row r="637" ht="12" customHeight="1" x14ac:dyDescent="0.25"/>
    <row r="638" ht="12" customHeight="1" x14ac:dyDescent="0.25"/>
    <row r="639" ht="12" customHeight="1" x14ac:dyDescent="0.25"/>
    <row r="640" ht="12" customHeight="1" x14ac:dyDescent="0.25"/>
    <row r="641" ht="12" customHeight="1" x14ac:dyDescent="0.25"/>
    <row r="642" ht="12" customHeight="1" x14ac:dyDescent="0.25"/>
    <row r="643" ht="12" customHeight="1" x14ac:dyDescent="0.25"/>
    <row r="644" ht="12" customHeight="1" x14ac:dyDescent="0.25"/>
    <row r="645" ht="12" customHeight="1" x14ac:dyDescent="0.25"/>
    <row r="646" ht="12" customHeight="1" x14ac:dyDescent="0.25"/>
    <row r="647" ht="12" customHeight="1" x14ac:dyDescent="0.25"/>
    <row r="648" ht="12" customHeight="1" x14ac:dyDescent="0.25"/>
    <row r="649" ht="12" customHeight="1" x14ac:dyDescent="0.25"/>
    <row r="650" ht="12" customHeight="1" x14ac:dyDescent="0.25"/>
    <row r="651" ht="12" customHeight="1" x14ac:dyDescent="0.25"/>
    <row r="652" ht="12" customHeight="1" x14ac:dyDescent="0.25"/>
    <row r="653" ht="12" customHeight="1" x14ac:dyDescent="0.25"/>
    <row r="654" ht="12" customHeight="1" x14ac:dyDescent="0.25"/>
    <row r="655" ht="12" customHeight="1" x14ac:dyDescent="0.25"/>
    <row r="656" ht="12" customHeight="1" x14ac:dyDescent="0.25"/>
    <row r="657" ht="12" customHeight="1" x14ac:dyDescent="0.25"/>
    <row r="658" ht="12" customHeight="1" x14ac:dyDescent="0.25"/>
    <row r="659" ht="12" customHeight="1" x14ac:dyDescent="0.25"/>
    <row r="660" ht="12" customHeight="1" x14ac:dyDescent="0.25"/>
    <row r="661" ht="12" customHeight="1" x14ac:dyDescent="0.25"/>
    <row r="662" ht="12" customHeight="1" x14ac:dyDescent="0.25"/>
    <row r="663" ht="12" customHeight="1" x14ac:dyDescent="0.25"/>
    <row r="664" ht="12" customHeight="1" x14ac:dyDescent="0.25"/>
    <row r="665" ht="12" customHeight="1" x14ac:dyDescent="0.25"/>
    <row r="666" ht="12" customHeight="1" x14ac:dyDescent="0.25"/>
    <row r="667" ht="12" customHeight="1" x14ac:dyDescent="0.25"/>
    <row r="668" ht="12" customHeight="1" x14ac:dyDescent="0.25"/>
    <row r="669" ht="12" customHeight="1" x14ac:dyDescent="0.25"/>
    <row r="670" ht="12" customHeight="1" x14ac:dyDescent="0.25"/>
    <row r="671" ht="12" customHeight="1" x14ac:dyDescent="0.25"/>
    <row r="672" ht="12" customHeight="1" x14ac:dyDescent="0.25"/>
    <row r="673" ht="12" customHeight="1" x14ac:dyDescent="0.25"/>
    <row r="674" ht="12" customHeight="1" x14ac:dyDescent="0.25"/>
    <row r="675" ht="12" customHeight="1" x14ac:dyDescent="0.25"/>
    <row r="676" ht="12" customHeight="1" x14ac:dyDescent="0.25"/>
    <row r="677" ht="12" customHeight="1" x14ac:dyDescent="0.25"/>
    <row r="678" ht="12" customHeight="1" x14ac:dyDescent="0.25"/>
    <row r="679" ht="12" customHeight="1" x14ac:dyDescent="0.25"/>
    <row r="680" ht="12" customHeight="1" x14ac:dyDescent="0.25"/>
  </sheetData>
  <pageMargins left="0.9055118110236221" right="0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9"/>
  <sheetViews>
    <sheetView workbookViewId="0">
      <selection activeCell="F10" sqref="F10"/>
    </sheetView>
  </sheetViews>
  <sheetFormatPr baseColWidth="10" defaultRowHeight="15" x14ac:dyDescent="0.25"/>
  <cols>
    <col min="8" max="8" width="24.5703125" customWidth="1"/>
    <col min="9" max="9" width="46.7109375" customWidth="1"/>
    <col min="10" max="10" width="40.85546875" bestFit="1" customWidth="1"/>
    <col min="11" max="11" width="22.7109375" bestFit="1" customWidth="1"/>
  </cols>
  <sheetData>
    <row r="1" spans="2:11" x14ac:dyDescent="0.25">
      <c r="B1" t="s">
        <v>190</v>
      </c>
      <c r="D1" t="s">
        <v>191</v>
      </c>
      <c r="F1" t="s">
        <v>199</v>
      </c>
      <c r="H1" t="s">
        <v>232</v>
      </c>
    </row>
    <row r="2" spans="2:11" ht="15" customHeight="1" x14ac:dyDescent="0.25">
      <c r="B2" t="s">
        <v>156</v>
      </c>
      <c r="D2" t="s">
        <v>2</v>
      </c>
      <c r="F2" t="s">
        <v>197</v>
      </c>
      <c r="H2" t="s">
        <v>233</v>
      </c>
      <c r="I2" s="52" t="s">
        <v>435</v>
      </c>
      <c r="J2" s="53" t="s">
        <v>433</v>
      </c>
      <c r="K2" s="52" t="s">
        <v>431</v>
      </c>
    </row>
    <row r="3" spans="2:11" x14ac:dyDescent="0.25">
      <c r="B3" t="s">
        <v>157</v>
      </c>
      <c r="D3" t="s">
        <v>3</v>
      </c>
      <c r="F3" t="s">
        <v>198</v>
      </c>
      <c r="H3" t="s">
        <v>234</v>
      </c>
      <c r="I3" s="51" t="s">
        <v>430</v>
      </c>
      <c r="J3" t="s">
        <v>434</v>
      </c>
      <c r="K3" s="51" t="s">
        <v>432</v>
      </c>
    </row>
    <row r="4" spans="2:11" x14ac:dyDescent="0.25">
      <c r="F4" t="s">
        <v>472</v>
      </c>
      <c r="H4" t="s">
        <v>235</v>
      </c>
    </row>
    <row r="8" spans="2:11" ht="15" customHeight="1" x14ac:dyDescent="0.25"/>
    <row r="9" spans="2:11" x14ac:dyDescent="0.25">
      <c r="I9" s="50"/>
    </row>
  </sheetData>
  <hyperlinks>
    <hyperlink ref="K2" r:id="rId1"/>
    <hyperlink ref="I2" r:id="rId2"/>
    <hyperlink ref="J2" r:id="rId3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92"/>
  <sheetViews>
    <sheetView workbookViewId="0">
      <selection activeCell="B18" sqref="B18"/>
    </sheetView>
  </sheetViews>
  <sheetFormatPr baseColWidth="10" defaultRowHeight="15" x14ac:dyDescent="0.25"/>
  <sheetData>
    <row r="1" spans="1:2" x14ac:dyDescent="0.25">
      <c r="A1" t="s">
        <v>155</v>
      </c>
      <c r="B1" t="s">
        <v>180</v>
      </c>
    </row>
    <row r="3" spans="1:2" x14ac:dyDescent="0.25">
      <c r="A3" s="35" t="s">
        <v>241</v>
      </c>
      <c r="B3" s="35">
        <v>1</v>
      </c>
    </row>
    <row r="4" spans="1:2" x14ac:dyDescent="0.25">
      <c r="A4" s="35" t="s">
        <v>242</v>
      </c>
      <c r="B4" s="35">
        <v>1</v>
      </c>
    </row>
    <row r="5" spans="1:2" x14ac:dyDescent="0.25">
      <c r="A5" s="35" t="s">
        <v>243</v>
      </c>
      <c r="B5" s="35">
        <v>1</v>
      </c>
    </row>
    <row r="6" spans="1:2" x14ac:dyDescent="0.25">
      <c r="A6" s="35" t="s">
        <v>244</v>
      </c>
      <c r="B6" s="35">
        <v>6</v>
      </c>
    </row>
    <row r="7" spans="1:2" x14ac:dyDescent="0.25">
      <c r="A7" s="35" t="s">
        <v>245</v>
      </c>
      <c r="B7" s="35">
        <v>6</v>
      </c>
    </row>
    <row r="8" spans="1:2" x14ac:dyDescent="0.25">
      <c r="A8" s="35" t="s">
        <v>246</v>
      </c>
      <c r="B8" s="35">
        <v>6</v>
      </c>
    </row>
    <row r="9" spans="1:2" x14ac:dyDescent="0.25">
      <c r="A9" s="35" t="s">
        <v>247</v>
      </c>
      <c r="B9" s="35">
        <v>6</v>
      </c>
    </row>
    <row r="10" spans="1:2" x14ac:dyDescent="0.25">
      <c r="A10" s="35" t="s">
        <v>248</v>
      </c>
      <c r="B10" s="35">
        <v>6</v>
      </c>
    </row>
    <row r="11" spans="1:2" x14ac:dyDescent="0.25">
      <c r="A11" s="35" t="s">
        <v>249</v>
      </c>
      <c r="B11" s="35">
        <v>1</v>
      </c>
    </row>
    <row r="12" spans="1:2" x14ac:dyDescent="0.25">
      <c r="A12" s="35" t="s">
        <v>250</v>
      </c>
      <c r="B12" s="35">
        <v>6</v>
      </c>
    </row>
    <row r="13" spans="1:2" x14ac:dyDescent="0.25">
      <c r="A13" s="35" t="s">
        <v>251</v>
      </c>
      <c r="B13" s="35">
        <v>1</v>
      </c>
    </row>
    <row r="14" spans="1:2" x14ac:dyDescent="0.25">
      <c r="A14" s="35" t="s">
        <v>252</v>
      </c>
      <c r="B14" s="35">
        <v>1</v>
      </c>
    </row>
    <row r="15" spans="1:2" x14ac:dyDescent="0.25">
      <c r="A15" s="35" t="s">
        <v>253</v>
      </c>
      <c r="B15" s="35">
        <v>1</v>
      </c>
    </row>
    <row r="16" spans="1:2" x14ac:dyDescent="0.25">
      <c r="A16" s="35" t="s">
        <v>254</v>
      </c>
      <c r="B16" s="35">
        <v>5</v>
      </c>
    </row>
    <row r="17" spans="1:2" x14ac:dyDescent="0.25">
      <c r="A17" s="35" t="s">
        <v>255</v>
      </c>
      <c r="B17" s="35">
        <v>3</v>
      </c>
    </row>
    <row r="18" spans="1:2" x14ac:dyDescent="0.25">
      <c r="A18" s="35" t="s">
        <v>256</v>
      </c>
      <c r="B18" s="35">
        <v>6</v>
      </c>
    </row>
    <row r="19" spans="1:2" x14ac:dyDescent="0.25">
      <c r="A19" s="35" t="s">
        <v>257</v>
      </c>
      <c r="B19" s="35">
        <v>1</v>
      </c>
    </row>
    <row r="20" spans="1:2" x14ac:dyDescent="0.25">
      <c r="A20" s="35" t="s">
        <v>258</v>
      </c>
      <c r="B20" s="35">
        <v>1</v>
      </c>
    </row>
    <row r="21" spans="1:2" x14ac:dyDescent="0.25">
      <c r="A21" s="35" t="s">
        <v>259</v>
      </c>
      <c r="B21" s="35">
        <v>6</v>
      </c>
    </row>
    <row r="22" spans="1:2" x14ac:dyDescent="0.25">
      <c r="A22" s="35" t="s">
        <v>260</v>
      </c>
      <c r="B22" s="35">
        <v>6</v>
      </c>
    </row>
    <row r="23" spans="1:2" x14ac:dyDescent="0.25">
      <c r="A23" s="35" t="s">
        <v>261</v>
      </c>
      <c r="B23" s="35">
        <v>1</v>
      </c>
    </row>
    <row r="24" spans="1:2" x14ac:dyDescent="0.25">
      <c r="A24" s="35" t="s">
        <v>262</v>
      </c>
      <c r="B24" s="35">
        <v>6</v>
      </c>
    </row>
    <row r="25" spans="1:2" x14ac:dyDescent="0.25">
      <c r="A25" s="35" t="s">
        <v>263</v>
      </c>
      <c r="B25" s="35">
        <v>3</v>
      </c>
    </row>
    <row r="26" spans="1:2" x14ac:dyDescent="0.25">
      <c r="A26" s="35" t="s">
        <v>264</v>
      </c>
      <c r="B26" s="35">
        <v>5</v>
      </c>
    </row>
    <row r="27" spans="1:2" x14ac:dyDescent="0.25">
      <c r="A27" s="35" t="s">
        <v>265</v>
      </c>
      <c r="B27" s="35">
        <v>6</v>
      </c>
    </row>
    <row r="28" spans="1:2" x14ac:dyDescent="0.25">
      <c r="A28" s="35" t="s">
        <v>266</v>
      </c>
      <c r="B28" s="35">
        <v>6</v>
      </c>
    </row>
    <row r="29" spans="1:2" x14ac:dyDescent="0.25">
      <c r="A29" s="35" t="s">
        <v>267</v>
      </c>
      <c r="B29" s="35">
        <v>6</v>
      </c>
    </row>
    <row r="30" spans="1:2" x14ac:dyDescent="0.25">
      <c r="A30" s="35" t="s">
        <v>268</v>
      </c>
      <c r="B30" s="35">
        <v>6</v>
      </c>
    </row>
    <row r="31" spans="1:2" x14ac:dyDescent="0.25">
      <c r="A31" s="35" t="s">
        <v>269</v>
      </c>
      <c r="B31" s="35">
        <v>6</v>
      </c>
    </row>
    <row r="32" spans="1:2" x14ac:dyDescent="0.25">
      <c r="A32" s="35" t="s">
        <v>270</v>
      </c>
      <c r="B32" s="35">
        <v>6</v>
      </c>
    </row>
    <row r="33" spans="1:2" x14ac:dyDescent="0.25">
      <c r="A33" s="35" t="s">
        <v>271</v>
      </c>
      <c r="B33" s="35">
        <v>6</v>
      </c>
    </row>
    <row r="34" spans="1:2" x14ac:dyDescent="0.25">
      <c r="A34" s="35" t="s">
        <v>272</v>
      </c>
      <c r="B34" s="35">
        <v>6</v>
      </c>
    </row>
    <row r="35" spans="1:2" x14ac:dyDescent="0.25">
      <c r="A35" s="35" t="s">
        <v>273</v>
      </c>
      <c r="B35" s="35">
        <v>6</v>
      </c>
    </row>
    <row r="36" spans="1:2" x14ac:dyDescent="0.25">
      <c r="A36" s="35" t="s">
        <v>274</v>
      </c>
      <c r="B36" s="35">
        <v>6</v>
      </c>
    </row>
    <row r="37" spans="1:2" x14ac:dyDescent="0.25">
      <c r="A37" s="35" t="s">
        <v>275</v>
      </c>
      <c r="B37" s="35">
        <v>5</v>
      </c>
    </row>
    <row r="38" spans="1:2" x14ac:dyDescent="0.25">
      <c r="A38" s="35" t="s">
        <v>276</v>
      </c>
      <c r="B38" s="35">
        <v>5</v>
      </c>
    </row>
    <row r="39" spans="1:2" x14ac:dyDescent="0.25">
      <c r="A39" s="35" t="s">
        <v>277</v>
      </c>
      <c r="B39" s="35">
        <v>6</v>
      </c>
    </row>
    <row r="40" spans="1:2" x14ac:dyDescent="0.25">
      <c r="A40" s="35" t="s">
        <v>278</v>
      </c>
      <c r="B40" s="35">
        <v>6</v>
      </c>
    </row>
    <row r="41" spans="1:2" x14ac:dyDescent="0.25">
      <c r="A41" s="35" t="s">
        <v>279</v>
      </c>
      <c r="B41" s="35">
        <v>6</v>
      </c>
    </row>
    <row r="42" spans="1:2" x14ac:dyDescent="0.25">
      <c r="A42" s="35" t="s">
        <v>280</v>
      </c>
      <c r="B42" s="35">
        <v>4</v>
      </c>
    </row>
    <row r="43" spans="1:2" x14ac:dyDescent="0.25">
      <c r="A43" s="35" t="s">
        <v>281</v>
      </c>
      <c r="B43" s="35">
        <v>2</v>
      </c>
    </row>
    <row r="44" spans="1:2" x14ac:dyDescent="0.25">
      <c r="A44" s="35" t="s">
        <v>282</v>
      </c>
      <c r="B44" s="35">
        <v>1</v>
      </c>
    </row>
    <row r="45" spans="1:2" x14ac:dyDescent="0.25">
      <c r="A45" s="35" t="s">
        <v>283</v>
      </c>
      <c r="B45" s="35">
        <v>6</v>
      </c>
    </row>
    <row r="46" spans="1:2" x14ac:dyDescent="0.25">
      <c r="A46" s="35" t="s">
        <v>284</v>
      </c>
      <c r="B46" s="35">
        <v>2</v>
      </c>
    </row>
    <row r="47" spans="1:2" x14ac:dyDescent="0.25">
      <c r="A47" s="35" t="s">
        <v>285</v>
      </c>
      <c r="B47" s="35">
        <v>5</v>
      </c>
    </row>
    <row r="48" spans="1:2" x14ac:dyDescent="0.25">
      <c r="A48" s="35" t="s">
        <v>286</v>
      </c>
      <c r="B48" s="35">
        <v>3</v>
      </c>
    </row>
    <row r="49" spans="1:2" x14ac:dyDescent="0.25">
      <c r="A49" s="35" t="s">
        <v>287</v>
      </c>
      <c r="B49" s="35">
        <v>2</v>
      </c>
    </row>
    <row r="50" spans="1:2" x14ac:dyDescent="0.25">
      <c r="A50" s="35" t="s">
        <v>288</v>
      </c>
      <c r="B50" s="35">
        <v>5</v>
      </c>
    </row>
    <row r="51" spans="1:2" x14ac:dyDescent="0.25">
      <c r="A51" s="35" t="s">
        <v>289</v>
      </c>
      <c r="B51" s="35">
        <v>3</v>
      </c>
    </row>
    <row r="52" spans="1:2" x14ac:dyDescent="0.25">
      <c r="A52" s="35" t="s">
        <v>290</v>
      </c>
      <c r="B52" s="35">
        <v>6</v>
      </c>
    </row>
    <row r="53" spans="1:2" x14ac:dyDescent="0.25">
      <c r="A53" s="35" t="s">
        <v>291</v>
      </c>
      <c r="B53" s="35">
        <v>6</v>
      </c>
    </row>
    <row r="54" spans="1:2" x14ac:dyDescent="0.25">
      <c r="A54" s="35" t="s">
        <v>292</v>
      </c>
      <c r="B54" s="35">
        <v>5</v>
      </c>
    </row>
    <row r="55" spans="1:2" x14ac:dyDescent="0.25">
      <c r="A55" s="35" t="s">
        <v>293</v>
      </c>
      <c r="B55" s="35">
        <v>6</v>
      </c>
    </row>
    <row r="56" spans="1:2" x14ac:dyDescent="0.25">
      <c r="A56" s="35" t="s">
        <v>294</v>
      </c>
      <c r="B56" s="35">
        <v>6</v>
      </c>
    </row>
    <row r="57" spans="1:2" x14ac:dyDescent="0.25">
      <c r="A57" s="35" t="s">
        <v>295</v>
      </c>
      <c r="B57" s="35">
        <v>2</v>
      </c>
    </row>
    <row r="58" spans="1:2" x14ac:dyDescent="0.25">
      <c r="A58" s="35" t="s">
        <v>296</v>
      </c>
      <c r="B58" s="35">
        <v>3</v>
      </c>
    </row>
    <row r="59" spans="1:2" x14ac:dyDescent="0.25">
      <c r="A59" s="35" t="s">
        <v>297</v>
      </c>
      <c r="B59" s="35">
        <v>3</v>
      </c>
    </row>
    <row r="60" spans="1:2" x14ac:dyDescent="0.25">
      <c r="A60" s="35" t="s">
        <v>298</v>
      </c>
      <c r="B60" s="35">
        <v>6</v>
      </c>
    </row>
    <row r="61" spans="1:2" x14ac:dyDescent="0.25">
      <c r="A61" s="35" t="s">
        <v>299</v>
      </c>
      <c r="B61" s="35">
        <v>2</v>
      </c>
    </row>
    <row r="62" spans="1:2" x14ac:dyDescent="0.25">
      <c r="A62" s="35" t="s">
        <v>300</v>
      </c>
      <c r="B62" s="35">
        <v>5</v>
      </c>
    </row>
    <row r="63" spans="1:2" x14ac:dyDescent="0.25">
      <c r="A63" s="35" t="s">
        <v>301</v>
      </c>
      <c r="B63" s="35">
        <v>5</v>
      </c>
    </row>
    <row r="64" spans="1:2" x14ac:dyDescent="0.25">
      <c r="A64" s="35" t="s">
        <v>302</v>
      </c>
      <c r="B64" s="35">
        <v>4</v>
      </c>
    </row>
    <row r="65" spans="1:2" x14ac:dyDescent="0.25">
      <c r="A65" s="35" t="s">
        <v>303</v>
      </c>
      <c r="B65" s="35">
        <v>2</v>
      </c>
    </row>
    <row r="66" spans="1:2" x14ac:dyDescent="0.25">
      <c r="A66" s="35" t="s">
        <v>304</v>
      </c>
      <c r="B66" s="35">
        <v>6</v>
      </c>
    </row>
    <row r="67" spans="1:2" x14ac:dyDescent="0.25">
      <c r="A67" s="35" t="s">
        <v>305</v>
      </c>
      <c r="B67" s="35">
        <v>2</v>
      </c>
    </row>
    <row r="68" spans="1:2" x14ac:dyDescent="0.25">
      <c r="A68" s="35" t="s">
        <v>306</v>
      </c>
      <c r="B68" s="35">
        <v>3</v>
      </c>
    </row>
    <row r="69" spans="1:2" x14ac:dyDescent="0.25">
      <c r="A69" s="35" t="s">
        <v>307</v>
      </c>
      <c r="B69" s="35">
        <v>2</v>
      </c>
    </row>
    <row r="70" spans="1:2" x14ac:dyDescent="0.25">
      <c r="A70" s="35" t="s">
        <v>308</v>
      </c>
      <c r="B70" s="35">
        <v>3</v>
      </c>
    </row>
    <row r="71" spans="1:2" x14ac:dyDescent="0.25">
      <c r="A71" s="35" t="s">
        <v>309</v>
      </c>
      <c r="B71" s="35">
        <v>2</v>
      </c>
    </row>
    <row r="72" spans="1:2" x14ac:dyDescent="0.25">
      <c r="A72" s="35" t="s">
        <v>310</v>
      </c>
      <c r="B72" s="35">
        <v>2</v>
      </c>
    </row>
    <row r="73" spans="1:2" x14ac:dyDescent="0.25">
      <c r="A73" s="35" t="s">
        <v>311</v>
      </c>
      <c r="B73" s="35">
        <v>2</v>
      </c>
    </row>
    <row r="74" spans="1:2" x14ac:dyDescent="0.25">
      <c r="A74" s="35" t="s">
        <v>312</v>
      </c>
      <c r="B74" s="35">
        <v>2</v>
      </c>
    </row>
    <row r="75" spans="1:2" x14ac:dyDescent="0.25">
      <c r="A75" s="35" t="s">
        <v>313</v>
      </c>
      <c r="B75" s="35">
        <v>2</v>
      </c>
    </row>
    <row r="76" spans="1:2" x14ac:dyDescent="0.25">
      <c r="A76" s="35" t="s">
        <v>314</v>
      </c>
      <c r="B76" s="35">
        <v>2</v>
      </c>
    </row>
    <row r="77" spans="1:2" x14ac:dyDescent="0.25">
      <c r="A77" s="35" t="s">
        <v>315</v>
      </c>
      <c r="B77" s="35">
        <v>2</v>
      </c>
    </row>
    <row r="78" spans="1:2" x14ac:dyDescent="0.25">
      <c r="A78" s="35" t="s">
        <v>316</v>
      </c>
      <c r="B78" s="35">
        <v>2</v>
      </c>
    </row>
    <row r="79" spans="1:2" x14ac:dyDescent="0.25">
      <c r="A79" s="35" t="s">
        <v>317</v>
      </c>
      <c r="B79" s="35">
        <v>3</v>
      </c>
    </row>
    <row r="80" spans="1:2" x14ac:dyDescent="0.25">
      <c r="A80" s="35" t="s">
        <v>318</v>
      </c>
      <c r="B80" s="35">
        <v>1</v>
      </c>
    </row>
    <row r="81" spans="1:2" x14ac:dyDescent="0.25">
      <c r="A81" s="35" t="s">
        <v>319</v>
      </c>
      <c r="B81" s="35">
        <v>2</v>
      </c>
    </row>
    <row r="82" spans="1:2" x14ac:dyDescent="0.25">
      <c r="A82" s="35" t="s">
        <v>320</v>
      </c>
      <c r="B82" s="35">
        <v>2</v>
      </c>
    </row>
    <row r="83" spans="1:2" x14ac:dyDescent="0.25">
      <c r="A83" s="35" t="s">
        <v>321</v>
      </c>
      <c r="B83" s="35">
        <v>2</v>
      </c>
    </row>
    <row r="84" spans="1:2" x14ac:dyDescent="0.25">
      <c r="A84" s="35" t="s">
        <v>322</v>
      </c>
      <c r="B84" s="35">
        <v>2</v>
      </c>
    </row>
    <row r="85" spans="1:2" x14ac:dyDescent="0.25">
      <c r="A85" s="35" t="s">
        <v>323</v>
      </c>
      <c r="B85" s="35">
        <v>3</v>
      </c>
    </row>
    <row r="86" spans="1:2" x14ac:dyDescent="0.25">
      <c r="A86" s="35" t="s">
        <v>324</v>
      </c>
      <c r="B86" s="35">
        <v>2</v>
      </c>
    </row>
    <row r="87" spans="1:2" x14ac:dyDescent="0.25">
      <c r="A87" s="35" t="s">
        <v>325</v>
      </c>
      <c r="B87" s="35">
        <v>3</v>
      </c>
    </row>
    <row r="88" spans="1:2" x14ac:dyDescent="0.25">
      <c r="A88" s="35" t="s">
        <v>326</v>
      </c>
      <c r="B88" s="35">
        <v>2</v>
      </c>
    </row>
    <row r="89" spans="1:2" x14ac:dyDescent="0.25">
      <c r="A89" s="35" t="s">
        <v>327</v>
      </c>
      <c r="B89" s="35">
        <v>2</v>
      </c>
    </row>
    <row r="90" spans="1:2" x14ac:dyDescent="0.25">
      <c r="A90" s="35" t="s">
        <v>328</v>
      </c>
      <c r="B90" s="35">
        <v>2</v>
      </c>
    </row>
    <row r="91" spans="1:2" x14ac:dyDescent="0.25">
      <c r="A91" s="35" t="s">
        <v>329</v>
      </c>
      <c r="B91" s="35">
        <v>2</v>
      </c>
    </row>
    <row r="92" spans="1:2" x14ac:dyDescent="0.25">
      <c r="A92" s="35" t="s">
        <v>330</v>
      </c>
      <c r="B92" s="35">
        <v>3</v>
      </c>
    </row>
    <row r="93" spans="1:2" x14ac:dyDescent="0.25">
      <c r="A93" s="35" t="s">
        <v>331</v>
      </c>
      <c r="B93" s="35">
        <v>2</v>
      </c>
    </row>
    <row r="94" spans="1:2" x14ac:dyDescent="0.25">
      <c r="A94" s="35" t="s">
        <v>332</v>
      </c>
      <c r="B94" s="35">
        <v>2</v>
      </c>
    </row>
    <row r="95" spans="1:2" x14ac:dyDescent="0.25">
      <c r="A95" s="35" t="s">
        <v>333</v>
      </c>
      <c r="B95" s="35">
        <v>1</v>
      </c>
    </row>
    <row r="96" spans="1:2" x14ac:dyDescent="0.25">
      <c r="A96" s="35" t="s">
        <v>334</v>
      </c>
      <c r="B96" s="35">
        <v>2</v>
      </c>
    </row>
    <row r="97" spans="1:2" x14ac:dyDescent="0.25">
      <c r="A97" s="35" t="s">
        <v>335</v>
      </c>
      <c r="B97" s="35">
        <v>1</v>
      </c>
    </row>
    <row r="98" spans="1:2" x14ac:dyDescent="0.25">
      <c r="A98" s="35" t="s">
        <v>336</v>
      </c>
      <c r="B98" s="35">
        <v>1</v>
      </c>
    </row>
    <row r="99" spans="1:2" x14ac:dyDescent="0.25">
      <c r="A99" s="35" t="s">
        <v>337</v>
      </c>
      <c r="B99" s="35">
        <v>2</v>
      </c>
    </row>
    <row r="100" spans="1:2" x14ac:dyDescent="0.25">
      <c r="A100" s="35" t="s">
        <v>338</v>
      </c>
      <c r="B100" s="35">
        <v>2</v>
      </c>
    </row>
    <row r="101" spans="1:2" x14ac:dyDescent="0.25">
      <c r="A101" s="35" t="s">
        <v>339</v>
      </c>
      <c r="B101" s="35">
        <v>2</v>
      </c>
    </row>
    <row r="102" spans="1:2" x14ac:dyDescent="0.25">
      <c r="A102" s="35" t="s">
        <v>340</v>
      </c>
      <c r="B102" s="35">
        <v>2</v>
      </c>
    </row>
    <row r="103" spans="1:2" x14ac:dyDescent="0.25">
      <c r="A103" s="35" t="s">
        <v>341</v>
      </c>
      <c r="B103" s="35">
        <v>1</v>
      </c>
    </row>
    <row r="104" spans="1:2" x14ac:dyDescent="0.25">
      <c r="A104" s="35" t="s">
        <v>342</v>
      </c>
      <c r="B104" s="35">
        <v>1</v>
      </c>
    </row>
    <row r="105" spans="1:2" x14ac:dyDescent="0.25">
      <c r="A105" s="35" t="s">
        <v>343</v>
      </c>
      <c r="B105" s="35">
        <v>1</v>
      </c>
    </row>
    <row r="106" spans="1:2" x14ac:dyDescent="0.25">
      <c r="A106" s="35" t="s">
        <v>344</v>
      </c>
      <c r="B106" s="35">
        <v>3</v>
      </c>
    </row>
    <row r="107" spans="1:2" x14ac:dyDescent="0.25">
      <c r="A107" s="35" t="s">
        <v>345</v>
      </c>
      <c r="B107" s="35">
        <v>2</v>
      </c>
    </row>
    <row r="108" spans="1:2" x14ac:dyDescent="0.25">
      <c r="A108" s="35" t="s">
        <v>346</v>
      </c>
      <c r="B108" s="35">
        <v>5</v>
      </c>
    </row>
    <row r="109" spans="1:2" x14ac:dyDescent="0.25">
      <c r="A109" s="35" t="s">
        <v>347</v>
      </c>
      <c r="B109" s="35">
        <v>2</v>
      </c>
    </row>
    <row r="110" spans="1:2" x14ac:dyDescent="0.25">
      <c r="A110" s="35" t="s">
        <v>348</v>
      </c>
      <c r="B110" s="35">
        <v>2</v>
      </c>
    </row>
    <row r="111" spans="1:2" x14ac:dyDescent="0.25">
      <c r="A111" s="35" t="s">
        <v>349</v>
      </c>
      <c r="B111" s="35">
        <v>2</v>
      </c>
    </row>
    <row r="112" spans="1:2" x14ac:dyDescent="0.25">
      <c r="A112" s="35" t="s">
        <v>350</v>
      </c>
      <c r="B112" s="35">
        <v>2</v>
      </c>
    </row>
    <row r="113" spans="1:2" x14ac:dyDescent="0.25">
      <c r="A113" s="35" t="s">
        <v>351</v>
      </c>
      <c r="B113" s="35">
        <v>3</v>
      </c>
    </row>
    <row r="114" spans="1:2" x14ac:dyDescent="0.25">
      <c r="A114" s="35" t="s">
        <v>352</v>
      </c>
      <c r="B114" s="35">
        <v>2</v>
      </c>
    </row>
    <row r="115" spans="1:2" x14ac:dyDescent="0.25">
      <c r="A115" s="35" t="s">
        <v>353</v>
      </c>
      <c r="B115" s="35">
        <v>3</v>
      </c>
    </row>
    <row r="116" spans="1:2" x14ac:dyDescent="0.25">
      <c r="A116" s="35" t="s">
        <v>354</v>
      </c>
      <c r="B116" s="35">
        <v>2</v>
      </c>
    </row>
    <row r="117" spans="1:2" x14ac:dyDescent="0.25">
      <c r="A117" s="35" t="s">
        <v>355</v>
      </c>
      <c r="B117" s="35">
        <v>2</v>
      </c>
    </row>
    <row r="118" spans="1:2" x14ac:dyDescent="0.25">
      <c r="A118" s="35" t="s">
        <v>356</v>
      </c>
      <c r="B118" s="35">
        <v>5</v>
      </c>
    </row>
    <row r="119" spans="1:2" x14ac:dyDescent="0.25">
      <c r="A119" s="35" t="s">
        <v>357</v>
      </c>
      <c r="B119" s="35">
        <v>3</v>
      </c>
    </row>
    <row r="120" spans="1:2" x14ac:dyDescent="0.25">
      <c r="A120" s="35" t="s">
        <v>358</v>
      </c>
      <c r="B120" s="35">
        <v>2</v>
      </c>
    </row>
    <row r="121" spans="1:2" x14ac:dyDescent="0.25">
      <c r="A121" s="35" t="s">
        <v>359</v>
      </c>
      <c r="B121" s="35">
        <v>2</v>
      </c>
    </row>
    <row r="122" spans="1:2" x14ac:dyDescent="0.25">
      <c r="A122" s="35" t="s">
        <v>360</v>
      </c>
      <c r="B122" s="35">
        <v>1</v>
      </c>
    </row>
    <row r="123" spans="1:2" x14ac:dyDescent="0.25">
      <c r="A123" s="35" t="s">
        <v>361</v>
      </c>
      <c r="B123" s="35">
        <v>1</v>
      </c>
    </row>
    <row r="124" spans="1:2" x14ac:dyDescent="0.25">
      <c r="A124" s="35" t="s">
        <v>362</v>
      </c>
      <c r="B124" s="35">
        <v>1</v>
      </c>
    </row>
    <row r="125" spans="1:2" x14ac:dyDescent="0.25">
      <c r="A125" s="35" t="s">
        <v>363</v>
      </c>
      <c r="B125" s="35">
        <v>1</v>
      </c>
    </row>
    <row r="126" spans="1:2" x14ac:dyDescent="0.25">
      <c r="A126" s="35" t="s">
        <v>364</v>
      </c>
      <c r="B126" s="35">
        <v>1</v>
      </c>
    </row>
    <row r="127" spans="1:2" x14ac:dyDescent="0.25">
      <c r="A127" s="35" t="s">
        <v>365</v>
      </c>
      <c r="B127" s="35">
        <v>1</v>
      </c>
    </row>
    <row r="128" spans="1:2" x14ac:dyDescent="0.25">
      <c r="A128" s="35" t="s">
        <v>366</v>
      </c>
      <c r="B128" s="35">
        <v>1</v>
      </c>
    </row>
    <row r="129" spans="1:2" x14ac:dyDescent="0.25">
      <c r="A129" s="35" t="s">
        <v>367</v>
      </c>
      <c r="B129" s="35">
        <v>2</v>
      </c>
    </row>
    <row r="130" spans="1:2" x14ac:dyDescent="0.25">
      <c r="A130" s="35" t="s">
        <v>368</v>
      </c>
      <c r="B130" s="35">
        <v>1</v>
      </c>
    </row>
    <row r="131" spans="1:2" x14ac:dyDescent="0.25">
      <c r="A131" s="35" t="s">
        <v>369</v>
      </c>
      <c r="B131" s="35">
        <v>1</v>
      </c>
    </row>
    <row r="132" spans="1:2" x14ac:dyDescent="0.25">
      <c r="A132" s="35" t="s">
        <v>370</v>
      </c>
      <c r="B132" s="35">
        <v>1</v>
      </c>
    </row>
    <row r="133" spans="1:2" x14ac:dyDescent="0.25">
      <c r="A133" s="35" t="s">
        <v>371</v>
      </c>
      <c r="B133" s="35">
        <v>1</v>
      </c>
    </row>
    <row r="134" spans="1:2" x14ac:dyDescent="0.25">
      <c r="A134" s="35" t="s">
        <v>372</v>
      </c>
      <c r="B134" s="35">
        <v>1</v>
      </c>
    </row>
    <row r="135" spans="1:2" x14ac:dyDescent="0.25">
      <c r="A135" s="35" t="s">
        <v>373</v>
      </c>
      <c r="B135" s="35">
        <v>1</v>
      </c>
    </row>
    <row r="136" spans="1:2" x14ac:dyDescent="0.25">
      <c r="A136" s="35" t="s">
        <v>238</v>
      </c>
      <c r="B136" s="35">
        <v>1</v>
      </c>
    </row>
    <row r="137" spans="1:2" x14ac:dyDescent="0.25">
      <c r="A137" s="35" t="s">
        <v>374</v>
      </c>
      <c r="B137" s="35">
        <v>1</v>
      </c>
    </row>
    <row r="138" spans="1:2" x14ac:dyDescent="0.25">
      <c r="A138" s="35" t="s">
        <v>375</v>
      </c>
      <c r="B138" s="35">
        <v>1</v>
      </c>
    </row>
    <row r="139" spans="1:2" x14ac:dyDescent="0.25">
      <c r="A139" s="35" t="s">
        <v>376</v>
      </c>
      <c r="B139" s="35">
        <v>1</v>
      </c>
    </row>
    <row r="140" spans="1:2" x14ac:dyDescent="0.25">
      <c r="A140" s="35" t="s">
        <v>377</v>
      </c>
      <c r="B140" s="35">
        <v>1</v>
      </c>
    </row>
    <row r="141" spans="1:2" x14ac:dyDescent="0.25">
      <c r="A141" s="35" t="s">
        <v>378</v>
      </c>
      <c r="B141" s="35">
        <v>1</v>
      </c>
    </row>
    <row r="142" spans="1:2" x14ac:dyDescent="0.25">
      <c r="A142" s="35" t="s">
        <v>379</v>
      </c>
      <c r="B142" s="35">
        <v>1</v>
      </c>
    </row>
    <row r="143" spans="1:2" x14ac:dyDescent="0.25">
      <c r="A143" s="35" t="s">
        <v>380</v>
      </c>
      <c r="B143" s="35">
        <v>1</v>
      </c>
    </row>
    <row r="144" spans="1:2" x14ac:dyDescent="0.25">
      <c r="A144" s="35" t="s">
        <v>381</v>
      </c>
      <c r="B144" s="35">
        <v>1</v>
      </c>
    </row>
    <row r="145" spans="1:2" x14ac:dyDescent="0.25">
      <c r="A145" s="35" t="s">
        <v>382</v>
      </c>
      <c r="B145" s="35">
        <v>1</v>
      </c>
    </row>
    <row r="146" spans="1:2" x14ac:dyDescent="0.25">
      <c r="A146" s="35" t="s">
        <v>383</v>
      </c>
      <c r="B146" s="35">
        <v>1</v>
      </c>
    </row>
    <row r="147" spans="1:2" x14ac:dyDescent="0.25">
      <c r="A147" s="35" t="s">
        <v>384</v>
      </c>
      <c r="B147" s="35">
        <v>1</v>
      </c>
    </row>
    <row r="148" spans="1:2" x14ac:dyDescent="0.25">
      <c r="A148" s="35" t="s">
        <v>385</v>
      </c>
      <c r="B148" s="35">
        <v>1</v>
      </c>
    </row>
    <row r="149" spans="1:2" x14ac:dyDescent="0.25">
      <c r="A149" s="35" t="s">
        <v>386</v>
      </c>
      <c r="B149" s="35">
        <v>1</v>
      </c>
    </row>
    <row r="150" spans="1:2" x14ac:dyDescent="0.25">
      <c r="A150" s="35" t="s">
        <v>387</v>
      </c>
      <c r="B150" s="35">
        <v>1</v>
      </c>
    </row>
    <row r="151" spans="1:2" x14ac:dyDescent="0.25">
      <c r="A151" s="35" t="s">
        <v>388</v>
      </c>
      <c r="B151" s="35">
        <v>1</v>
      </c>
    </row>
    <row r="152" spans="1:2" x14ac:dyDescent="0.25">
      <c r="A152" s="35" t="s">
        <v>389</v>
      </c>
      <c r="B152" s="35">
        <v>1</v>
      </c>
    </row>
    <row r="153" spans="1:2" x14ac:dyDescent="0.25">
      <c r="A153" s="35" t="s">
        <v>390</v>
      </c>
      <c r="B153" s="35">
        <v>1</v>
      </c>
    </row>
    <row r="154" spans="1:2" x14ac:dyDescent="0.25">
      <c r="A154" s="35" t="s">
        <v>391</v>
      </c>
      <c r="B154" s="35">
        <v>1</v>
      </c>
    </row>
    <row r="155" spans="1:2" x14ac:dyDescent="0.25">
      <c r="A155" s="35" t="s">
        <v>392</v>
      </c>
      <c r="B155" s="35">
        <v>1</v>
      </c>
    </row>
    <row r="156" spans="1:2" x14ac:dyDescent="0.25">
      <c r="A156" s="35" t="s">
        <v>393</v>
      </c>
      <c r="B156" s="35">
        <v>1</v>
      </c>
    </row>
    <row r="157" spans="1:2" x14ac:dyDescent="0.25">
      <c r="A157" s="35" t="s">
        <v>394</v>
      </c>
      <c r="B157" s="35">
        <v>1</v>
      </c>
    </row>
    <row r="158" spans="1:2" x14ac:dyDescent="0.25">
      <c r="A158" s="35" t="s">
        <v>395</v>
      </c>
      <c r="B158" s="35">
        <v>1</v>
      </c>
    </row>
    <row r="159" spans="1:2" x14ac:dyDescent="0.25">
      <c r="A159" s="35" t="s">
        <v>396</v>
      </c>
      <c r="B159" s="35">
        <v>1</v>
      </c>
    </row>
    <row r="160" spans="1:2" x14ac:dyDescent="0.25">
      <c r="A160" s="35" t="s">
        <v>397</v>
      </c>
      <c r="B160" s="35">
        <v>1</v>
      </c>
    </row>
    <row r="161" spans="1:2" x14ac:dyDescent="0.25">
      <c r="A161" s="35" t="s">
        <v>398</v>
      </c>
      <c r="B161" s="35">
        <v>2</v>
      </c>
    </row>
    <row r="162" spans="1:2" x14ac:dyDescent="0.25">
      <c r="A162" s="35" t="s">
        <v>399</v>
      </c>
      <c r="B162" s="35">
        <v>1</v>
      </c>
    </row>
    <row r="163" spans="1:2" x14ac:dyDescent="0.25">
      <c r="A163" s="35" t="s">
        <v>400</v>
      </c>
      <c r="B163" s="35">
        <v>1</v>
      </c>
    </row>
    <row r="164" spans="1:2" x14ac:dyDescent="0.25">
      <c r="A164" s="35" t="s">
        <v>401</v>
      </c>
      <c r="B164" s="35">
        <v>1</v>
      </c>
    </row>
    <row r="165" spans="1:2" x14ac:dyDescent="0.25">
      <c r="A165" s="35" t="s">
        <v>402</v>
      </c>
      <c r="B165" s="35">
        <v>1</v>
      </c>
    </row>
    <row r="166" spans="1:2" x14ac:dyDescent="0.25">
      <c r="A166" s="35" t="s">
        <v>403</v>
      </c>
      <c r="B166" s="35">
        <v>1</v>
      </c>
    </row>
    <row r="167" spans="1:2" x14ac:dyDescent="0.25">
      <c r="A167" s="35" t="s">
        <v>404</v>
      </c>
      <c r="B167" s="35">
        <v>1</v>
      </c>
    </row>
    <row r="168" spans="1:2" x14ac:dyDescent="0.25">
      <c r="A168" s="35" t="s">
        <v>405</v>
      </c>
      <c r="B168" s="35">
        <v>1</v>
      </c>
    </row>
    <row r="169" spans="1:2" x14ac:dyDescent="0.25">
      <c r="A169" s="35" t="s">
        <v>406</v>
      </c>
      <c r="B169" s="35">
        <v>1</v>
      </c>
    </row>
    <row r="170" spans="1:2" x14ac:dyDescent="0.25">
      <c r="A170" s="35" t="s">
        <v>407</v>
      </c>
      <c r="B170" s="35">
        <v>1</v>
      </c>
    </row>
    <row r="171" spans="1:2" x14ac:dyDescent="0.25">
      <c r="A171" s="35" t="s">
        <v>408</v>
      </c>
      <c r="B171" s="35">
        <v>1</v>
      </c>
    </row>
    <row r="172" spans="1:2" x14ac:dyDescent="0.25">
      <c r="A172" s="35" t="s">
        <v>409</v>
      </c>
      <c r="B172" s="35">
        <v>1</v>
      </c>
    </row>
    <row r="173" spans="1:2" x14ac:dyDescent="0.25">
      <c r="A173" s="35" t="s">
        <v>410</v>
      </c>
      <c r="B173" s="35">
        <v>1</v>
      </c>
    </row>
    <row r="174" spans="1:2" x14ac:dyDescent="0.25">
      <c r="A174" s="35" t="s">
        <v>411</v>
      </c>
      <c r="B174" s="35">
        <v>2</v>
      </c>
    </row>
    <row r="175" spans="1:2" x14ac:dyDescent="0.25">
      <c r="A175" s="35" t="s">
        <v>412</v>
      </c>
      <c r="B175" s="35">
        <v>1</v>
      </c>
    </row>
    <row r="176" spans="1:2" x14ac:dyDescent="0.25">
      <c r="A176" s="35" t="s">
        <v>413</v>
      </c>
      <c r="B176" s="35">
        <v>1</v>
      </c>
    </row>
    <row r="177" spans="1:2" x14ac:dyDescent="0.25">
      <c r="A177" s="35" t="s">
        <v>414</v>
      </c>
      <c r="B177" s="35">
        <v>1</v>
      </c>
    </row>
    <row r="178" spans="1:2" x14ac:dyDescent="0.25">
      <c r="A178" s="35" t="s">
        <v>415</v>
      </c>
      <c r="B178" s="35">
        <v>1</v>
      </c>
    </row>
    <row r="179" spans="1:2" x14ac:dyDescent="0.25">
      <c r="A179" s="35" t="s">
        <v>416</v>
      </c>
      <c r="B179" s="35">
        <v>1</v>
      </c>
    </row>
    <row r="180" spans="1:2" x14ac:dyDescent="0.25">
      <c r="A180" s="35" t="s">
        <v>417</v>
      </c>
      <c r="B180" s="35">
        <v>1</v>
      </c>
    </row>
    <row r="181" spans="1:2" x14ac:dyDescent="0.25">
      <c r="A181" s="35" t="s">
        <v>418</v>
      </c>
      <c r="B181" s="35">
        <v>1</v>
      </c>
    </row>
    <row r="182" spans="1:2" x14ac:dyDescent="0.25">
      <c r="A182" s="35" t="s">
        <v>419</v>
      </c>
      <c r="B182" s="35">
        <v>1</v>
      </c>
    </row>
    <row r="183" spans="1:2" x14ac:dyDescent="0.25">
      <c r="A183" s="35" t="s">
        <v>420</v>
      </c>
      <c r="B183" s="35">
        <v>6</v>
      </c>
    </row>
    <row r="184" spans="1:2" x14ac:dyDescent="0.25">
      <c r="A184" s="35" t="s">
        <v>421</v>
      </c>
      <c r="B184" s="35">
        <v>6</v>
      </c>
    </row>
    <row r="185" spans="1:2" x14ac:dyDescent="0.25">
      <c r="A185" s="35" t="s">
        <v>422</v>
      </c>
      <c r="B185" s="35">
        <v>1</v>
      </c>
    </row>
    <row r="186" spans="1:2" x14ac:dyDescent="0.25">
      <c r="A186" s="35" t="s">
        <v>423</v>
      </c>
      <c r="B186" s="35">
        <v>1</v>
      </c>
    </row>
    <row r="187" spans="1:2" x14ac:dyDescent="0.25">
      <c r="A187" s="35" t="s">
        <v>424</v>
      </c>
      <c r="B187" s="35">
        <v>1</v>
      </c>
    </row>
    <row r="188" spans="1:2" x14ac:dyDescent="0.25">
      <c r="A188" s="47" t="s">
        <v>425</v>
      </c>
      <c r="B188" s="41" t="s">
        <v>181</v>
      </c>
    </row>
    <row r="189" spans="1:2" x14ac:dyDescent="0.25">
      <c r="A189" s="47" t="s">
        <v>426</v>
      </c>
      <c r="B189" s="41" t="s">
        <v>181</v>
      </c>
    </row>
    <row r="190" spans="1:2" x14ac:dyDescent="0.25">
      <c r="A190" s="41" t="s">
        <v>200</v>
      </c>
      <c r="B190" s="46">
        <v>7</v>
      </c>
    </row>
    <row r="191" spans="1:2" x14ac:dyDescent="0.25">
      <c r="A191" s="41" t="s">
        <v>201</v>
      </c>
      <c r="B191" s="46">
        <v>8</v>
      </c>
    </row>
    <row r="192" spans="1:2" x14ac:dyDescent="0.25">
      <c r="A192" s="41" t="s">
        <v>202</v>
      </c>
      <c r="B192" s="46">
        <v>9</v>
      </c>
    </row>
  </sheetData>
  <autoFilter ref="A2:B2"/>
  <pageMargins left="0.7" right="0.7" top="0.75" bottom="0.75" header="0.3" footer="0.3"/>
  <pageSetup paperSize="8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AB196"/>
  <sheetViews>
    <sheetView tabSelected="1" workbookViewId="0">
      <selection activeCell="H33" sqref="H33"/>
    </sheetView>
  </sheetViews>
  <sheetFormatPr baseColWidth="10" defaultRowHeight="15" x14ac:dyDescent="0.25"/>
  <cols>
    <col min="1" max="1" width="19.7109375" style="139" customWidth="1"/>
    <col min="2" max="2" width="11.42578125" style="136" customWidth="1"/>
    <col min="3" max="3" width="11.42578125" style="139" customWidth="1"/>
    <col min="4" max="4" width="11.42578125" style="136" customWidth="1"/>
    <col min="5" max="17" width="11.42578125" style="136"/>
    <col min="18" max="18" width="41.28515625" style="136" bestFit="1" customWidth="1"/>
    <col min="19" max="19" width="11.42578125" style="136" customWidth="1"/>
    <col min="20" max="16384" width="11.42578125" style="136"/>
  </cols>
  <sheetData>
    <row r="5" spans="1:28" x14ac:dyDescent="0.25">
      <c r="E5" s="210" t="s">
        <v>158</v>
      </c>
      <c r="F5" s="211"/>
      <c r="G5" s="211"/>
      <c r="H5" s="211"/>
      <c r="I5" s="210" t="s">
        <v>483</v>
      </c>
      <c r="J5" s="210" t="s">
        <v>484</v>
      </c>
      <c r="K5" s="210" t="s">
        <v>485</v>
      </c>
      <c r="L5" s="211"/>
      <c r="M5" s="211"/>
      <c r="N5" s="211"/>
      <c r="O5" s="212" t="s">
        <v>486</v>
      </c>
      <c r="P5" s="212" t="s">
        <v>487</v>
      </c>
      <c r="Q5" s="213" t="s">
        <v>487</v>
      </c>
      <c r="R5" s="212" t="s">
        <v>159</v>
      </c>
      <c r="S5" s="212" t="s">
        <v>488</v>
      </c>
      <c r="T5" s="214" t="s">
        <v>489</v>
      </c>
      <c r="U5" s="210" t="s">
        <v>489</v>
      </c>
      <c r="V5" s="211" t="s">
        <v>490</v>
      </c>
      <c r="W5" s="210" t="s">
        <v>491</v>
      </c>
      <c r="X5" s="210" t="s">
        <v>492</v>
      </c>
      <c r="Y5" s="210" t="s">
        <v>493</v>
      </c>
    </row>
    <row r="6" spans="1:28" x14ac:dyDescent="0.25">
      <c r="A6" s="140" t="str">
        <f>R6</f>
        <v>Profil socle 1000 38</v>
      </c>
      <c r="B6" s="140" t="str">
        <f>IFERROR(VLOOKUP(logikal!R6,Profils!$E$3:$G$35,3,FALSE),X)</f>
        <v>SOCLE</v>
      </c>
      <c r="C6" s="140">
        <f>IFERROR(D6*E6,0)</f>
        <v>1</v>
      </c>
      <c r="D6" s="136">
        <f>COUNT(E6)</f>
        <v>1</v>
      </c>
      <c r="E6" s="215">
        <v>1</v>
      </c>
      <c r="F6" s="216"/>
      <c r="G6" s="216">
        <v>1</v>
      </c>
      <c r="H6" s="216"/>
      <c r="I6" s="215">
        <v>1</v>
      </c>
      <c r="J6" s="217" t="s">
        <v>494</v>
      </c>
      <c r="K6" s="218">
        <v>1.7</v>
      </c>
      <c r="L6" s="219">
        <v>6</v>
      </c>
      <c r="M6" s="219">
        <v>6</v>
      </c>
      <c r="N6" s="219">
        <v>1.748</v>
      </c>
      <c r="O6" s="220" t="s">
        <v>495</v>
      </c>
      <c r="P6" s="221" t="s">
        <v>227</v>
      </c>
      <c r="Q6" s="222" t="s">
        <v>236</v>
      </c>
      <c r="R6" s="220" t="s">
        <v>237</v>
      </c>
      <c r="S6" s="220" t="s">
        <v>391</v>
      </c>
      <c r="T6" s="223">
        <v>0.56000000000000005</v>
      </c>
      <c r="U6" s="224">
        <f t="shared" ref="U6:U14" si="0">E6*G6*M6*T6</f>
        <v>3.3600000000000003</v>
      </c>
      <c r="V6" s="225">
        <v>3.3474359599999999</v>
      </c>
      <c r="W6" s="226">
        <f t="shared" ref="W6:W14" si="1">L6*V6</f>
        <v>20.084615759999998</v>
      </c>
      <c r="X6" s="226">
        <f t="shared" ref="X6:X14" si="2">N6*V6</f>
        <v>5.8513180580799995</v>
      </c>
      <c r="Y6" s="226">
        <f t="shared" ref="Y6:Y14" si="3">E6*W6</f>
        <v>20.084615759999998</v>
      </c>
      <c r="AB6" s="141"/>
    </row>
    <row r="7" spans="1:28" x14ac:dyDescent="0.25">
      <c r="A7" s="140" t="str">
        <f t="shared" ref="A7:A40" si="4">R7</f>
        <v>Pareclose 1000 32</v>
      </c>
      <c r="B7" s="140" t="str">
        <f>IFERROR(VLOOKUP(logikal!R7,Profils!$E$3:$G$35,3,FALSE),X)</f>
        <v>P32</v>
      </c>
      <c r="C7" s="140">
        <f t="shared" ref="C7:C41" si="5">IFERROR(D7*E7,0)</f>
        <v>2</v>
      </c>
      <c r="D7" s="136">
        <f t="shared" ref="D7:D41" si="6">COUNT(E7)</f>
        <v>1</v>
      </c>
      <c r="E7" s="215">
        <v>2</v>
      </c>
      <c r="F7" s="216"/>
      <c r="G7" s="216">
        <v>1</v>
      </c>
      <c r="H7" s="216"/>
      <c r="I7" s="215">
        <v>1</v>
      </c>
      <c r="J7" s="217" t="s">
        <v>494</v>
      </c>
      <c r="K7" s="218">
        <v>10.6</v>
      </c>
      <c r="L7" s="219">
        <v>6</v>
      </c>
      <c r="M7" s="219">
        <v>6</v>
      </c>
      <c r="N7" s="219">
        <v>10.608000000000001</v>
      </c>
      <c r="O7" s="220" t="s">
        <v>495</v>
      </c>
      <c r="P7" s="221" t="s">
        <v>228</v>
      </c>
      <c r="Q7" s="222" t="s">
        <v>12</v>
      </c>
      <c r="R7" s="220" t="s">
        <v>440</v>
      </c>
      <c r="S7" s="220" t="s">
        <v>391</v>
      </c>
      <c r="T7" s="223">
        <v>0.51</v>
      </c>
      <c r="U7" s="224">
        <f t="shared" si="0"/>
        <v>6.12</v>
      </c>
      <c r="V7" s="225">
        <v>3.1282939600000002</v>
      </c>
      <c r="W7" s="226">
        <f t="shared" si="1"/>
        <v>18.76976376</v>
      </c>
      <c r="X7" s="226">
        <f t="shared" si="2"/>
        <v>33.184942327680005</v>
      </c>
      <c r="Y7" s="226">
        <f t="shared" si="3"/>
        <v>37.53952752</v>
      </c>
      <c r="AB7" s="141"/>
    </row>
    <row r="8" spans="1:28" x14ac:dyDescent="0.25">
      <c r="A8" s="140" t="str">
        <f t="shared" si="4"/>
        <v>Pareclose 1000 15</v>
      </c>
      <c r="B8" s="140" t="str">
        <f>IFERROR(VLOOKUP(logikal!R8,Profils!$E$3:$G$35,3,FALSE),X)</f>
        <v>P15</v>
      </c>
      <c r="C8" s="140">
        <f t="shared" si="5"/>
        <v>16</v>
      </c>
      <c r="D8" s="136">
        <f t="shared" si="6"/>
        <v>1</v>
      </c>
      <c r="E8" s="215">
        <v>16</v>
      </c>
      <c r="F8" s="216"/>
      <c r="G8" s="216">
        <v>1</v>
      </c>
      <c r="H8" s="216"/>
      <c r="I8" s="215">
        <v>1</v>
      </c>
      <c r="J8" s="217" t="s">
        <v>494</v>
      </c>
      <c r="K8" s="218">
        <v>88.7</v>
      </c>
      <c r="L8" s="219">
        <v>6</v>
      </c>
      <c r="M8" s="219">
        <v>6</v>
      </c>
      <c r="N8" s="219">
        <v>88.677999999999997</v>
      </c>
      <c r="O8" s="220" t="s">
        <v>495</v>
      </c>
      <c r="P8" s="221" t="s">
        <v>208</v>
      </c>
      <c r="Q8" s="222" t="s">
        <v>11</v>
      </c>
      <c r="R8" s="220" t="s">
        <v>441</v>
      </c>
      <c r="S8" s="220" t="s">
        <v>425</v>
      </c>
      <c r="T8" s="223">
        <v>0.37</v>
      </c>
      <c r="U8" s="224">
        <f t="shared" si="0"/>
        <v>35.519999999999996</v>
      </c>
      <c r="V8" s="225">
        <v>1.8107880300000001</v>
      </c>
      <c r="W8" s="226">
        <f t="shared" si="1"/>
        <v>10.86472818</v>
      </c>
      <c r="X8" s="226">
        <f t="shared" si="2"/>
        <v>160.57706092434</v>
      </c>
      <c r="Y8" s="226">
        <f t="shared" si="3"/>
        <v>173.83565088</v>
      </c>
      <c r="AB8" s="141"/>
    </row>
    <row r="9" spans="1:28" x14ac:dyDescent="0.25">
      <c r="A9" s="140" t="str">
        <f t="shared" si="4"/>
        <v>Dormant 3000 18</v>
      </c>
      <c r="B9" s="140">
        <f>IFERROR(VLOOKUP(logikal!R9,Profils!$E$3:$G$35,3,FALSE),X)</f>
        <v>300018</v>
      </c>
      <c r="C9" s="140">
        <f t="shared" si="5"/>
        <v>1</v>
      </c>
      <c r="D9" s="136">
        <f t="shared" si="6"/>
        <v>1</v>
      </c>
      <c r="E9" s="215">
        <v>1</v>
      </c>
      <c r="F9" s="216"/>
      <c r="G9" s="216">
        <v>1</v>
      </c>
      <c r="H9" s="216"/>
      <c r="I9" s="215">
        <v>1</v>
      </c>
      <c r="J9" s="217" t="s">
        <v>496</v>
      </c>
      <c r="K9" s="218">
        <v>6.1</v>
      </c>
      <c r="L9" s="219">
        <v>6.5</v>
      </c>
      <c r="M9" s="219">
        <v>6.5</v>
      </c>
      <c r="N9" s="219">
        <v>6.11</v>
      </c>
      <c r="O9" s="220" t="s">
        <v>495</v>
      </c>
      <c r="P9" s="221" t="s">
        <v>211</v>
      </c>
      <c r="Q9" s="222" t="s">
        <v>497</v>
      </c>
      <c r="R9" s="220" t="s">
        <v>239</v>
      </c>
      <c r="S9" s="220" t="s">
        <v>391</v>
      </c>
      <c r="T9" s="223">
        <v>5.82</v>
      </c>
      <c r="U9" s="224">
        <f t="shared" si="0"/>
        <v>37.83</v>
      </c>
      <c r="V9" s="225">
        <v>17.523441850000001</v>
      </c>
      <c r="W9" s="226">
        <f t="shared" si="1"/>
        <v>113.90237202500001</v>
      </c>
      <c r="X9" s="226">
        <f t="shared" si="2"/>
        <v>107.06822970350001</v>
      </c>
      <c r="Y9" s="226">
        <f t="shared" si="3"/>
        <v>113.90237202500001</v>
      </c>
      <c r="AB9" s="141"/>
    </row>
    <row r="10" spans="1:28" x14ac:dyDescent="0.25">
      <c r="A10" s="140" t="str">
        <f t="shared" si="4"/>
        <v>Ouvrant 3000 21</v>
      </c>
      <c r="B10" s="140">
        <f>IFERROR(VLOOKUP(logikal!R10,Profils!$E$3:$G$35,3,FALSE),X)</f>
        <v>300021</v>
      </c>
      <c r="C10" s="140">
        <f t="shared" si="5"/>
        <v>2</v>
      </c>
      <c r="D10" s="136">
        <f t="shared" si="6"/>
        <v>1</v>
      </c>
      <c r="E10" s="215">
        <v>2</v>
      </c>
      <c r="F10" s="216"/>
      <c r="G10" s="216">
        <v>1</v>
      </c>
      <c r="H10" s="216"/>
      <c r="I10" s="215">
        <v>1</v>
      </c>
      <c r="J10" s="217" t="s">
        <v>496</v>
      </c>
      <c r="K10" s="218">
        <v>9.8000000000000007</v>
      </c>
      <c r="L10" s="219">
        <v>6.5</v>
      </c>
      <c r="M10" s="219">
        <v>6.5</v>
      </c>
      <c r="N10" s="219">
        <v>9.8040000000000003</v>
      </c>
      <c r="O10" s="220" t="s">
        <v>495</v>
      </c>
      <c r="P10" s="221" t="s">
        <v>214</v>
      </c>
      <c r="Q10" s="222" t="s">
        <v>498</v>
      </c>
      <c r="R10" s="220" t="s">
        <v>442</v>
      </c>
      <c r="S10" s="220" t="s">
        <v>391</v>
      </c>
      <c r="T10" s="223">
        <v>7.19</v>
      </c>
      <c r="U10" s="224">
        <f t="shared" si="0"/>
        <v>93.47</v>
      </c>
      <c r="V10" s="225">
        <v>20.92778844</v>
      </c>
      <c r="W10" s="226">
        <f t="shared" si="1"/>
        <v>136.03062485999999</v>
      </c>
      <c r="X10" s="226">
        <f t="shared" si="2"/>
        <v>205.17603786576001</v>
      </c>
      <c r="Y10" s="226">
        <f t="shared" si="3"/>
        <v>272.06124971999998</v>
      </c>
      <c r="AB10" s="141"/>
    </row>
    <row r="11" spans="1:28" x14ac:dyDescent="0.25">
      <c r="A11" s="140" t="str">
        <f t="shared" si="4"/>
        <v>Inverseur avec guide 3000 24</v>
      </c>
      <c r="B11" s="140">
        <f>IFERROR(VLOOKUP(logikal!R11,Profils!$E$3:$G$35,3,FALSE),X)</f>
        <v>300024</v>
      </c>
      <c r="C11" s="140">
        <f t="shared" si="5"/>
        <v>1</v>
      </c>
      <c r="D11" s="136">
        <f t="shared" si="6"/>
        <v>1</v>
      </c>
      <c r="E11" s="215">
        <v>1</v>
      </c>
      <c r="F11" s="216"/>
      <c r="G11" s="216">
        <v>1</v>
      </c>
      <c r="H11" s="216"/>
      <c r="I11" s="215">
        <v>1</v>
      </c>
      <c r="J11" s="217" t="s">
        <v>496</v>
      </c>
      <c r="K11" s="218">
        <v>2.1</v>
      </c>
      <c r="L11" s="219">
        <v>6.5</v>
      </c>
      <c r="M11" s="219">
        <v>6.5</v>
      </c>
      <c r="N11" s="219">
        <v>2.0680000000000001</v>
      </c>
      <c r="O11" s="220" t="s">
        <v>495</v>
      </c>
      <c r="P11" s="221" t="s">
        <v>215</v>
      </c>
      <c r="Q11" s="222" t="s">
        <v>499</v>
      </c>
      <c r="R11" s="220" t="s">
        <v>443</v>
      </c>
      <c r="S11" s="220" t="s">
        <v>391</v>
      </c>
      <c r="T11" s="223">
        <v>6.93</v>
      </c>
      <c r="U11" s="224">
        <f t="shared" si="0"/>
        <v>45.045000000000002</v>
      </c>
      <c r="V11" s="225">
        <v>23.364253179999999</v>
      </c>
      <c r="W11" s="226">
        <f t="shared" si="1"/>
        <v>151.86764567</v>
      </c>
      <c r="X11" s="226">
        <f t="shared" si="2"/>
        <v>48.31727557624</v>
      </c>
      <c r="Y11" s="226">
        <f t="shared" si="3"/>
        <v>151.86764567</v>
      </c>
      <c r="AB11" s="141"/>
    </row>
    <row r="12" spans="1:28" x14ac:dyDescent="0.25">
      <c r="A12" s="140" t="str">
        <f t="shared" si="4"/>
        <v>Guide 1000 37</v>
      </c>
      <c r="B12" s="140" t="e">
        <f>IFERROR(VLOOKUP(logikal!R12,Profils!$E$3:$G$35,3,FALSE),X)</f>
        <v>#NAME?</v>
      </c>
      <c r="C12" s="140">
        <f t="shared" si="5"/>
        <v>1</v>
      </c>
      <c r="D12" s="136">
        <f t="shared" si="6"/>
        <v>1</v>
      </c>
      <c r="E12" s="215">
        <v>1</v>
      </c>
      <c r="F12" s="216"/>
      <c r="G12" s="216">
        <v>1</v>
      </c>
      <c r="H12" s="216"/>
      <c r="I12" s="215">
        <v>1</v>
      </c>
      <c r="J12" s="217" t="s">
        <v>500</v>
      </c>
      <c r="K12" s="218">
        <v>2.1</v>
      </c>
      <c r="L12" s="219">
        <v>5</v>
      </c>
      <c r="M12" s="219">
        <v>5</v>
      </c>
      <c r="N12" s="219">
        <v>2.0680000000000001</v>
      </c>
      <c r="O12" s="220" t="s">
        <v>495</v>
      </c>
      <c r="P12" s="221" t="s">
        <v>501</v>
      </c>
      <c r="Q12" s="222" t="s">
        <v>502</v>
      </c>
      <c r="R12" s="220" t="s">
        <v>503</v>
      </c>
      <c r="S12" s="220" t="s">
        <v>504</v>
      </c>
      <c r="T12" s="223">
        <v>0.53</v>
      </c>
      <c r="U12" s="224">
        <f t="shared" si="0"/>
        <v>2.6500000000000004</v>
      </c>
      <c r="V12" s="225">
        <v>1.22000003</v>
      </c>
      <c r="W12" s="226">
        <f t="shared" si="1"/>
        <v>6.1000001499999996</v>
      </c>
      <c r="X12" s="226">
        <f t="shared" si="2"/>
        <v>2.5229600620400001</v>
      </c>
      <c r="Y12" s="226">
        <f t="shared" si="3"/>
        <v>6.1000001499999996</v>
      </c>
      <c r="AB12" s="141"/>
    </row>
    <row r="13" spans="1:28" x14ac:dyDescent="0.25">
      <c r="A13" s="140" t="str">
        <f t="shared" si="4"/>
        <v>Fixe 4000 19</v>
      </c>
      <c r="B13" s="140">
        <f>IFERROR(VLOOKUP(logikal!R13,Profils!$E$3:$G$35,3,FALSE),X)</f>
        <v>400019</v>
      </c>
      <c r="C13" s="140">
        <f t="shared" si="5"/>
        <v>14</v>
      </c>
      <c r="D13" s="136">
        <f t="shared" si="6"/>
        <v>1</v>
      </c>
      <c r="E13" s="215">
        <v>14</v>
      </c>
      <c r="F13" s="216"/>
      <c r="G13" s="216">
        <v>1</v>
      </c>
      <c r="H13" s="216"/>
      <c r="I13" s="215">
        <v>1</v>
      </c>
      <c r="J13" s="217" t="s">
        <v>496</v>
      </c>
      <c r="K13" s="218">
        <v>87.6</v>
      </c>
      <c r="L13" s="219">
        <v>6.5</v>
      </c>
      <c r="M13" s="219">
        <v>6.5</v>
      </c>
      <c r="N13" s="219">
        <v>87.603999999999999</v>
      </c>
      <c r="O13" s="220" t="s">
        <v>495</v>
      </c>
      <c r="P13" s="221" t="s">
        <v>209</v>
      </c>
      <c r="Q13" s="222" t="s">
        <v>505</v>
      </c>
      <c r="R13" s="220" t="s">
        <v>444</v>
      </c>
      <c r="S13" s="220" t="s">
        <v>425</v>
      </c>
      <c r="T13" s="223">
        <v>0</v>
      </c>
      <c r="U13" s="224">
        <f t="shared" si="0"/>
        <v>0</v>
      </c>
      <c r="V13" s="225">
        <v>17.428173919999999</v>
      </c>
      <c r="W13" s="226">
        <f t="shared" si="1"/>
        <v>113.28313048</v>
      </c>
      <c r="X13" s="226">
        <f t="shared" si="2"/>
        <v>1526.7777480876798</v>
      </c>
      <c r="Y13" s="226">
        <f t="shared" si="3"/>
        <v>1585.96382672</v>
      </c>
      <c r="AB13" s="141"/>
    </row>
    <row r="14" spans="1:28" x14ac:dyDescent="0.25">
      <c r="A14" s="140" t="str">
        <f t="shared" si="4"/>
        <v>Traverse 4000 20</v>
      </c>
      <c r="B14" s="140">
        <f>IFERROR(VLOOKUP(logikal!R14,Profils!$E$3:$G$35,3,FALSE),X)</f>
        <v>400020</v>
      </c>
      <c r="C14" s="140">
        <f t="shared" si="5"/>
        <v>1</v>
      </c>
      <c r="D14" s="136">
        <f t="shared" si="6"/>
        <v>1</v>
      </c>
      <c r="E14" s="215">
        <v>1</v>
      </c>
      <c r="F14" s="216"/>
      <c r="G14" s="216">
        <v>1</v>
      </c>
      <c r="H14" s="216"/>
      <c r="I14" s="215">
        <v>1</v>
      </c>
      <c r="J14" s="217" t="s">
        <v>496</v>
      </c>
      <c r="K14" s="218">
        <v>4.8</v>
      </c>
      <c r="L14" s="219">
        <v>6.5</v>
      </c>
      <c r="M14" s="219">
        <v>6.5</v>
      </c>
      <c r="N14" s="219">
        <v>4.7850000000000001</v>
      </c>
      <c r="O14" s="220" t="s">
        <v>495</v>
      </c>
      <c r="P14" s="221" t="s">
        <v>218</v>
      </c>
      <c r="Q14" s="222" t="s">
        <v>506</v>
      </c>
      <c r="R14" s="220" t="s">
        <v>445</v>
      </c>
      <c r="S14" s="220" t="s">
        <v>425</v>
      </c>
      <c r="T14" s="223">
        <v>0</v>
      </c>
      <c r="U14" s="224">
        <f t="shared" si="0"/>
        <v>0</v>
      </c>
      <c r="V14" s="225">
        <v>19.964955960000001</v>
      </c>
      <c r="W14" s="226">
        <f t="shared" si="1"/>
        <v>129.77221374000001</v>
      </c>
      <c r="X14" s="226">
        <f t="shared" si="2"/>
        <v>95.532314268600004</v>
      </c>
      <c r="Y14" s="226">
        <f t="shared" si="3"/>
        <v>129.77221374000001</v>
      </c>
      <c r="AB14" s="141"/>
    </row>
    <row r="15" spans="1:28" x14ac:dyDescent="0.25">
      <c r="A15" s="140">
        <f t="shared" si="4"/>
        <v>0</v>
      </c>
      <c r="B15" s="140" t="e">
        <f>IFERROR(VLOOKUP(logikal!R15,Profils!$E$3:$G$35,3,FALSE),X)</f>
        <v>#NAME?</v>
      </c>
      <c r="C15" s="140">
        <f t="shared" si="5"/>
        <v>0</v>
      </c>
      <c r="D15" s="136">
        <f t="shared" si="6"/>
        <v>0</v>
      </c>
      <c r="E15" s="227" t="s">
        <v>507</v>
      </c>
      <c r="F15" s="228"/>
      <c r="G15" s="228"/>
      <c r="H15" s="228"/>
      <c r="I15" s="229"/>
      <c r="J15" s="229"/>
      <c r="K15" s="230"/>
      <c r="L15" s="228"/>
      <c r="M15" s="228"/>
      <c r="N15" s="228"/>
      <c r="O15" s="231"/>
      <c r="P15" s="231"/>
      <c r="Q15" s="232"/>
      <c r="R15" s="231"/>
      <c r="S15" s="231"/>
      <c r="T15" s="233"/>
      <c r="U15" s="234">
        <f>SUMIF(D:D,"Profiles",U:U)</f>
        <v>0</v>
      </c>
      <c r="V15" s="235"/>
      <c r="W15" s="231"/>
      <c r="X15" s="236">
        <f>SUMIF(D:D,"Profiles",X:X)</f>
        <v>0</v>
      </c>
      <c r="Y15" s="237">
        <f>SUMIF(D:D,"Profiles",Y:Y)</f>
        <v>0</v>
      </c>
      <c r="AB15" s="141"/>
    </row>
    <row r="16" spans="1:28" x14ac:dyDescent="0.25">
      <c r="A16" s="140">
        <f t="shared" si="4"/>
        <v>0</v>
      </c>
      <c r="B16" s="140" t="e">
        <f>IFERROR(VLOOKUP(logikal!R16,Profils!$E$3:$G$35,3,FALSE),X)</f>
        <v>#NAME?</v>
      </c>
      <c r="C16" s="140">
        <f t="shared" si="5"/>
        <v>0</v>
      </c>
      <c r="D16" s="136">
        <f t="shared" si="6"/>
        <v>0</v>
      </c>
      <c r="E16" s="175"/>
      <c r="F16" s="175"/>
      <c r="G16" s="175"/>
      <c r="H16" s="175"/>
      <c r="I16" s="175"/>
      <c r="J16" s="175"/>
      <c r="K16" s="175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5"/>
      <c r="Y16" s="175"/>
      <c r="AB16" s="141"/>
    </row>
    <row r="17" spans="1:28" x14ac:dyDescent="0.25">
      <c r="A17" s="140">
        <f t="shared" si="4"/>
        <v>0</v>
      </c>
      <c r="B17" s="140" t="e">
        <f>IFERROR(VLOOKUP(logikal!R17,Profils!$E$3:$G$35,3,FALSE),X)</f>
        <v>#NAME?</v>
      </c>
      <c r="C17" s="140">
        <f t="shared" si="5"/>
        <v>0</v>
      </c>
      <c r="D17" s="136">
        <f t="shared" si="6"/>
        <v>0</v>
      </c>
      <c r="E17" s="238" t="s">
        <v>508</v>
      </c>
      <c r="F17" s="239"/>
      <c r="G17" s="239"/>
      <c r="H17" s="239"/>
      <c r="I17" s="238"/>
      <c r="J17" s="238"/>
      <c r="K17" s="238"/>
      <c r="L17" s="239"/>
      <c r="M17" s="239"/>
      <c r="N17" s="239"/>
      <c r="O17" s="175"/>
      <c r="P17" s="175"/>
      <c r="Q17" s="175"/>
      <c r="R17" s="175"/>
      <c r="S17" s="175"/>
      <c r="T17" s="175"/>
      <c r="U17" s="175"/>
      <c r="V17" s="175"/>
      <c r="W17" s="175"/>
      <c r="X17" s="175"/>
      <c r="Y17" s="175"/>
      <c r="AB17" s="141"/>
    </row>
    <row r="18" spans="1:28" x14ac:dyDescent="0.25">
      <c r="A18" s="140" t="str">
        <f t="shared" si="4"/>
        <v>Désignation</v>
      </c>
      <c r="B18" s="140" t="e">
        <f>IFERROR(VLOOKUP(logikal!R18,Profils!$E$3:$G$35,3,FALSE),X)</f>
        <v>#NAME?</v>
      </c>
      <c r="C18" s="140">
        <f t="shared" si="5"/>
        <v>0</v>
      </c>
      <c r="D18" s="136">
        <f t="shared" si="6"/>
        <v>0</v>
      </c>
      <c r="E18" s="210" t="s">
        <v>158</v>
      </c>
      <c r="F18" s="211"/>
      <c r="G18" s="211"/>
      <c r="H18" s="211"/>
      <c r="I18" s="210" t="s">
        <v>483</v>
      </c>
      <c r="J18" s="210"/>
      <c r="K18" s="210" t="s">
        <v>485</v>
      </c>
      <c r="L18" s="211"/>
      <c r="M18" s="211"/>
      <c r="N18" s="211"/>
      <c r="O18" s="212" t="s">
        <v>486</v>
      </c>
      <c r="P18" s="212" t="s">
        <v>487</v>
      </c>
      <c r="Q18" s="213" t="s">
        <v>487</v>
      </c>
      <c r="R18" s="212" t="s">
        <v>159</v>
      </c>
      <c r="S18" s="212" t="s">
        <v>509</v>
      </c>
      <c r="T18" s="214" t="s">
        <v>489</v>
      </c>
      <c r="U18" s="240" t="s">
        <v>489</v>
      </c>
      <c r="V18" s="211" t="s">
        <v>490</v>
      </c>
      <c r="W18" s="210" t="s">
        <v>510</v>
      </c>
      <c r="X18" s="210" t="s">
        <v>492</v>
      </c>
      <c r="Y18" s="210" t="s">
        <v>493</v>
      </c>
      <c r="AB18" s="141"/>
    </row>
    <row r="19" spans="1:28" x14ac:dyDescent="0.25">
      <c r="A19" s="140" t="str">
        <f t="shared" si="4"/>
        <v>Bandeau G-SR/BG 1350-2500</v>
      </c>
      <c r="B19" s="140" t="e">
        <f>IFERROR(VLOOKUP(logikal!R19,Profils!$E$3:$G$35,3,FALSE),X)</f>
        <v>#NAME?</v>
      </c>
      <c r="C19" s="140">
        <f t="shared" si="5"/>
        <v>1</v>
      </c>
      <c r="D19" s="136">
        <f t="shared" si="6"/>
        <v>1</v>
      </c>
      <c r="E19" s="241">
        <v>1</v>
      </c>
      <c r="F19" s="242"/>
      <c r="G19" s="242">
        <v>1</v>
      </c>
      <c r="H19" s="242">
        <v>1</v>
      </c>
      <c r="I19" s="241">
        <v>1</v>
      </c>
      <c r="J19" s="241"/>
      <c r="K19" s="241">
        <v>1</v>
      </c>
      <c r="L19" s="219">
        <v>1</v>
      </c>
      <c r="M19" s="243"/>
      <c r="N19" s="243"/>
      <c r="O19" s="220" t="s">
        <v>511</v>
      </c>
      <c r="P19" s="221" t="s">
        <v>512</v>
      </c>
      <c r="Q19" s="222" t="s">
        <v>513</v>
      </c>
      <c r="R19" s="220" t="s">
        <v>514</v>
      </c>
      <c r="S19" s="220" t="s">
        <v>515</v>
      </c>
      <c r="T19" s="223">
        <v>0</v>
      </c>
      <c r="U19" s="224">
        <f t="shared" ref="U19:U28" si="7">E19*G19*T19</f>
        <v>0</v>
      </c>
      <c r="V19" s="226">
        <v>184.08999634</v>
      </c>
      <c r="W19" s="244">
        <v>184.09</v>
      </c>
      <c r="X19" s="226">
        <f t="shared" ref="X19:X28" si="8">L19*V19</f>
        <v>184.08999634</v>
      </c>
      <c r="Y19" s="226">
        <f t="shared" ref="Y19:Y28" si="9">E19*W19</f>
        <v>184.09</v>
      </c>
      <c r="AB19" s="141"/>
    </row>
    <row r="20" spans="1:28" x14ac:dyDescent="0.25">
      <c r="A20" s="140" t="str">
        <f t="shared" si="4"/>
        <v>Simple béquille + rosace standard</v>
      </c>
      <c r="B20" s="140" t="e">
        <f>IFERROR(VLOOKUP(logikal!R20,Profils!$E$3:$G$35,3,FALSE),X)</f>
        <v>#NAME?</v>
      </c>
      <c r="C20" s="140">
        <f t="shared" si="5"/>
        <v>2</v>
      </c>
      <c r="D20" s="136">
        <f t="shared" si="6"/>
        <v>1</v>
      </c>
      <c r="E20" s="241">
        <v>2</v>
      </c>
      <c r="F20" s="242"/>
      <c r="G20" s="242">
        <v>1</v>
      </c>
      <c r="H20" s="242">
        <v>1</v>
      </c>
      <c r="I20" s="241">
        <v>1</v>
      </c>
      <c r="J20" s="241"/>
      <c r="K20" s="241">
        <v>2</v>
      </c>
      <c r="L20" s="219">
        <v>2</v>
      </c>
      <c r="M20" s="243"/>
      <c r="N20" s="243"/>
      <c r="O20" s="220" t="s">
        <v>511</v>
      </c>
      <c r="P20" s="221" t="s">
        <v>516</v>
      </c>
      <c r="Q20" s="222" t="s">
        <v>517</v>
      </c>
      <c r="R20" s="220" t="s">
        <v>518</v>
      </c>
      <c r="S20" s="220" t="s">
        <v>519</v>
      </c>
      <c r="T20" s="223">
        <v>0</v>
      </c>
      <c r="U20" s="224">
        <f t="shared" si="7"/>
        <v>0</v>
      </c>
      <c r="V20" s="226">
        <v>15.65999985</v>
      </c>
      <c r="W20" s="244">
        <v>15.66</v>
      </c>
      <c r="X20" s="226">
        <f t="shared" si="8"/>
        <v>31.3199997</v>
      </c>
      <c r="Y20" s="226">
        <f t="shared" si="9"/>
        <v>31.32</v>
      </c>
      <c r="AB20" s="141"/>
    </row>
    <row r="21" spans="1:28" x14ac:dyDescent="0.25">
      <c r="A21" s="140" t="str">
        <f t="shared" si="4"/>
        <v>Carré de 9_traversant_85 (B 78400-10-0-1) - 145</v>
      </c>
      <c r="B21" s="140" t="e">
        <f>IFERROR(VLOOKUP(logikal!R21,Profils!$E$3:$G$35,3,FALSE),X)</f>
        <v>#NAME?</v>
      </c>
      <c r="C21" s="140">
        <f t="shared" si="5"/>
        <v>1</v>
      </c>
      <c r="D21" s="136">
        <f t="shared" si="6"/>
        <v>1</v>
      </c>
      <c r="E21" s="241">
        <v>1</v>
      </c>
      <c r="F21" s="242"/>
      <c r="G21" s="242">
        <v>1</v>
      </c>
      <c r="H21" s="242">
        <v>1</v>
      </c>
      <c r="I21" s="241">
        <v>1</v>
      </c>
      <c r="J21" s="241"/>
      <c r="K21" s="241">
        <v>1</v>
      </c>
      <c r="L21" s="219">
        <v>1</v>
      </c>
      <c r="M21" s="243"/>
      <c r="N21" s="243"/>
      <c r="O21" s="220" t="s">
        <v>511</v>
      </c>
      <c r="P21" s="221" t="s">
        <v>520</v>
      </c>
      <c r="Q21" s="222" t="s">
        <v>521</v>
      </c>
      <c r="R21" s="220" t="s">
        <v>522</v>
      </c>
      <c r="S21" s="220" t="s">
        <v>504</v>
      </c>
      <c r="T21" s="223">
        <v>0</v>
      </c>
      <c r="U21" s="224">
        <f t="shared" si="7"/>
        <v>0</v>
      </c>
      <c r="V21" s="226">
        <v>11.18000031</v>
      </c>
      <c r="W21" s="244">
        <v>11.18</v>
      </c>
      <c r="X21" s="226">
        <f t="shared" si="8"/>
        <v>11.18000031</v>
      </c>
      <c r="Y21" s="226">
        <f t="shared" si="9"/>
        <v>11.18</v>
      </c>
      <c r="AB21" s="141"/>
    </row>
    <row r="22" spans="1:28" x14ac:dyDescent="0.25">
      <c r="A22" s="140" t="str">
        <f t="shared" si="4"/>
        <v>Crémone à bascule (B 1899 0202)</v>
      </c>
      <c r="B22" s="140" t="e">
        <f>IFERROR(VLOOKUP(logikal!R22,Profils!$E$3:$G$35,3,FALSE),X)</f>
        <v>#NAME?</v>
      </c>
      <c r="C22" s="140">
        <f t="shared" si="5"/>
        <v>1</v>
      </c>
      <c r="D22" s="136">
        <f t="shared" si="6"/>
        <v>1</v>
      </c>
      <c r="E22" s="241">
        <v>1</v>
      </c>
      <c r="F22" s="242"/>
      <c r="G22" s="242">
        <v>1</v>
      </c>
      <c r="H22" s="242">
        <v>1</v>
      </c>
      <c r="I22" s="241">
        <v>1</v>
      </c>
      <c r="J22" s="241"/>
      <c r="K22" s="241">
        <v>1</v>
      </c>
      <c r="L22" s="219">
        <v>1</v>
      </c>
      <c r="M22" s="243"/>
      <c r="N22" s="243"/>
      <c r="O22" s="220" t="s">
        <v>511</v>
      </c>
      <c r="P22" s="221" t="s">
        <v>523</v>
      </c>
      <c r="Q22" s="222" t="s">
        <v>524</v>
      </c>
      <c r="R22" s="220" t="s">
        <v>525</v>
      </c>
      <c r="S22" s="220" t="s">
        <v>504</v>
      </c>
      <c r="T22" s="223">
        <v>0</v>
      </c>
      <c r="U22" s="224">
        <f t="shared" si="7"/>
        <v>0</v>
      </c>
      <c r="V22" s="226">
        <v>72.569999690000003</v>
      </c>
      <c r="W22" s="244">
        <v>72.569999999999993</v>
      </c>
      <c r="X22" s="226">
        <f t="shared" si="8"/>
        <v>72.569999690000003</v>
      </c>
      <c r="Y22" s="226">
        <f t="shared" si="9"/>
        <v>72.569999999999993</v>
      </c>
      <c r="AB22" s="141"/>
    </row>
    <row r="23" spans="1:28" x14ac:dyDescent="0.25">
      <c r="A23" s="140" t="str">
        <f t="shared" si="4"/>
        <v>Ferme-porte TS 93 G 2-5</v>
      </c>
      <c r="B23" s="140" t="e">
        <f>IFERROR(VLOOKUP(logikal!R23,Profils!$E$3:$G$35,3,FALSE),X)</f>
        <v>#NAME?</v>
      </c>
      <c r="C23" s="140">
        <f t="shared" si="5"/>
        <v>2</v>
      </c>
      <c r="D23" s="136">
        <f t="shared" si="6"/>
        <v>1</v>
      </c>
      <c r="E23" s="241">
        <v>2</v>
      </c>
      <c r="F23" s="242"/>
      <c r="G23" s="242">
        <v>1</v>
      </c>
      <c r="H23" s="242">
        <v>1</v>
      </c>
      <c r="I23" s="241">
        <v>1</v>
      </c>
      <c r="J23" s="241"/>
      <c r="K23" s="241">
        <v>2</v>
      </c>
      <c r="L23" s="219">
        <v>2</v>
      </c>
      <c r="M23" s="243"/>
      <c r="N23" s="243"/>
      <c r="O23" s="220" t="s">
        <v>511</v>
      </c>
      <c r="P23" s="221" t="s">
        <v>526</v>
      </c>
      <c r="Q23" s="222" t="s">
        <v>527</v>
      </c>
      <c r="R23" s="220" t="s">
        <v>528</v>
      </c>
      <c r="S23" s="220" t="s">
        <v>515</v>
      </c>
      <c r="T23" s="223">
        <v>0</v>
      </c>
      <c r="U23" s="224">
        <f t="shared" si="7"/>
        <v>0</v>
      </c>
      <c r="V23" s="226">
        <v>108.41000366</v>
      </c>
      <c r="W23" s="244">
        <v>108.41</v>
      </c>
      <c r="X23" s="226">
        <f t="shared" si="8"/>
        <v>216.82000732</v>
      </c>
      <c r="Y23" s="226">
        <f t="shared" si="9"/>
        <v>216.82</v>
      </c>
      <c r="AB23" s="141"/>
    </row>
    <row r="24" spans="1:28" x14ac:dyDescent="0.25">
      <c r="A24" s="140" t="str">
        <f t="shared" si="4"/>
        <v>Gâche inox (B 9000 0727) - Din G</v>
      </c>
      <c r="B24" s="140" t="e">
        <f>IFERROR(VLOOKUP(logikal!R24,Profils!$E$3:$G$35,3,FALSE),X)</f>
        <v>#NAME?</v>
      </c>
      <c r="C24" s="140">
        <f t="shared" si="5"/>
        <v>1</v>
      </c>
      <c r="D24" s="136">
        <f t="shared" si="6"/>
        <v>1</v>
      </c>
      <c r="E24" s="241">
        <v>1</v>
      </c>
      <c r="F24" s="242"/>
      <c r="G24" s="242">
        <v>1</v>
      </c>
      <c r="H24" s="242">
        <v>1</v>
      </c>
      <c r="I24" s="241">
        <v>1</v>
      </c>
      <c r="J24" s="241"/>
      <c r="K24" s="241">
        <v>1</v>
      </c>
      <c r="L24" s="219">
        <v>1</v>
      </c>
      <c r="M24" s="243"/>
      <c r="N24" s="243"/>
      <c r="O24" s="220" t="s">
        <v>511</v>
      </c>
      <c r="P24" s="221" t="s">
        <v>529</v>
      </c>
      <c r="Q24" s="222" t="s">
        <v>530</v>
      </c>
      <c r="R24" s="220" t="s">
        <v>531</v>
      </c>
      <c r="S24" s="220" t="s">
        <v>519</v>
      </c>
      <c r="T24" s="223">
        <v>0</v>
      </c>
      <c r="U24" s="224">
        <f t="shared" si="7"/>
        <v>0</v>
      </c>
      <c r="V24" s="226">
        <v>10.06999969</v>
      </c>
      <c r="W24" s="244">
        <v>10.07</v>
      </c>
      <c r="X24" s="226">
        <f t="shared" si="8"/>
        <v>10.06999969</v>
      </c>
      <c r="Y24" s="226">
        <f t="shared" si="9"/>
        <v>10.07</v>
      </c>
      <c r="AB24" s="141"/>
    </row>
    <row r="25" spans="1:28" x14ac:dyDescent="0.25">
      <c r="A25" s="140" t="str">
        <f t="shared" si="4"/>
        <v xml:space="preserve">Paumelle Hahn TB4 </v>
      </c>
      <c r="B25" s="140" t="e">
        <f>IFERROR(VLOOKUP(logikal!R25,Profils!$E$3:$G$35,3,FALSE),X)</f>
        <v>#NAME?</v>
      </c>
      <c r="C25" s="140">
        <f t="shared" si="5"/>
        <v>4</v>
      </c>
      <c r="D25" s="136">
        <f t="shared" si="6"/>
        <v>1</v>
      </c>
      <c r="E25" s="241">
        <v>4</v>
      </c>
      <c r="F25" s="242"/>
      <c r="G25" s="242">
        <v>1</v>
      </c>
      <c r="H25" s="242">
        <v>1</v>
      </c>
      <c r="I25" s="241">
        <v>1</v>
      </c>
      <c r="J25" s="241"/>
      <c r="K25" s="241">
        <v>4</v>
      </c>
      <c r="L25" s="219">
        <v>4</v>
      </c>
      <c r="M25" s="243"/>
      <c r="N25" s="243"/>
      <c r="O25" s="220" t="s">
        <v>511</v>
      </c>
      <c r="P25" s="221" t="s">
        <v>532</v>
      </c>
      <c r="Q25" s="222" t="s">
        <v>533</v>
      </c>
      <c r="R25" s="220" t="s">
        <v>446</v>
      </c>
      <c r="S25" s="220" t="s">
        <v>504</v>
      </c>
      <c r="T25" s="223">
        <v>0</v>
      </c>
      <c r="U25" s="224">
        <f t="shared" si="7"/>
        <v>0</v>
      </c>
      <c r="V25" s="226">
        <v>25.649999619999999</v>
      </c>
      <c r="W25" s="244">
        <v>25.65</v>
      </c>
      <c r="X25" s="226">
        <f t="shared" si="8"/>
        <v>102.59999848</v>
      </c>
      <c r="Y25" s="226">
        <f t="shared" si="9"/>
        <v>102.6</v>
      </c>
      <c r="AB25" s="141"/>
    </row>
    <row r="26" spans="1:28" x14ac:dyDescent="0.25">
      <c r="A26" s="140" t="str">
        <f t="shared" si="4"/>
        <v>Rehausse serrure 1 trou 85</v>
      </c>
      <c r="B26" s="140" t="e">
        <f>IFERROR(VLOOKUP(logikal!R26,Profils!$E$3:$G$35,3,FALSE),X)</f>
        <v>#NAME?</v>
      </c>
      <c r="C26" s="140">
        <f t="shared" si="5"/>
        <v>2</v>
      </c>
      <c r="D26" s="136">
        <f t="shared" si="6"/>
        <v>1</v>
      </c>
      <c r="E26" s="241">
        <v>2</v>
      </c>
      <c r="F26" s="242"/>
      <c r="G26" s="242">
        <v>1</v>
      </c>
      <c r="H26" s="242">
        <v>1</v>
      </c>
      <c r="I26" s="241">
        <v>1</v>
      </c>
      <c r="J26" s="241"/>
      <c r="K26" s="241">
        <v>2</v>
      </c>
      <c r="L26" s="219">
        <v>2</v>
      </c>
      <c r="M26" s="243"/>
      <c r="N26" s="243"/>
      <c r="O26" s="220" t="s">
        <v>511</v>
      </c>
      <c r="P26" s="221" t="s">
        <v>534</v>
      </c>
      <c r="Q26" s="222" t="s">
        <v>535</v>
      </c>
      <c r="R26" s="220" t="s">
        <v>536</v>
      </c>
      <c r="S26" s="220" t="s">
        <v>519</v>
      </c>
      <c r="T26" s="223">
        <v>0</v>
      </c>
      <c r="U26" s="224">
        <f t="shared" si="7"/>
        <v>0</v>
      </c>
      <c r="V26" s="226">
        <v>4.44000006</v>
      </c>
      <c r="W26" s="244">
        <v>4.4400000000000004</v>
      </c>
      <c r="X26" s="226">
        <f t="shared" si="8"/>
        <v>8.8800001200000001</v>
      </c>
      <c r="Y26" s="226">
        <f t="shared" si="9"/>
        <v>8.8800000000000008</v>
      </c>
      <c r="AB26" s="141"/>
    </row>
    <row r="27" spans="1:28" x14ac:dyDescent="0.25">
      <c r="A27" s="140" t="str">
        <f t="shared" si="4"/>
        <v>Serrure 2 points 1838</v>
      </c>
      <c r="B27" s="140" t="e">
        <f>IFERROR(VLOOKUP(logikal!R27,Profils!$E$3:$G$35,3,FALSE),X)</f>
        <v>#NAME?</v>
      </c>
      <c r="C27" s="140">
        <f t="shared" si="5"/>
        <v>1</v>
      </c>
      <c r="D27" s="136">
        <f t="shared" si="6"/>
        <v>1</v>
      </c>
      <c r="E27" s="241">
        <v>1</v>
      </c>
      <c r="F27" s="242"/>
      <c r="G27" s="242">
        <v>1</v>
      </c>
      <c r="H27" s="242">
        <v>1</v>
      </c>
      <c r="I27" s="241">
        <v>1</v>
      </c>
      <c r="J27" s="241"/>
      <c r="K27" s="241">
        <v>1</v>
      </c>
      <c r="L27" s="219">
        <v>1</v>
      </c>
      <c r="M27" s="243"/>
      <c r="N27" s="243"/>
      <c r="O27" s="220" t="s">
        <v>511</v>
      </c>
      <c r="P27" s="221" t="s">
        <v>537</v>
      </c>
      <c r="Q27" s="222" t="s">
        <v>538</v>
      </c>
      <c r="R27" s="220" t="s">
        <v>539</v>
      </c>
      <c r="S27" s="220" t="s">
        <v>519</v>
      </c>
      <c r="T27" s="223">
        <v>0</v>
      </c>
      <c r="U27" s="224">
        <f t="shared" si="7"/>
        <v>0</v>
      </c>
      <c r="V27" s="226">
        <v>70.27999878</v>
      </c>
      <c r="W27" s="244">
        <v>70.28</v>
      </c>
      <c r="X27" s="226">
        <f t="shared" si="8"/>
        <v>70.27999878</v>
      </c>
      <c r="Y27" s="226">
        <f t="shared" si="9"/>
        <v>70.28</v>
      </c>
      <c r="AB27" s="141"/>
    </row>
    <row r="28" spans="1:28" x14ac:dyDescent="0.25">
      <c r="A28" s="140" t="str">
        <f t="shared" si="4"/>
        <v>VIS A TOLE 4,8x25 (traverse)</v>
      </c>
      <c r="B28" s="140" t="e">
        <f>IFERROR(VLOOKUP(logikal!R28,Profils!$E$3:$G$35,3,FALSE),X)</f>
        <v>#NAME?</v>
      </c>
      <c r="C28" s="140">
        <f t="shared" si="5"/>
        <v>36</v>
      </c>
      <c r="D28" s="136">
        <f t="shared" si="6"/>
        <v>1</v>
      </c>
      <c r="E28" s="241">
        <v>36</v>
      </c>
      <c r="F28" s="242"/>
      <c r="G28" s="242">
        <v>1</v>
      </c>
      <c r="H28" s="242">
        <v>1</v>
      </c>
      <c r="I28" s="241">
        <v>1</v>
      </c>
      <c r="J28" s="241"/>
      <c r="K28" s="241">
        <v>36</v>
      </c>
      <c r="L28" s="219">
        <v>36</v>
      </c>
      <c r="M28" s="243"/>
      <c r="N28" s="243"/>
      <c r="O28" s="220" t="s">
        <v>511</v>
      </c>
      <c r="P28" s="221" t="s">
        <v>540</v>
      </c>
      <c r="Q28" s="222" t="s">
        <v>541</v>
      </c>
      <c r="R28" s="220" t="s">
        <v>542</v>
      </c>
      <c r="S28" s="220" t="s">
        <v>504</v>
      </c>
      <c r="T28" s="223">
        <v>0</v>
      </c>
      <c r="U28" s="224">
        <f t="shared" si="7"/>
        <v>0</v>
      </c>
      <c r="V28" s="226">
        <v>4.3999999999999997E-2</v>
      </c>
      <c r="W28" s="244">
        <v>0.04</v>
      </c>
      <c r="X28" s="226">
        <f t="shared" si="8"/>
        <v>1.5839999999999999</v>
      </c>
      <c r="Y28" s="226">
        <f t="shared" si="9"/>
        <v>1.44</v>
      </c>
      <c r="AB28" s="141"/>
    </row>
    <row r="29" spans="1:28" x14ac:dyDescent="0.25">
      <c r="A29" s="140">
        <f t="shared" si="4"/>
        <v>0</v>
      </c>
      <c r="B29" s="140" t="e">
        <f>IFERROR(VLOOKUP(logikal!R29,Profils!$E$3:$G$35,3,FALSE),X)</f>
        <v>#NAME?</v>
      </c>
      <c r="C29" s="140">
        <f t="shared" si="5"/>
        <v>0</v>
      </c>
      <c r="D29" s="136">
        <f t="shared" si="6"/>
        <v>0</v>
      </c>
      <c r="AB29" s="141"/>
    </row>
    <row r="30" spans="1:28" x14ac:dyDescent="0.25">
      <c r="A30" s="140">
        <f t="shared" si="4"/>
        <v>0</v>
      </c>
      <c r="B30" s="140" t="e">
        <f>IFERROR(VLOOKUP(logikal!R30,Profils!$E$3:$G$35,3,FALSE),X)</f>
        <v>#NAME?</v>
      </c>
      <c r="C30" s="140">
        <f t="shared" si="5"/>
        <v>0</v>
      </c>
      <c r="D30" s="136">
        <f t="shared" si="6"/>
        <v>0</v>
      </c>
    </row>
    <row r="31" spans="1:28" x14ac:dyDescent="0.25">
      <c r="A31" s="140">
        <f t="shared" si="4"/>
        <v>0</v>
      </c>
      <c r="B31" s="140" t="e">
        <f>IFERROR(VLOOKUP(logikal!R31,Profils!$E$3:$G$35,3,FALSE),X)</f>
        <v>#NAME?</v>
      </c>
      <c r="C31" s="140">
        <f t="shared" si="5"/>
        <v>0</v>
      </c>
      <c r="D31" s="136">
        <f t="shared" si="6"/>
        <v>0</v>
      </c>
    </row>
    <row r="32" spans="1:28" x14ac:dyDescent="0.25">
      <c r="A32" s="140">
        <f t="shared" si="4"/>
        <v>0</v>
      </c>
      <c r="B32" s="140" t="e">
        <f>IFERROR(VLOOKUP(logikal!R32,Profils!$E$3:$G$35,3,FALSE),X)</f>
        <v>#NAME?</v>
      </c>
      <c r="C32" s="140">
        <f t="shared" si="5"/>
        <v>0</v>
      </c>
      <c r="D32" s="136">
        <f t="shared" si="6"/>
        <v>0</v>
      </c>
    </row>
    <row r="33" spans="1:4" x14ac:dyDescent="0.25">
      <c r="A33" s="140">
        <f t="shared" si="4"/>
        <v>0</v>
      </c>
      <c r="B33" s="140" t="e">
        <f>IFERROR(VLOOKUP(logikal!R33,Profils!$E$3:$G$35,3,FALSE),X)</f>
        <v>#NAME?</v>
      </c>
      <c r="C33" s="140">
        <f t="shared" si="5"/>
        <v>0</v>
      </c>
      <c r="D33" s="136">
        <f t="shared" si="6"/>
        <v>0</v>
      </c>
    </row>
    <row r="34" spans="1:4" x14ac:dyDescent="0.25">
      <c r="A34" s="140">
        <f t="shared" si="4"/>
        <v>0</v>
      </c>
      <c r="B34" s="140" t="e">
        <f>IFERROR(VLOOKUP(logikal!R34,Profils!$E$3:$G$35,3,FALSE),X)</f>
        <v>#NAME?</v>
      </c>
      <c r="C34" s="140">
        <f t="shared" si="5"/>
        <v>0</v>
      </c>
      <c r="D34" s="136">
        <f t="shared" si="6"/>
        <v>0</v>
      </c>
    </row>
    <row r="35" spans="1:4" x14ac:dyDescent="0.25">
      <c r="A35" s="140">
        <f t="shared" si="4"/>
        <v>0</v>
      </c>
      <c r="B35" s="140" t="e">
        <f>IFERROR(VLOOKUP(logikal!R35,Profils!$E$3:$G$35,3,FALSE),X)</f>
        <v>#NAME?</v>
      </c>
      <c r="C35" s="140">
        <f t="shared" si="5"/>
        <v>0</v>
      </c>
      <c r="D35" s="136">
        <f t="shared" si="6"/>
        <v>0</v>
      </c>
    </row>
    <row r="36" spans="1:4" x14ac:dyDescent="0.25">
      <c r="A36" s="140">
        <f t="shared" si="4"/>
        <v>0</v>
      </c>
      <c r="B36" s="140" t="e">
        <f>IFERROR(VLOOKUP(logikal!R36,Profils!$E$3:$G$35,3,FALSE),X)</f>
        <v>#NAME?</v>
      </c>
      <c r="C36" s="140">
        <f t="shared" si="5"/>
        <v>0</v>
      </c>
      <c r="D36" s="136">
        <f t="shared" si="6"/>
        <v>0</v>
      </c>
    </row>
    <row r="37" spans="1:4" x14ac:dyDescent="0.25">
      <c r="A37" s="140">
        <f t="shared" si="4"/>
        <v>0</v>
      </c>
      <c r="B37" s="140" t="e">
        <f>IFERROR(VLOOKUP(logikal!R37,Profils!$E$3:$G$35,3,FALSE),X)</f>
        <v>#NAME?</v>
      </c>
      <c r="C37" s="140">
        <f t="shared" si="5"/>
        <v>0</v>
      </c>
      <c r="D37" s="136">
        <f t="shared" si="6"/>
        <v>0</v>
      </c>
    </row>
    <row r="38" spans="1:4" x14ac:dyDescent="0.25">
      <c r="A38" s="140">
        <f t="shared" si="4"/>
        <v>0</v>
      </c>
      <c r="B38" s="140" t="e">
        <f>IFERROR(VLOOKUP(logikal!R38,Profils!$E$3:$G$35,3,FALSE),X)</f>
        <v>#NAME?</v>
      </c>
      <c r="C38" s="140">
        <f t="shared" si="5"/>
        <v>0</v>
      </c>
      <c r="D38" s="136">
        <f t="shared" si="6"/>
        <v>0</v>
      </c>
    </row>
    <row r="39" spans="1:4" x14ac:dyDescent="0.25">
      <c r="A39" s="140">
        <f t="shared" si="4"/>
        <v>0</v>
      </c>
      <c r="B39" s="140" t="e">
        <f>IFERROR(VLOOKUP(logikal!R39,Profils!$E$3:$G$35,3,FALSE),X)</f>
        <v>#NAME?</v>
      </c>
      <c r="C39" s="140">
        <f t="shared" si="5"/>
        <v>0</v>
      </c>
      <c r="D39" s="136">
        <f t="shared" si="6"/>
        <v>0</v>
      </c>
    </row>
    <row r="40" spans="1:4" x14ac:dyDescent="0.25">
      <c r="A40" s="140">
        <f t="shared" si="4"/>
        <v>0</v>
      </c>
      <c r="B40" s="140" t="e">
        <f>IFERROR(VLOOKUP(logikal!R40,Profils!$E$3:$G$35,3,FALSE),X)</f>
        <v>#NAME?</v>
      </c>
      <c r="C40" s="140">
        <f t="shared" si="5"/>
        <v>0</v>
      </c>
      <c r="D40" s="136">
        <f t="shared" si="6"/>
        <v>0</v>
      </c>
    </row>
    <row r="41" spans="1:4" x14ac:dyDescent="0.25">
      <c r="B41" s="140" t="e">
        <f>IFERROR(VLOOKUP(logikal!R41,Profils!$E$3:$G$35,3,FALSE),X)</f>
        <v>#NAME?</v>
      </c>
      <c r="C41" s="140">
        <f t="shared" si="5"/>
        <v>0</v>
      </c>
      <c r="D41" s="136">
        <f t="shared" si="6"/>
        <v>0</v>
      </c>
    </row>
    <row r="195" spans="2:2" x14ac:dyDescent="0.25">
      <c r="B195" s="141"/>
    </row>
    <row r="196" spans="2:2" x14ac:dyDescent="0.25">
      <c r="B196" s="141"/>
    </row>
  </sheetData>
  <sheetProtection selectLockedCell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BC</vt:lpstr>
      <vt:lpstr>feuille1</vt:lpstr>
      <vt:lpstr>Profils</vt:lpstr>
      <vt:lpstr>Tarif ALBEA</vt:lpstr>
      <vt:lpstr>Liste déroulante</vt:lpstr>
      <vt:lpstr>Groupe de couleur</vt:lpstr>
      <vt:lpstr>logikal</vt:lpstr>
      <vt:lpstr>BC!Zone_d_impression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MULLER</dc:creator>
  <cp:lastModifiedBy>Lucas MICHEL</cp:lastModifiedBy>
  <cp:lastPrinted>2019-06-19T14:38:36Z</cp:lastPrinted>
  <dcterms:created xsi:type="dcterms:W3CDTF">2019-06-05T13:09:32Z</dcterms:created>
  <dcterms:modified xsi:type="dcterms:W3CDTF">2019-06-20T14:28:46Z</dcterms:modified>
</cp:coreProperties>
</file>