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02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illesdeclapiers/Desktop/EDHEC/"/>
    </mc:Choice>
  </mc:AlternateContent>
  <bookViews>
    <workbookView xWindow="0" yWindow="460" windowWidth="28800" windowHeight="15840" activeTab="5"/>
  </bookViews>
  <sheets>
    <sheet name="a" sheetId="1" r:id="rId1"/>
    <sheet name="s&amp;p" sheetId="3" r:id="rId2"/>
    <sheet name="1" sheetId="2" r:id="rId3"/>
    <sheet name="2" sheetId="4" r:id="rId4"/>
    <sheet name="3" sheetId="5" r:id="rId5"/>
    <sheet name="4" sheetId="6" r:id="rId6"/>
  </sheets>
  <calcPr calcId="17102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85" i="3" l="1"/>
  <c r="G68" i="2" l="1"/>
  <c r="H75" i="2"/>
  <c r="J23" i="1"/>
  <c r="J24" i="1"/>
  <c r="J25" i="1"/>
  <c r="J26" i="1"/>
  <c r="D126" i="3"/>
  <c r="D127" i="3" l="1"/>
  <c r="B127" i="3"/>
  <c r="B126" i="3"/>
  <c r="C11" i="2" l="1"/>
  <c r="L13" i="2"/>
  <c r="C11" i="6"/>
  <c r="L13" i="6"/>
  <c r="C11" i="4"/>
  <c r="L13" i="4"/>
  <c r="C13" i="5"/>
  <c r="M13" i="4" l="1"/>
  <c r="B111" i="3" l="1"/>
  <c r="D111" i="3"/>
  <c r="D110" i="3"/>
  <c r="B110" i="3"/>
  <c r="F33" i="2" l="1"/>
  <c r="F17" i="3"/>
  <c r="G17" i="3" s="1"/>
  <c r="H17" i="3" s="1"/>
  <c r="I17" i="3" s="1"/>
  <c r="J17" i="3" s="1"/>
  <c r="K17" i="3" s="1"/>
  <c r="L17" i="3" s="1"/>
  <c r="M17" i="3" s="1"/>
  <c r="N17" i="3" s="1"/>
  <c r="O17" i="3" s="1"/>
  <c r="P17" i="3" s="1"/>
  <c r="E34" i="2" l="1"/>
  <c r="F34" i="2"/>
  <c r="L14" i="5"/>
  <c r="L14" i="6"/>
  <c r="L14" i="4"/>
  <c r="H15" i="2"/>
  <c r="L14" i="2"/>
  <c r="C13" i="4" l="1"/>
  <c r="C13" i="6" l="1"/>
  <c r="F76" i="2" l="1"/>
  <c r="F74" i="2"/>
  <c r="O12" i="1"/>
  <c r="G16" i="4"/>
  <c r="H16" i="4" s="1"/>
  <c r="L17" i="2" l="1"/>
  <c r="O13" i="1"/>
  <c r="C28" i="6"/>
  <c r="C28" i="5"/>
  <c r="C28" i="4"/>
  <c r="D5" i="3"/>
  <c r="I22" i="3" l="1"/>
  <c r="M22" i="3"/>
  <c r="H22" i="3"/>
  <c r="P22" i="3"/>
  <c r="J22" i="3"/>
  <c r="N22" i="3"/>
  <c r="G22" i="3"/>
  <c r="K22" i="3"/>
  <c r="O22" i="3"/>
  <c r="L22" i="3"/>
  <c r="M5" i="3"/>
  <c r="L5" i="3"/>
  <c r="M6" i="3"/>
  <c r="L6" i="3"/>
  <c r="M7" i="3"/>
  <c r="L7" i="3"/>
  <c r="D7" i="3"/>
  <c r="D6" i="3"/>
  <c r="M4" i="3"/>
  <c r="L4" i="3"/>
  <c r="E7" i="3"/>
  <c r="E6" i="3"/>
  <c r="E5" i="3"/>
  <c r="C28" i="2"/>
  <c r="E4" i="3" s="1"/>
  <c r="H23" i="3" l="1"/>
  <c r="L23" i="3"/>
  <c r="P23" i="3"/>
  <c r="O23" i="3"/>
  <c r="I23" i="3"/>
  <c r="M23" i="3"/>
  <c r="F23" i="3"/>
  <c r="J23" i="3"/>
  <c r="N23" i="3"/>
  <c r="K23" i="3"/>
  <c r="G24" i="3"/>
  <c r="K24" i="3"/>
  <c r="O24" i="3"/>
  <c r="N24" i="3"/>
  <c r="L24" i="3"/>
  <c r="P24" i="3"/>
  <c r="I24" i="3"/>
  <c r="M24" i="3"/>
  <c r="F24" i="3"/>
  <c r="J24" i="3"/>
  <c r="L40" i="3"/>
  <c r="E9" i="3"/>
  <c r="L33" i="3"/>
  <c r="N34" i="3"/>
  <c r="P27" i="3"/>
  <c r="M39" i="3"/>
  <c r="O40" i="3"/>
  <c r="M33" i="3"/>
  <c r="O34" i="3"/>
  <c r="O27" i="3"/>
  <c r="N39" i="3"/>
  <c r="P40" i="3"/>
  <c r="P33" i="3"/>
  <c r="N28" i="3"/>
  <c r="L27" i="3"/>
  <c r="F40" i="3"/>
  <c r="P29" i="3"/>
  <c r="F34" i="3"/>
  <c r="M28" i="3"/>
  <c r="K27" i="3"/>
  <c r="O42" i="3"/>
  <c r="P30" i="3"/>
  <c r="P42" i="3"/>
  <c r="M81" i="3"/>
  <c r="M75" i="3"/>
  <c r="N69" i="3"/>
  <c r="N63" i="3"/>
  <c r="O57" i="3"/>
  <c r="K57" i="3"/>
  <c r="M51" i="3"/>
  <c r="N45" i="3"/>
  <c r="P81" i="3"/>
  <c r="L81" i="3"/>
  <c r="P75" i="3"/>
  <c r="L75" i="3"/>
  <c r="M69" i="3"/>
  <c r="M63" i="3"/>
  <c r="N57" i="3"/>
  <c r="P51" i="3"/>
  <c r="L51" i="3"/>
  <c r="M45" i="3"/>
  <c r="O81" i="3"/>
  <c r="K81" i="3"/>
  <c r="O75" i="3"/>
  <c r="K75" i="3"/>
  <c r="P69" i="3"/>
  <c r="L69" i="3"/>
  <c r="P63" i="3"/>
  <c r="L63" i="3"/>
  <c r="M57" i="3"/>
  <c r="O51" i="3"/>
  <c r="K51" i="3"/>
  <c r="P45" i="3"/>
  <c r="L45" i="3"/>
  <c r="N81" i="3"/>
  <c r="N75" i="3"/>
  <c r="F75" i="3"/>
  <c r="O69" i="3"/>
  <c r="K69" i="3"/>
  <c r="O63" i="3"/>
  <c r="K63" i="3"/>
  <c r="P57" i="3"/>
  <c r="L57" i="3"/>
  <c r="N51" i="3"/>
  <c r="O45" i="3"/>
  <c r="K45" i="3"/>
  <c r="N82" i="3"/>
  <c r="N76" i="3"/>
  <c r="F76" i="3"/>
  <c r="O70" i="3"/>
  <c r="O64" i="3"/>
  <c r="P58" i="3"/>
  <c r="L58" i="3"/>
  <c r="N52" i="3"/>
  <c r="F52" i="3"/>
  <c r="O46" i="3"/>
  <c r="M82" i="3"/>
  <c r="M76" i="3"/>
  <c r="N70" i="3"/>
  <c r="F70" i="3"/>
  <c r="N64" i="3"/>
  <c r="F64" i="3"/>
  <c r="O58" i="3"/>
  <c r="M52" i="3"/>
  <c r="N46" i="3"/>
  <c r="F46" i="3"/>
  <c r="P82" i="3"/>
  <c r="L82" i="3"/>
  <c r="P76" i="3"/>
  <c r="L76" i="3"/>
  <c r="M70" i="3"/>
  <c r="M64" i="3"/>
  <c r="N58" i="3"/>
  <c r="F58" i="3"/>
  <c r="P52" i="3"/>
  <c r="L52" i="3"/>
  <c r="M46" i="3"/>
  <c r="O82" i="3"/>
  <c r="O76" i="3"/>
  <c r="G76" i="3"/>
  <c r="P70" i="3"/>
  <c r="L70" i="3"/>
  <c r="P64" i="3"/>
  <c r="L64" i="3"/>
  <c r="M58" i="3"/>
  <c r="O52" i="3"/>
  <c r="P46" i="3"/>
  <c r="L46" i="3"/>
  <c r="N33" i="3"/>
  <c r="L34" i="3"/>
  <c r="P34" i="3"/>
  <c r="O36" i="3"/>
  <c r="O30" i="3"/>
  <c r="P28" i="3"/>
  <c r="L28" i="3"/>
  <c r="N27" i="3"/>
  <c r="K39" i="3"/>
  <c r="O39" i="3"/>
  <c r="M40" i="3"/>
  <c r="N29" i="3"/>
  <c r="O84" i="3"/>
  <c r="O78" i="3"/>
  <c r="H72" i="3"/>
  <c r="P66" i="3"/>
  <c r="H66" i="3"/>
  <c r="N60" i="3"/>
  <c r="O54" i="3"/>
  <c r="P48" i="3"/>
  <c r="H48" i="3"/>
  <c r="H42" i="3"/>
  <c r="N84" i="3"/>
  <c r="N78" i="3"/>
  <c r="P72" i="3"/>
  <c r="O66" i="3"/>
  <c r="H60" i="3"/>
  <c r="N54" i="3"/>
  <c r="O48" i="3"/>
  <c r="I78" i="3"/>
  <c r="O72" i="3"/>
  <c r="N66" i="3"/>
  <c r="P60" i="3"/>
  <c r="N48" i="3"/>
  <c r="P84" i="3"/>
  <c r="P78" i="3"/>
  <c r="H78" i="3"/>
  <c r="N72" i="3"/>
  <c r="O60" i="3"/>
  <c r="P54" i="3"/>
  <c r="H54" i="3"/>
  <c r="P83" i="3"/>
  <c r="P77" i="3"/>
  <c r="H77" i="3"/>
  <c r="M71" i="3"/>
  <c r="M65" i="3"/>
  <c r="N59" i="3"/>
  <c r="P53" i="3"/>
  <c r="M47" i="3"/>
  <c r="N41" i="3"/>
  <c r="O35" i="3"/>
  <c r="O83" i="3"/>
  <c r="O77" i="3"/>
  <c r="G77" i="3"/>
  <c r="P71" i="3"/>
  <c r="P65" i="3"/>
  <c r="M59" i="3"/>
  <c r="O53" i="3"/>
  <c r="G53" i="3"/>
  <c r="P47" i="3"/>
  <c r="O41" i="3"/>
  <c r="P35" i="3"/>
  <c r="N83" i="3"/>
  <c r="N77" i="3"/>
  <c r="O71" i="3"/>
  <c r="G71" i="3"/>
  <c r="O65" i="3"/>
  <c r="G65" i="3"/>
  <c r="P59" i="3"/>
  <c r="N53" i="3"/>
  <c r="O47" i="3"/>
  <c r="G47" i="3"/>
  <c r="P41" i="3"/>
  <c r="M35" i="3"/>
  <c r="G35" i="3"/>
  <c r="M83" i="3"/>
  <c r="M77" i="3"/>
  <c r="N71" i="3"/>
  <c r="N65" i="3"/>
  <c r="O59" i="3"/>
  <c r="G59" i="3"/>
  <c r="M53" i="3"/>
  <c r="N47" i="3"/>
  <c r="M41" i="3"/>
  <c r="G41" i="3"/>
  <c r="N35" i="3"/>
  <c r="N36" i="3"/>
  <c r="H30" i="3"/>
  <c r="O29" i="3"/>
  <c r="K33" i="3"/>
  <c r="O33" i="3"/>
  <c r="M34" i="3"/>
  <c r="H36" i="3"/>
  <c r="P36" i="3"/>
  <c r="N30" i="3"/>
  <c r="O28" i="3"/>
  <c r="F28" i="3"/>
  <c r="M27" i="3"/>
  <c r="L39" i="3"/>
  <c r="P39" i="3"/>
  <c r="N40" i="3"/>
  <c r="N42" i="3"/>
  <c r="G29" i="3"/>
  <c r="M29" i="3"/>
  <c r="F76" i="6"/>
  <c r="F74" i="6"/>
  <c r="P73" i="6"/>
  <c r="P74" i="6" s="1"/>
  <c r="O73" i="6"/>
  <c r="O74" i="6" s="1"/>
  <c r="N73" i="6"/>
  <c r="N76" i="6" s="1"/>
  <c r="M73" i="6"/>
  <c r="L73" i="6"/>
  <c r="L74" i="6" s="1"/>
  <c r="K73" i="6"/>
  <c r="K74" i="6" s="1"/>
  <c r="G73" i="6"/>
  <c r="G74" i="6" s="1"/>
  <c r="Q65" i="6"/>
  <c r="AA51" i="6"/>
  <c r="F45" i="6"/>
  <c r="F33" i="6"/>
  <c r="C1" i="6" s="1"/>
  <c r="AM23" i="6"/>
  <c r="AL23" i="6"/>
  <c r="AK23" i="6"/>
  <c r="AJ23" i="6"/>
  <c r="AI23" i="6"/>
  <c r="AH23" i="6"/>
  <c r="L17" i="6"/>
  <c r="G16" i="6"/>
  <c r="L15" i="6"/>
  <c r="H15" i="6"/>
  <c r="O15" i="1" s="1"/>
  <c r="AM10" i="6"/>
  <c r="AL10" i="6"/>
  <c r="AK10" i="6"/>
  <c r="AJ10" i="6"/>
  <c r="AI10" i="6"/>
  <c r="AH10" i="6"/>
  <c r="J78" i="3" l="1"/>
  <c r="O31" i="3"/>
  <c r="P31" i="3"/>
  <c r="O25" i="3"/>
  <c r="F73" i="3"/>
  <c r="P43" i="3"/>
  <c r="P73" i="3"/>
  <c r="N31" i="3"/>
  <c r="N55" i="3"/>
  <c r="N37" i="3"/>
  <c r="P25" i="3"/>
  <c r="N25" i="3"/>
  <c r="P55" i="3"/>
  <c r="P37" i="3"/>
  <c r="O61" i="3"/>
  <c r="O37" i="3"/>
  <c r="N79" i="3"/>
  <c r="O79" i="3"/>
  <c r="N67" i="3"/>
  <c r="N61" i="3"/>
  <c r="N49" i="3"/>
  <c r="N73" i="3"/>
  <c r="O73" i="3"/>
  <c r="P49" i="3"/>
  <c r="N43" i="3"/>
  <c r="P61" i="3"/>
  <c r="O43" i="3"/>
  <c r="O67" i="3"/>
  <c r="O49" i="3"/>
  <c r="P67" i="3"/>
  <c r="P79" i="3"/>
  <c r="O55" i="3"/>
  <c r="F75" i="6"/>
  <c r="J7" i="3"/>
  <c r="AH31" i="6"/>
  <c r="K63" i="6" s="1"/>
  <c r="AL31" i="6"/>
  <c r="O63" i="6" s="1"/>
  <c r="AK31" i="6"/>
  <c r="N63" i="6" s="1"/>
  <c r="AB4" i="6"/>
  <c r="AC8" i="6" s="1"/>
  <c r="L16" i="6"/>
  <c r="L25" i="6" s="1"/>
  <c r="AI31" i="6"/>
  <c r="L63" i="6" s="1"/>
  <c r="AM31" i="6"/>
  <c r="P63" i="6" s="1"/>
  <c r="F34" i="6"/>
  <c r="F57" i="6" s="1"/>
  <c r="C2" i="6"/>
  <c r="H16" i="6"/>
  <c r="AB20" i="6" s="1"/>
  <c r="AJ31" i="6"/>
  <c r="M63" i="6" s="1"/>
  <c r="G33" i="6"/>
  <c r="E34" i="6"/>
  <c r="M74" i="6"/>
  <c r="G76" i="6"/>
  <c r="K76" i="6"/>
  <c r="O76" i="6"/>
  <c r="N74" i="6"/>
  <c r="L76" i="6"/>
  <c r="P76" i="6"/>
  <c r="M76" i="6"/>
  <c r="L17" i="5"/>
  <c r="I26" i="1"/>
  <c r="I25" i="1"/>
  <c r="I24" i="1"/>
  <c r="I23" i="1"/>
  <c r="F76" i="5"/>
  <c r="F74" i="5"/>
  <c r="P73" i="5"/>
  <c r="P74" i="5" s="1"/>
  <c r="O73" i="5"/>
  <c r="O74" i="5" s="1"/>
  <c r="N73" i="5"/>
  <c r="N76" i="5" s="1"/>
  <c r="M73" i="5"/>
  <c r="M74" i="5" s="1"/>
  <c r="L73" i="5"/>
  <c r="L74" i="5" s="1"/>
  <c r="K73" i="5"/>
  <c r="K74" i="5" s="1"/>
  <c r="H73" i="5"/>
  <c r="G73" i="5"/>
  <c r="Q65" i="5"/>
  <c r="AA51" i="5"/>
  <c r="F45" i="5"/>
  <c r="F33" i="5"/>
  <c r="F34" i="5" s="1"/>
  <c r="AM23" i="5"/>
  <c r="AL23" i="5"/>
  <c r="AK23" i="5"/>
  <c r="AJ23" i="5"/>
  <c r="AI23" i="5"/>
  <c r="AH23" i="5"/>
  <c r="G16" i="5"/>
  <c r="L15" i="5"/>
  <c r="H15" i="5"/>
  <c r="J6" i="3"/>
  <c r="AM10" i="5"/>
  <c r="AL10" i="5"/>
  <c r="AK10" i="5"/>
  <c r="AJ10" i="5"/>
  <c r="AI10" i="5"/>
  <c r="AH10" i="5"/>
  <c r="F45" i="2"/>
  <c r="F45" i="4"/>
  <c r="F75" i="4"/>
  <c r="F76" i="4"/>
  <c r="F74" i="4"/>
  <c r="P73" i="4"/>
  <c r="P74" i="4" s="1"/>
  <c r="O73" i="4"/>
  <c r="O74" i="4" s="1"/>
  <c r="N73" i="4"/>
  <c r="N76" i="4" s="1"/>
  <c r="M73" i="4"/>
  <c r="M74" i="4" s="1"/>
  <c r="L73" i="4"/>
  <c r="L74" i="4" s="1"/>
  <c r="K73" i="4"/>
  <c r="K74" i="4" s="1"/>
  <c r="H73" i="4"/>
  <c r="G73" i="4"/>
  <c r="H76" i="3" s="1"/>
  <c r="Q65" i="4"/>
  <c r="AA51" i="4"/>
  <c r="F33" i="4"/>
  <c r="AM23" i="4"/>
  <c r="AL23" i="4"/>
  <c r="AK23" i="4"/>
  <c r="AJ23" i="4"/>
  <c r="AI23" i="4"/>
  <c r="AH23" i="4"/>
  <c r="L15" i="4"/>
  <c r="H15" i="4"/>
  <c r="F34" i="4" l="1"/>
  <c r="AK31" i="5"/>
  <c r="N63" i="5" s="1"/>
  <c r="O16" i="1"/>
  <c r="L16" i="5"/>
  <c r="L25" i="5" s="1"/>
  <c r="O14" i="1"/>
  <c r="L16" i="4"/>
  <c r="J5" i="3"/>
  <c r="F58" i="6"/>
  <c r="I48" i="3" s="1"/>
  <c r="I42" i="3"/>
  <c r="G74" i="5"/>
  <c r="I77" i="3"/>
  <c r="H74" i="5"/>
  <c r="J77" i="3"/>
  <c r="G33" i="4"/>
  <c r="C1" i="4"/>
  <c r="F57" i="4" s="1"/>
  <c r="H74" i="4"/>
  <c r="I76" i="3"/>
  <c r="AJ31" i="5"/>
  <c r="M63" i="5" s="1"/>
  <c r="G74" i="4"/>
  <c r="F68" i="6"/>
  <c r="AC9" i="6"/>
  <c r="AC10" i="6"/>
  <c r="F38" i="6"/>
  <c r="H33" i="6"/>
  <c r="G34" i="6"/>
  <c r="G38" i="6" s="1"/>
  <c r="C3" i="6"/>
  <c r="F39" i="6"/>
  <c r="F51" i="6"/>
  <c r="F62" i="6"/>
  <c r="AC21" i="6"/>
  <c r="AL31" i="5"/>
  <c r="O63" i="5" s="1"/>
  <c r="AH31" i="5"/>
  <c r="K63" i="5" s="1"/>
  <c r="AB4" i="5"/>
  <c r="AC8" i="5" s="1"/>
  <c r="AC9" i="5" s="1"/>
  <c r="L17" i="4"/>
  <c r="K76" i="5"/>
  <c r="C1" i="5"/>
  <c r="C2" i="5" s="1"/>
  <c r="F42" i="5" s="1"/>
  <c r="G76" i="5"/>
  <c r="O76" i="5"/>
  <c r="F75" i="5"/>
  <c r="H16" i="5"/>
  <c r="AB20" i="5" s="1"/>
  <c r="AI31" i="5"/>
  <c r="L63" i="5" s="1"/>
  <c r="E34" i="5"/>
  <c r="G33" i="5"/>
  <c r="AM31" i="5"/>
  <c r="P63" i="5" s="1"/>
  <c r="M76" i="5"/>
  <c r="N74" i="5"/>
  <c r="H76" i="5"/>
  <c r="L76" i="5"/>
  <c r="P76" i="5"/>
  <c r="AB4" i="4"/>
  <c r="AC8" i="4" s="1"/>
  <c r="AC10" i="4" s="1"/>
  <c r="K76" i="4"/>
  <c r="O76" i="4"/>
  <c r="G76" i="4"/>
  <c r="H33" i="4"/>
  <c r="G34" i="4"/>
  <c r="E34" i="4"/>
  <c r="M76" i="4"/>
  <c r="N74" i="4"/>
  <c r="H76" i="4"/>
  <c r="L76" i="4"/>
  <c r="P76" i="4"/>
  <c r="F36" i="2"/>
  <c r="D4" i="3" s="1"/>
  <c r="AM10" i="2"/>
  <c r="AM23" i="2"/>
  <c r="I21" i="3" l="1"/>
  <c r="M21" i="3"/>
  <c r="M19" i="3" s="1"/>
  <c r="P21" i="3"/>
  <c r="P19" i="3" s="1"/>
  <c r="F21" i="3"/>
  <c r="J21" i="3"/>
  <c r="J19" i="3" s="1"/>
  <c r="N21" i="3"/>
  <c r="L21" i="3"/>
  <c r="L19" i="3" s="1"/>
  <c r="G21" i="3"/>
  <c r="K21" i="3"/>
  <c r="K19" i="3" s="1"/>
  <c r="O21" i="3"/>
  <c r="O19" i="3" s="1"/>
  <c r="H21" i="3"/>
  <c r="AD8" i="6"/>
  <c r="AD9" i="6" s="1"/>
  <c r="AC11" i="6"/>
  <c r="F38" i="4"/>
  <c r="C2" i="4"/>
  <c r="F51" i="4" s="1"/>
  <c r="G57" i="4"/>
  <c r="H40" i="3" s="1"/>
  <c r="L25" i="4"/>
  <c r="N19" i="3"/>
  <c r="AC10" i="5"/>
  <c r="AD8" i="5" s="1"/>
  <c r="AD9" i="5" s="1"/>
  <c r="AC9" i="4"/>
  <c r="AC11" i="4" s="1"/>
  <c r="AB20" i="4"/>
  <c r="AC21" i="4" s="1"/>
  <c r="AC22" i="4" s="1"/>
  <c r="D9" i="3"/>
  <c r="F37" i="6"/>
  <c r="F47" i="6" s="1"/>
  <c r="F41" i="6"/>
  <c r="G40" i="3"/>
  <c r="F58" i="4"/>
  <c r="G46" i="3" s="1"/>
  <c r="G39" i="6"/>
  <c r="G41" i="6" s="1"/>
  <c r="J30" i="3" s="1"/>
  <c r="I33" i="6"/>
  <c r="H34" i="6"/>
  <c r="H57" i="6" s="1"/>
  <c r="AC23" i="6"/>
  <c r="AD21" i="6" s="1"/>
  <c r="AC22" i="6"/>
  <c r="AC30" i="6" s="1"/>
  <c r="G51" i="6"/>
  <c r="G57" i="6"/>
  <c r="G75" i="6"/>
  <c r="C3" i="5"/>
  <c r="F51" i="5"/>
  <c r="F39" i="5"/>
  <c r="F38" i="5"/>
  <c r="F57" i="5"/>
  <c r="F62" i="5"/>
  <c r="AC21" i="5"/>
  <c r="H33" i="5"/>
  <c r="G34" i="5"/>
  <c r="G38" i="5" s="1"/>
  <c r="AD8" i="4"/>
  <c r="AD9" i="4" s="1"/>
  <c r="G38" i="4"/>
  <c r="I33" i="4"/>
  <c r="H34" i="4"/>
  <c r="H38" i="4" s="1"/>
  <c r="F68" i="4"/>
  <c r="AM31" i="2"/>
  <c r="P63" i="2" s="1"/>
  <c r="G33" i="2"/>
  <c r="C1" i="2"/>
  <c r="C2" i="2" s="1"/>
  <c r="F51" i="2" s="1"/>
  <c r="AD10" i="6" l="1"/>
  <c r="AE8" i="6" s="1"/>
  <c r="AC30" i="4"/>
  <c r="F64" i="4" s="1"/>
  <c r="G51" i="5"/>
  <c r="C3" i="4"/>
  <c r="AC23" i="4"/>
  <c r="AC31" i="4" s="1"/>
  <c r="F63" i="4" s="1"/>
  <c r="F62" i="4"/>
  <c r="I30" i="3"/>
  <c r="F42" i="6"/>
  <c r="F43" i="6" s="1"/>
  <c r="G68" i="4"/>
  <c r="F39" i="4"/>
  <c r="F37" i="4" s="1"/>
  <c r="F47" i="4" s="1"/>
  <c r="G42" i="4"/>
  <c r="G39" i="4"/>
  <c r="G41" i="4" s="1"/>
  <c r="H28" i="3" s="1"/>
  <c r="G51" i="4"/>
  <c r="G58" i="4"/>
  <c r="H46" i="3" s="1"/>
  <c r="AC11" i="5"/>
  <c r="AD10" i="5"/>
  <c r="AE8" i="5" s="1"/>
  <c r="AD10" i="4"/>
  <c r="AE8" i="4" s="1"/>
  <c r="AE9" i="4" s="1"/>
  <c r="G37" i="6"/>
  <c r="G47" i="6" s="1"/>
  <c r="F41" i="5"/>
  <c r="H29" i="3" s="1"/>
  <c r="G58" i="6"/>
  <c r="J48" i="3" s="1"/>
  <c r="J42" i="3"/>
  <c r="H58" i="6"/>
  <c r="K48" i="3" s="1"/>
  <c r="K42" i="3"/>
  <c r="F58" i="5"/>
  <c r="H47" i="3" s="1"/>
  <c r="H41" i="3"/>
  <c r="H39" i="4"/>
  <c r="H41" i="4" s="1"/>
  <c r="I28" i="3" s="1"/>
  <c r="F37" i="5"/>
  <c r="F47" i="5" s="1"/>
  <c r="AC31" i="6"/>
  <c r="F63" i="6" s="1"/>
  <c r="H68" i="6"/>
  <c r="H75" i="6" s="1"/>
  <c r="AD22" i="6"/>
  <c r="AD30" i="6" s="1"/>
  <c r="AD23" i="6"/>
  <c r="AE21" i="6" s="1"/>
  <c r="F64" i="6"/>
  <c r="AE10" i="6"/>
  <c r="AE9" i="6"/>
  <c r="G53" i="6"/>
  <c r="F53" i="6"/>
  <c r="F44" i="6"/>
  <c r="G45" i="6" s="1"/>
  <c r="H51" i="6"/>
  <c r="G68" i="6"/>
  <c r="AC24" i="6"/>
  <c r="H38" i="6"/>
  <c r="H39" i="6"/>
  <c r="AD11" i="6"/>
  <c r="I34" i="6"/>
  <c r="I38" i="6" s="1"/>
  <c r="J33" i="6"/>
  <c r="I39" i="6"/>
  <c r="F68" i="5"/>
  <c r="G75" i="5" s="1"/>
  <c r="AC23" i="5"/>
  <c r="AD21" i="5" s="1"/>
  <c r="AC22" i="5"/>
  <c r="AC30" i="5" s="1"/>
  <c r="I33" i="5"/>
  <c r="H34" i="5"/>
  <c r="H38" i="5" s="1"/>
  <c r="H39" i="5"/>
  <c r="G39" i="5"/>
  <c r="G41" i="5" s="1"/>
  <c r="I29" i="3" s="1"/>
  <c r="G57" i="5"/>
  <c r="H51" i="4"/>
  <c r="H57" i="4"/>
  <c r="I39" i="4"/>
  <c r="G75" i="4"/>
  <c r="J33" i="4"/>
  <c r="I34" i="4"/>
  <c r="I38" i="4" s="1"/>
  <c r="G34" i="2"/>
  <c r="G38" i="2" s="1"/>
  <c r="F38" i="2"/>
  <c r="G51" i="2" l="1"/>
  <c r="AD21" i="4"/>
  <c r="AD23" i="4" s="1"/>
  <c r="AC24" i="4"/>
  <c r="F41" i="4"/>
  <c r="G28" i="3" s="1"/>
  <c r="AC32" i="4"/>
  <c r="AD11" i="5"/>
  <c r="AE10" i="4"/>
  <c r="AF8" i="4" s="1"/>
  <c r="G37" i="4"/>
  <c r="G47" i="4" s="1"/>
  <c r="AD11" i="4"/>
  <c r="F53" i="5"/>
  <c r="F44" i="5"/>
  <c r="G45" i="5" s="1"/>
  <c r="F43" i="5"/>
  <c r="G44" i="5" s="1"/>
  <c r="H45" i="5" s="1"/>
  <c r="G43" i="4"/>
  <c r="H44" i="4" s="1"/>
  <c r="I45" i="4" s="1"/>
  <c r="I19" i="3"/>
  <c r="H37" i="4"/>
  <c r="H47" i="4" s="1"/>
  <c r="H41" i="6"/>
  <c r="I41" i="6"/>
  <c r="G58" i="5"/>
  <c r="I47" i="3" s="1"/>
  <c r="I41" i="3"/>
  <c r="H41" i="5"/>
  <c r="I40" i="3"/>
  <c r="H58" i="4"/>
  <c r="I46" i="3" s="1"/>
  <c r="G57" i="2"/>
  <c r="I41" i="4"/>
  <c r="J28" i="3" s="1"/>
  <c r="I37" i="4"/>
  <c r="I47" i="4" s="1"/>
  <c r="AD31" i="6"/>
  <c r="G63" i="6" s="1"/>
  <c r="I37" i="6"/>
  <c r="I47" i="6" s="1"/>
  <c r="H37" i="6"/>
  <c r="H47" i="6" s="1"/>
  <c r="AC32" i="6"/>
  <c r="F66" i="6"/>
  <c r="I60" i="3" s="1"/>
  <c r="G37" i="5"/>
  <c r="G47" i="5" s="1"/>
  <c r="H37" i="5"/>
  <c r="H47" i="5" s="1"/>
  <c r="AE22" i="6"/>
  <c r="AE30" i="6" s="1"/>
  <c r="AE23" i="6"/>
  <c r="AF21" i="6" s="1"/>
  <c r="F46" i="6"/>
  <c r="F49" i="6" s="1"/>
  <c r="G44" i="6"/>
  <c r="AE11" i="6"/>
  <c r="G64" i="6"/>
  <c r="K33" i="6"/>
  <c r="J34" i="6"/>
  <c r="J38" i="6" s="1"/>
  <c r="J39" i="6"/>
  <c r="I57" i="6"/>
  <c r="I51" i="6"/>
  <c r="AF8" i="6"/>
  <c r="AD24" i="6"/>
  <c r="H51" i="5"/>
  <c r="G53" i="5"/>
  <c r="I34" i="5"/>
  <c r="I38" i="5" s="1"/>
  <c r="J33" i="5"/>
  <c r="I39" i="5"/>
  <c r="AC24" i="5"/>
  <c r="AC31" i="5"/>
  <c r="F63" i="5" s="1"/>
  <c r="AE9" i="5"/>
  <c r="AE10" i="5"/>
  <c r="AF8" i="5" s="1"/>
  <c r="AD22" i="5"/>
  <c r="AD30" i="5" s="1"/>
  <c r="AD23" i="5"/>
  <c r="AE21" i="5" s="1"/>
  <c r="G68" i="5"/>
  <c r="H57" i="5"/>
  <c r="F64" i="5"/>
  <c r="I51" i="4"/>
  <c r="I57" i="4"/>
  <c r="H53" i="4"/>
  <c r="J34" i="4"/>
  <c r="J38" i="4" s="1"/>
  <c r="K33" i="4"/>
  <c r="J39" i="4"/>
  <c r="H68" i="4"/>
  <c r="H75" i="4" s="1"/>
  <c r="G53" i="4"/>
  <c r="F66" i="4"/>
  <c r="G58" i="3" s="1"/>
  <c r="AE11" i="4" l="1"/>
  <c r="F44" i="4"/>
  <c r="G45" i="4" s="1"/>
  <c r="F53" i="4"/>
  <c r="F42" i="4"/>
  <c r="F43" i="4" s="1"/>
  <c r="G44" i="4" s="1"/>
  <c r="H45" i="4" s="1"/>
  <c r="AD22" i="4"/>
  <c r="AD30" i="4" s="1"/>
  <c r="G64" i="4" s="1"/>
  <c r="L30" i="3"/>
  <c r="F46" i="5"/>
  <c r="F49" i="5" s="1"/>
  <c r="J29" i="3"/>
  <c r="G42" i="5"/>
  <c r="G43" i="5" s="1"/>
  <c r="H44" i="5" s="1"/>
  <c r="I45" i="5" s="1"/>
  <c r="G39" i="3"/>
  <c r="G37" i="3" s="1"/>
  <c r="K30" i="3"/>
  <c r="G42" i="6"/>
  <c r="G58" i="2"/>
  <c r="G45" i="3" s="1"/>
  <c r="G43" i="3" s="1"/>
  <c r="J41" i="6"/>
  <c r="M30" i="3" s="1"/>
  <c r="M25" i="3" s="1"/>
  <c r="I58" i="6"/>
  <c r="L48" i="3" s="1"/>
  <c r="L42" i="3"/>
  <c r="I37" i="5"/>
  <c r="I47" i="5" s="1"/>
  <c r="I41" i="5"/>
  <c r="K29" i="3" s="1"/>
  <c r="H58" i="5"/>
  <c r="J47" i="3" s="1"/>
  <c r="J41" i="3"/>
  <c r="J40" i="3"/>
  <c r="I58" i="4"/>
  <c r="J46" i="3" s="1"/>
  <c r="AE31" i="6"/>
  <c r="H63" i="6" s="1"/>
  <c r="AD32" i="6"/>
  <c r="G66" i="6"/>
  <c r="J60" i="3" s="1"/>
  <c r="J41" i="4"/>
  <c r="J37" i="4"/>
  <c r="J47" i="4" s="1"/>
  <c r="J37" i="6"/>
  <c r="J47" i="6" s="1"/>
  <c r="H45" i="6"/>
  <c r="AF9" i="6"/>
  <c r="AF10" i="6"/>
  <c r="AG8" i="6" s="1"/>
  <c r="AG10" i="6" s="1"/>
  <c r="J51" i="6"/>
  <c r="AF22" i="6"/>
  <c r="AF23" i="6"/>
  <c r="H53" i="6"/>
  <c r="J57" i="6"/>
  <c r="AE24" i="6"/>
  <c r="J42" i="6"/>
  <c r="H64" i="6"/>
  <c r="I68" i="6"/>
  <c r="L33" i="6"/>
  <c r="K34" i="6"/>
  <c r="K38" i="6" s="1"/>
  <c r="K39" i="6"/>
  <c r="I53" i="6"/>
  <c r="H42" i="6"/>
  <c r="I51" i="5"/>
  <c r="H68" i="5"/>
  <c r="H75" i="5" s="1"/>
  <c r="AE22" i="5"/>
  <c r="AE30" i="5" s="1"/>
  <c r="AE23" i="5"/>
  <c r="F66" i="5"/>
  <c r="AE11" i="5"/>
  <c r="AF9" i="5"/>
  <c r="AF10" i="5"/>
  <c r="AG8" i="5" s="1"/>
  <c r="AC32" i="5"/>
  <c r="H53" i="5"/>
  <c r="AD24" i="5"/>
  <c r="AD31" i="5"/>
  <c r="G63" i="5" s="1"/>
  <c r="G64" i="5"/>
  <c r="K33" i="5"/>
  <c r="J34" i="5"/>
  <c r="J38" i="5" s="1"/>
  <c r="J39" i="5"/>
  <c r="I57" i="5"/>
  <c r="H42" i="4"/>
  <c r="J51" i="4"/>
  <c r="AE21" i="4"/>
  <c r="AD24" i="4"/>
  <c r="AD31" i="4"/>
  <c r="J57" i="4"/>
  <c r="I68" i="4"/>
  <c r="I75" i="4" s="1"/>
  <c r="L33" i="4"/>
  <c r="K34" i="4"/>
  <c r="K38" i="4" s="1"/>
  <c r="K39" i="4"/>
  <c r="AF10" i="4"/>
  <c r="AG8" i="4" s="1"/>
  <c r="AF9" i="4"/>
  <c r="I53" i="4"/>
  <c r="F46" i="4" l="1"/>
  <c r="F49" i="4" s="1"/>
  <c r="G46" i="4"/>
  <c r="G49" i="4" s="1"/>
  <c r="AE32" i="6"/>
  <c r="G46" i="5"/>
  <c r="G49" i="5" s="1"/>
  <c r="G43" i="6"/>
  <c r="G46" i="6" s="1"/>
  <c r="G49" i="6" s="1"/>
  <c r="Q30" i="3"/>
  <c r="J41" i="5"/>
  <c r="L29" i="3" s="1"/>
  <c r="L25" i="3" s="1"/>
  <c r="K41" i="6"/>
  <c r="J58" i="6"/>
  <c r="M48" i="3" s="1"/>
  <c r="M43" i="3" s="1"/>
  <c r="M42" i="3"/>
  <c r="M37" i="3" s="1"/>
  <c r="I58" i="5"/>
  <c r="K47" i="3" s="1"/>
  <c r="K41" i="3"/>
  <c r="K40" i="3"/>
  <c r="Q40" i="3" s="1"/>
  <c r="J58" i="4"/>
  <c r="K46" i="3" s="1"/>
  <c r="H59" i="3"/>
  <c r="H66" i="6"/>
  <c r="K60" i="3" s="1"/>
  <c r="K41" i="4"/>
  <c r="J42" i="4" s="1"/>
  <c r="J43" i="4" s="1"/>
  <c r="K37" i="4"/>
  <c r="K47" i="4" s="1"/>
  <c r="C29" i="4"/>
  <c r="N5" i="3" s="1"/>
  <c r="K28" i="3"/>
  <c r="J68" i="4"/>
  <c r="J75" i="4" s="1"/>
  <c r="I42" i="6"/>
  <c r="C29" i="6"/>
  <c r="N7" i="3" s="1"/>
  <c r="J37" i="5"/>
  <c r="J47" i="5" s="1"/>
  <c r="K37" i="6"/>
  <c r="K47" i="6" s="1"/>
  <c r="AF24" i="6"/>
  <c r="AF30" i="6"/>
  <c r="I64" i="6" s="1"/>
  <c r="I75" i="6"/>
  <c r="M33" i="6"/>
  <c r="L34" i="6"/>
  <c r="L38" i="6" s="1"/>
  <c r="L39" i="6"/>
  <c r="AF11" i="6"/>
  <c r="AF31" i="6"/>
  <c r="I63" i="6" s="1"/>
  <c r="H43" i="6"/>
  <c r="K42" i="6"/>
  <c r="K51" i="6"/>
  <c r="K57" i="6"/>
  <c r="K58" i="6" s="1"/>
  <c r="J68" i="6"/>
  <c r="J43" i="6"/>
  <c r="J53" i="6"/>
  <c r="AG21" i="6"/>
  <c r="AG23" i="6" s="1"/>
  <c r="AG31" i="6" s="1"/>
  <c r="J63" i="6" s="1"/>
  <c r="AG9" i="6"/>
  <c r="AH8" i="6"/>
  <c r="AD32" i="5"/>
  <c r="AE24" i="5"/>
  <c r="AF21" i="5"/>
  <c r="AF22" i="5" s="1"/>
  <c r="AF30" i="5" s="1"/>
  <c r="C29" i="5"/>
  <c r="N6" i="3" s="1"/>
  <c r="AG10" i="5"/>
  <c r="AH8" i="5" s="1"/>
  <c r="AG9" i="5"/>
  <c r="I68" i="5"/>
  <c r="I75" i="5" s="1"/>
  <c r="L33" i="5"/>
  <c r="K34" i="5"/>
  <c r="K38" i="5" s="1"/>
  <c r="K39" i="5"/>
  <c r="AF11" i="5"/>
  <c r="J57" i="5"/>
  <c r="H64" i="5"/>
  <c r="I53" i="5"/>
  <c r="H42" i="5"/>
  <c r="J42" i="5"/>
  <c r="J51" i="5"/>
  <c r="G66" i="5"/>
  <c r="I59" i="3" s="1"/>
  <c r="AE31" i="5"/>
  <c r="H63" i="5" s="1"/>
  <c r="I42" i="4"/>
  <c r="H43" i="4"/>
  <c r="K51" i="4"/>
  <c r="K42" i="4"/>
  <c r="G63" i="4"/>
  <c r="G66" i="4" s="1"/>
  <c r="H58" i="3" s="1"/>
  <c r="AD32" i="4"/>
  <c r="K57" i="4"/>
  <c r="K58" i="4" s="1"/>
  <c r="AE22" i="4"/>
  <c r="AE30" i="4" s="1"/>
  <c r="AE23" i="4"/>
  <c r="AF21" i="4" s="1"/>
  <c r="AG9" i="4"/>
  <c r="AG10" i="4"/>
  <c r="J53" i="4"/>
  <c r="M33" i="4"/>
  <c r="L34" i="4"/>
  <c r="L38" i="4" s="1"/>
  <c r="L39" i="4"/>
  <c r="AF11" i="4"/>
  <c r="I43" i="6" l="1"/>
  <c r="Q29" i="3"/>
  <c r="AF23" i="5"/>
  <c r="AF31" i="5" s="1"/>
  <c r="I63" i="5" s="1"/>
  <c r="H44" i="6"/>
  <c r="I45" i="6" s="1"/>
  <c r="K37" i="3"/>
  <c r="L41" i="6"/>
  <c r="K41" i="5"/>
  <c r="Q48" i="3"/>
  <c r="J44" i="6"/>
  <c r="K45" i="6" s="1"/>
  <c r="Q42" i="3"/>
  <c r="K43" i="3"/>
  <c r="J58" i="5"/>
  <c r="L47" i="3" s="1"/>
  <c r="L41" i="3"/>
  <c r="L51" i="4"/>
  <c r="Q46" i="3"/>
  <c r="L41" i="4"/>
  <c r="L37" i="4"/>
  <c r="L47" i="4" s="1"/>
  <c r="K25" i="3"/>
  <c r="Q28" i="3"/>
  <c r="K37" i="5"/>
  <c r="K47" i="5" s="1"/>
  <c r="L37" i="6"/>
  <c r="L47" i="6" s="1"/>
  <c r="L51" i="6"/>
  <c r="AG11" i="6"/>
  <c r="AH21" i="6"/>
  <c r="AG22" i="6"/>
  <c r="AG24" i="6" s="1"/>
  <c r="AF32" i="6"/>
  <c r="L57" i="6"/>
  <c r="L58" i="6" s="1"/>
  <c r="K44" i="6"/>
  <c r="L45" i="6" s="1"/>
  <c r="K53" i="6"/>
  <c r="K68" i="6"/>
  <c r="I44" i="6"/>
  <c r="L42" i="6"/>
  <c r="AH9" i="6"/>
  <c r="AI8" i="6"/>
  <c r="M34" i="6"/>
  <c r="M38" i="6" s="1"/>
  <c r="N33" i="6"/>
  <c r="M39" i="6"/>
  <c r="J75" i="6"/>
  <c r="K43" i="6"/>
  <c r="I66" i="6"/>
  <c r="L60" i="3" s="1"/>
  <c r="Q63" i="6"/>
  <c r="I42" i="5"/>
  <c r="I43" i="5" s="1"/>
  <c r="J44" i="5" s="1"/>
  <c r="K45" i="5" s="1"/>
  <c r="H66" i="5"/>
  <c r="J59" i="3" s="1"/>
  <c r="K51" i="5"/>
  <c r="AI8" i="5"/>
  <c r="AH9" i="5"/>
  <c r="H43" i="5"/>
  <c r="H46" i="5" s="1"/>
  <c r="H49" i="5" s="1"/>
  <c r="AE32" i="5"/>
  <c r="K57" i="5"/>
  <c r="K58" i="5" s="1"/>
  <c r="I64" i="5"/>
  <c r="K42" i="5"/>
  <c r="AG11" i="5"/>
  <c r="J53" i="5"/>
  <c r="J43" i="5"/>
  <c r="J68" i="5"/>
  <c r="J75" i="5" s="1"/>
  <c r="M33" i="5"/>
  <c r="L34" i="5"/>
  <c r="L38" i="5" s="1"/>
  <c r="L39" i="5"/>
  <c r="H46" i="4"/>
  <c r="H49" i="4" s="1"/>
  <c r="I44" i="4"/>
  <c r="J45" i="4" s="1"/>
  <c r="K44" i="4"/>
  <c r="L45" i="4" s="1"/>
  <c r="K43" i="4"/>
  <c r="I43" i="4"/>
  <c r="H64" i="4"/>
  <c r="L42" i="4"/>
  <c r="AF22" i="4"/>
  <c r="AF30" i="4" s="1"/>
  <c r="I64" i="4" s="1"/>
  <c r="AF23" i="4"/>
  <c r="AE24" i="4"/>
  <c r="AE31" i="4"/>
  <c r="H63" i="4" s="1"/>
  <c r="L57" i="4"/>
  <c r="L58" i="4" s="1"/>
  <c r="N33" i="4"/>
  <c r="M34" i="4"/>
  <c r="M38" i="4" s="1"/>
  <c r="M39" i="4"/>
  <c r="AG11" i="4"/>
  <c r="K53" i="4"/>
  <c r="AH8" i="4"/>
  <c r="AH10" i="4" s="1"/>
  <c r="AH31" i="4" s="1"/>
  <c r="K63" i="4" s="1"/>
  <c r="K68" i="4"/>
  <c r="H73" i="2"/>
  <c r="H75" i="3" s="1"/>
  <c r="H73" i="3" s="1"/>
  <c r="G73" i="2"/>
  <c r="L73" i="2"/>
  <c r="N73" i="2"/>
  <c r="O73" i="2"/>
  <c r="P73" i="2"/>
  <c r="AA51" i="2"/>
  <c r="AJ23" i="2"/>
  <c r="AK23" i="2"/>
  <c r="AL23" i="2"/>
  <c r="AK10" i="2"/>
  <c r="AL10" i="2"/>
  <c r="AG21" i="5" l="1"/>
  <c r="I66" i="5"/>
  <c r="K59" i="3" s="1"/>
  <c r="AF24" i="5"/>
  <c r="AF32" i="5"/>
  <c r="G75" i="3"/>
  <c r="G73" i="3" s="1"/>
  <c r="H46" i="6"/>
  <c r="H49" i="6" s="1"/>
  <c r="M41" i="6"/>
  <c r="L43" i="3"/>
  <c r="Q47" i="3"/>
  <c r="L41" i="5"/>
  <c r="L37" i="3"/>
  <c r="Q41" i="3"/>
  <c r="M41" i="4"/>
  <c r="M37" i="4"/>
  <c r="M47" i="4" s="1"/>
  <c r="K46" i="6"/>
  <c r="K49" i="6" s="1"/>
  <c r="K55" i="6" s="1"/>
  <c r="K60" i="6" s="1"/>
  <c r="L37" i="5"/>
  <c r="L47" i="5" s="1"/>
  <c r="M37" i="6"/>
  <c r="M47" i="6" s="1"/>
  <c r="L44" i="6"/>
  <c r="M45" i="6" s="1"/>
  <c r="K75" i="6"/>
  <c r="O33" i="6"/>
  <c r="N34" i="6"/>
  <c r="N38" i="6" s="1"/>
  <c r="N39" i="6"/>
  <c r="M57" i="6"/>
  <c r="M58" i="6" s="1"/>
  <c r="AJ8" i="6"/>
  <c r="AI9" i="6"/>
  <c r="L68" i="6"/>
  <c r="AG30" i="6"/>
  <c r="M51" i="6"/>
  <c r="AH11" i="6"/>
  <c r="L43" i="6"/>
  <c r="L53" i="6"/>
  <c r="AI21" i="6"/>
  <c r="AH22" i="6"/>
  <c r="AH24" i="6" s="1"/>
  <c r="M42" i="6"/>
  <c r="J45" i="6"/>
  <c r="J46" i="6" s="1"/>
  <c r="J49" i="6" s="1"/>
  <c r="J55" i="6" s="1"/>
  <c r="I46" i="6"/>
  <c r="I49" i="6" s="1"/>
  <c r="I44" i="5"/>
  <c r="I46" i="5" s="1"/>
  <c r="I49" i="5" s="1"/>
  <c r="M34" i="5"/>
  <c r="M38" i="5" s="1"/>
  <c r="N33" i="5"/>
  <c r="M39" i="5"/>
  <c r="L51" i="5"/>
  <c r="K68" i="5"/>
  <c r="K75" i="5" s="1"/>
  <c r="AH11" i="5"/>
  <c r="L57" i="5"/>
  <c r="L58" i="5" s="1"/>
  <c r="K43" i="5"/>
  <c r="AI9" i="5"/>
  <c r="AJ8" i="5"/>
  <c r="AG23" i="5"/>
  <c r="AH21" i="5" s="1"/>
  <c r="AG22" i="5"/>
  <c r="AG30" i="5" s="1"/>
  <c r="L42" i="5"/>
  <c r="K44" i="5"/>
  <c r="L45" i="5" s="1"/>
  <c r="K53" i="5"/>
  <c r="J44" i="4"/>
  <c r="K45" i="4" s="1"/>
  <c r="K46" i="4" s="1"/>
  <c r="K49" i="4" s="1"/>
  <c r="L44" i="4"/>
  <c r="M45" i="4" s="1"/>
  <c r="I46" i="4"/>
  <c r="I49" i="4" s="1"/>
  <c r="L43" i="4"/>
  <c r="H66" i="4"/>
  <c r="I58" i="3" s="1"/>
  <c r="AE32" i="4"/>
  <c r="M57" i="4"/>
  <c r="M58" i="4" s="1"/>
  <c r="AG21" i="4"/>
  <c r="AF31" i="4"/>
  <c r="I63" i="4" s="1"/>
  <c r="I66" i="4" s="1"/>
  <c r="J58" i="3" s="1"/>
  <c r="AF24" i="4"/>
  <c r="M42" i="4"/>
  <c r="M51" i="4"/>
  <c r="L68" i="4"/>
  <c r="K75" i="4"/>
  <c r="AH9" i="4"/>
  <c r="AI8" i="4"/>
  <c r="AI10" i="4" s="1"/>
  <c r="AI31" i="4" s="1"/>
  <c r="L63" i="4" s="1"/>
  <c r="L53" i="4"/>
  <c r="N34" i="4"/>
  <c r="N38" i="4" s="1"/>
  <c r="O33" i="4"/>
  <c r="N39" i="4"/>
  <c r="H33" i="2"/>
  <c r="O76" i="2"/>
  <c r="O74" i="2"/>
  <c r="N76" i="2"/>
  <c r="N74" i="2"/>
  <c r="G76" i="2"/>
  <c r="G74" i="2"/>
  <c r="L76" i="2"/>
  <c r="L74" i="2"/>
  <c r="P76" i="2"/>
  <c r="P74" i="2"/>
  <c r="H76" i="2"/>
  <c r="H74" i="2"/>
  <c r="M41" i="5" l="1"/>
  <c r="L75" i="6"/>
  <c r="N41" i="6"/>
  <c r="J60" i="6"/>
  <c r="M36" i="3"/>
  <c r="M31" i="3" s="1"/>
  <c r="N41" i="4"/>
  <c r="N37" i="4"/>
  <c r="N47" i="4" s="1"/>
  <c r="L46" i="6"/>
  <c r="L49" i="6" s="1"/>
  <c r="L55" i="6" s="1"/>
  <c r="L60" i="6" s="1"/>
  <c r="N37" i="6"/>
  <c r="N47" i="6" s="1"/>
  <c r="M37" i="5"/>
  <c r="M47" i="5" s="1"/>
  <c r="M44" i="6"/>
  <c r="N45" i="6" s="1"/>
  <c r="AI11" i="6"/>
  <c r="N51" i="6"/>
  <c r="AI22" i="6"/>
  <c r="AI24" i="6" s="1"/>
  <c r="AJ21" i="6"/>
  <c r="J64" i="6"/>
  <c r="AG32" i="6"/>
  <c r="AK8" i="6"/>
  <c r="AJ9" i="6"/>
  <c r="N42" i="6"/>
  <c r="M53" i="6"/>
  <c r="M68" i="6"/>
  <c r="M75" i="6" s="1"/>
  <c r="P33" i="6"/>
  <c r="O34" i="6"/>
  <c r="O38" i="6" s="1"/>
  <c r="O39" i="6"/>
  <c r="M43" i="6"/>
  <c r="AH30" i="6"/>
  <c r="N57" i="6"/>
  <c r="N58" i="6" s="1"/>
  <c r="M57" i="5"/>
  <c r="J45" i="5"/>
  <c r="J46" i="5" s="1"/>
  <c r="J49" i="5" s="1"/>
  <c r="AF32" i="4"/>
  <c r="F42" i="2"/>
  <c r="AI21" i="5"/>
  <c r="AH22" i="5"/>
  <c r="AJ9" i="5"/>
  <c r="AK8" i="5"/>
  <c r="L53" i="5"/>
  <c r="O33" i="5"/>
  <c r="N34" i="5"/>
  <c r="N38" i="5" s="1"/>
  <c r="N39" i="5"/>
  <c r="J64" i="5"/>
  <c r="AI11" i="5"/>
  <c r="L44" i="5"/>
  <c r="M45" i="5" s="1"/>
  <c r="L43" i="5"/>
  <c r="L68" i="5"/>
  <c r="L75" i="5" s="1"/>
  <c r="M42" i="5"/>
  <c r="AG24" i="5"/>
  <c r="AG31" i="5"/>
  <c r="J63" i="5" s="1"/>
  <c r="K46" i="5"/>
  <c r="K49" i="5" s="1"/>
  <c r="K55" i="5" s="1"/>
  <c r="K60" i="5" s="1"/>
  <c r="M51" i="5"/>
  <c r="M44" i="4"/>
  <c r="N45" i="4" s="1"/>
  <c r="J46" i="4"/>
  <c r="J49" i="4" s="1"/>
  <c r="L46" i="4"/>
  <c r="L49" i="4" s="1"/>
  <c r="M53" i="4"/>
  <c r="M43" i="4"/>
  <c r="N51" i="4"/>
  <c r="N42" i="4"/>
  <c r="N57" i="4"/>
  <c r="N58" i="4" s="1"/>
  <c r="AG23" i="4"/>
  <c r="AH21" i="4" s="1"/>
  <c r="AG22" i="4"/>
  <c r="AG30" i="4" s="1"/>
  <c r="L75" i="4"/>
  <c r="AH11" i="4"/>
  <c r="M68" i="4"/>
  <c r="P33" i="4"/>
  <c r="O34" i="4"/>
  <c r="O38" i="4" s="1"/>
  <c r="O39" i="4"/>
  <c r="AI9" i="4"/>
  <c r="AJ8" i="4"/>
  <c r="AJ10" i="4" s="1"/>
  <c r="AJ31" i="4" s="1"/>
  <c r="M63" i="4" s="1"/>
  <c r="F39" i="2"/>
  <c r="F37" i="2" s="1"/>
  <c r="F47" i="2" s="1"/>
  <c r="G39" i="2"/>
  <c r="I33" i="2"/>
  <c r="H34" i="2"/>
  <c r="H38" i="2" s="1"/>
  <c r="C3" i="2"/>
  <c r="H51" i="2" l="1"/>
  <c r="M54" i="3"/>
  <c r="M49" i="3" s="1"/>
  <c r="O41" i="6"/>
  <c r="N41" i="5"/>
  <c r="M68" i="5"/>
  <c r="M75" i="5" s="1"/>
  <c r="M58" i="5"/>
  <c r="G37" i="2"/>
  <c r="G47" i="2" s="1"/>
  <c r="G41" i="2"/>
  <c r="G27" i="3" s="1"/>
  <c r="G25" i="3" s="1"/>
  <c r="H57" i="2"/>
  <c r="H68" i="2" s="1"/>
  <c r="F41" i="2"/>
  <c r="F27" i="3" s="1"/>
  <c r="J69" i="6"/>
  <c r="M66" i="3" s="1"/>
  <c r="M61" i="3" s="1"/>
  <c r="O41" i="4"/>
  <c r="O37" i="4"/>
  <c r="O47" i="4" s="1"/>
  <c r="O37" i="6"/>
  <c r="O47" i="6" s="1"/>
  <c r="N37" i="5"/>
  <c r="N47" i="5" s="1"/>
  <c r="M46" i="6"/>
  <c r="M49" i="6" s="1"/>
  <c r="M55" i="6" s="1"/>
  <c r="M60" i="6" s="1"/>
  <c r="N44" i="6"/>
  <c r="O45" i="6" s="1"/>
  <c r="O51" i="6"/>
  <c r="N68" i="6"/>
  <c r="N75" i="6" s="1"/>
  <c r="AK9" i="6"/>
  <c r="AL8" i="6"/>
  <c r="AI30" i="6"/>
  <c r="K64" i="6"/>
  <c r="AH32" i="6"/>
  <c r="O57" i="6"/>
  <c r="O58" i="6" s="1"/>
  <c r="N53" i="6"/>
  <c r="O42" i="6"/>
  <c r="N43" i="6"/>
  <c r="J66" i="6"/>
  <c r="AJ22" i="6"/>
  <c r="AJ24" i="6" s="1"/>
  <c r="AK21" i="6"/>
  <c r="P34" i="6"/>
  <c r="P38" i="6" s="1"/>
  <c r="P39" i="6"/>
  <c r="AJ11" i="6"/>
  <c r="L46" i="5"/>
  <c r="L49" i="5" s="1"/>
  <c r="L55" i="5" s="1"/>
  <c r="L60" i="5" s="1"/>
  <c r="M75" i="4"/>
  <c r="N57" i="5"/>
  <c r="N58" i="5" s="1"/>
  <c r="J66" i="5"/>
  <c r="L59" i="3" s="1"/>
  <c r="Q63" i="5"/>
  <c r="AJ11" i="5"/>
  <c r="N42" i="5"/>
  <c r="N51" i="5"/>
  <c r="AH24" i="5"/>
  <c r="AH30" i="5"/>
  <c r="M43" i="5"/>
  <c r="M53" i="5"/>
  <c r="AG32" i="5"/>
  <c r="AI22" i="5"/>
  <c r="AJ21" i="5"/>
  <c r="M44" i="5"/>
  <c r="N45" i="5" s="1"/>
  <c r="P33" i="5"/>
  <c r="O34" i="5"/>
  <c r="O38" i="5" s="1"/>
  <c r="O39" i="5"/>
  <c r="AK9" i="5"/>
  <c r="AL8" i="5"/>
  <c r="N44" i="4"/>
  <c r="O45" i="4" s="1"/>
  <c r="M46" i="4"/>
  <c r="M49" i="4" s="1"/>
  <c r="N43" i="4"/>
  <c r="N53" i="4"/>
  <c r="AI21" i="4"/>
  <c r="AH22" i="4"/>
  <c r="J64" i="4"/>
  <c r="O51" i="4"/>
  <c r="AG24" i="4"/>
  <c r="AG31" i="4"/>
  <c r="J63" i="4" s="1"/>
  <c r="O42" i="4"/>
  <c r="O57" i="4"/>
  <c r="O58" i="4" s="1"/>
  <c r="AI11" i="4"/>
  <c r="P34" i="4"/>
  <c r="P38" i="4" s="1"/>
  <c r="P39" i="4"/>
  <c r="AK8" i="4"/>
  <c r="AK10" i="4" s="1"/>
  <c r="AK31" i="4" s="1"/>
  <c r="N63" i="4" s="1"/>
  <c r="AJ9" i="4"/>
  <c r="N68" i="4"/>
  <c r="I34" i="2"/>
  <c r="I51" i="2" s="1"/>
  <c r="J33" i="2"/>
  <c r="H39" i="2"/>
  <c r="H37" i="2" s="1"/>
  <c r="I39" i="2"/>
  <c r="N68" i="5" l="1"/>
  <c r="J71" i="6"/>
  <c r="N75" i="4"/>
  <c r="F53" i="2"/>
  <c r="P41" i="6"/>
  <c r="Q41" i="6" s="1"/>
  <c r="P57" i="6"/>
  <c r="P58" i="6" s="1"/>
  <c r="O41" i="5"/>
  <c r="F43" i="2"/>
  <c r="H41" i="2"/>
  <c r="H53" i="2" s="1"/>
  <c r="H58" i="2"/>
  <c r="H45" i="3" s="1"/>
  <c r="H39" i="3"/>
  <c r="I38" i="2"/>
  <c r="I57" i="2"/>
  <c r="F25" i="3"/>
  <c r="F44" i="2"/>
  <c r="G45" i="2" s="1"/>
  <c r="Q59" i="3"/>
  <c r="L55" i="3"/>
  <c r="M72" i="3"/>
  <c r="M67" i="3" s="1"/>
  <c r="M60" i="3"/>
  <c r="P41" i="4"/>
  <c r="P37" i="4"/>
  <c r="N46" i="6"/>
  <c r="N49" i="6" s="1"/>
  <c r="N55" i="6" s="1"/>
  <c r="P37" i="6"/>
  <c r="P47" i="6" s="1"/>
  <c r="Q47" i="6" s="1"/>
  <c r="O37" i="5"/>
  <c r="O47" i="5" s="1"/>
  <c r="AJ30" i="6"/>
  <c r="AJ32" i="6" s="1"/>
  <c r="O44" i="6"/>
  <c r="P45" i="6" s="1"/>
  <c r="N75" i="5"/>
  <c r="P42" i="6"/>
  <c r="O68" i="6"/>
  <c r="O75" i="6" s="1"/>
  <c r="AL9" i="6"/>
  <c r="AM8" i="6"/>
  <c r="AM9" i="6" s="1"/>
  <c r="P51" i="6"/>
  <c r="Q51" i="6" s="1"/>
  <c r="K66" i="6"/>
  <c r="K69" i="6"/>
  <c r="AK11" i="6"/>
  <c r="AL21" i="6"/>
  <c r="AK22" i="6"/>
  <c r="AK24" i="6" s="1"/>
  <c r="O53" i="6"/>
  <c r="L64" i="6"/>
  <c r="AI32" i="6"/>
  <c r="O43" i="6"/>
  <c r="M46" i="5"/>
  <c r="M49" i="5" s="1"/>
  <c r="M55" i="5" s="1"/>
  <c r="O42" i="5"/>
  <c r="AK11" i="5"/>
  <c r="AI24" i="5"/>
  <c r="AI30" i="5"/>
  <c r="N43" i="5"/>
  <c r="P34" i="5"/>
  <c r="P38" i="5" s="1"/>
  <c r="P39" i="5"/>
  <c r="N44" i="5"/>
  <c r="O45" i="5" s="1"/>
  <c r="K64" i="5"/>
  <c r="AH32" i="5"/>
  <c r="O51" i="5"/>
  <c r="O57" i="5"/>
  <c r="O58" i="5" s="1"/>
  <c r="N53" i="5"/>
  <c r="AM8" i="5"/>
  <c r="AM9" i="5" s="1"/>
  <c r="AL9" i="5"/>
  <c r="AJ22" i="5"/>
  <c r="AK21" i="5"/>
  <c r="N46" i="4"/>
  <c r="N49" i="4" s="1"/>
  <c r="O44" i="4"/>
  <c r="P45" i="4" s="1"/>
  <c r="O43" i="4"/>
  <c r="O53" i="4"/>
  <c r="J66" i="4"/>
  <c r="K58" i="3" s="1"/>
  <c r="P51" i="4"/>
  <c r="Q51" i="4" s="1"/>
  <c r="AG32" i="4"/>
  <c r="P42" i="4"/>
  <c r="J73" i="4" s="1"/>
  <c r="K79" i="4" s="1"/>
  <c r="L79" i="4" s="1"/>
  <c r="M79" i="4" s="1"/>
  <c r="N79" i="4" s="1"/>
  <c r="O79" i="4" s="1"/>
  <c r="P79" i="4" s="1"/>
  <c r="P57" i="4"/>
  <c r="P58" i="4" s="1"/>
  <c r="AH24" i="4"/>
  <c r="AH30" i="4"/>
  <c r="AI22" i="4"/>
  <c r="AJ21" i="4"/>
  <c r="I73" i="4"/>
  <c r="J76" i="3" s="1"/>
  <c r="AL8" i="4"/>
  <c r="AL10" i="4" s="1"/>
  <c r="AL31" i="4" s="1"/>
  <c r="O63" i="4" s="1"/>
  <c r="AK9" i="4"/>
  <c r="O68" i="4"/>
  <c r="P47" i="4"/>
  <c r="Q47" i="4" s="1"/>
  <c r="AJ11" i="4"/>
  <c r="K33" i="2"/>
  <c r="H47" i="2"/>
  <c r="J34" i="2"/>
  <c r="J38" i="2" s="1"/>
  <c r="J39" i="2"/>
  <c r="K34" i="2" l="1"/>
  <c r="K38" i="2" s="1"/>
  <c r="K51" i="2"/>
  <c r="J51" i="2"/>
  <c r="J73" i="6"/>
  <c r="M78" i="3" s="1"/>
  <c r="M73" i="3" s="1"/>
  <c r="H73" i="6"/>
  <c r="K71" i="6"/>
  <c r="O75" i="4"/>
  <c r="H27" i="3"/>
  <c r="H25" i="3" s="1"/>
  <c r="G42" i="2"/>
  <c r="K55" i="3"/>
  <c r="Q58" i="3"/>
  <c r="P41" i="5"/>
  <c r="P68" i="6"/>
  <c r="Q68" i="6" s="1"/>
  <c r="Q57" i="6"/>
  <c r="J41" i="2"/>
  <c r="J37" i="2"/>
  <c r="J47" i="2" s="1"/>
  <c r="I41" i="2"/>
  <c r="I27" i="3" s="1"/>
  <c r="I25" i="3" s="1"/>
  <c r="I37" i="2"/>
  <c r="I47" i="2" s="1"/>
  <c r="H37" i="3"/>
  <c r="L33" i="2"/>
  <c r="L39" i="2" s="1"/>
  <c r="I58" i="2"/>
  <c r="I45" i="3" s="1"/>
  <c r="I43" i="3" s="1"/>
  <c r="I39" i="3"/>
  <c r="I37" i="3" s="1"/>
  <c r="J42" i="2"/>
  <c r="J43" i="2" s="1"/>
  <c r="H43" i="3"/>
  <c r="K57" i="2"/>
  <c r="K58" i="2" s="1"/>
  <c r="K42" i="2"/>
  <c r="J57" i="2"/>
  <c r="F46" i="2"/>
  <c r="F49" i="2" s="1"/>
  <c r="M55" i="3"/>
  <c r="Q60" i="3"/>
  <c r="M64" i="6"/>
  <c r="M66" i="6" s="1"/>
  <c r="J74" i="6"/>
  <c r="J76" i="6" s="1"/>
  <c r="O46" i="6"/>
  <c r="O49" i="6" s="1"/>
  <c r="O55" i="6" s="1"/>
  <c r="O60" i="6" s="1"/>
  <c r="P37" i="5"/>
  <c r="P47" i="5" s="1"/>
  <c r="Q47" i="5" s="1"/>
  <c r="I74" i="4"/>
  <c r="I76" i="4" s="1"/>
  <c r="Q58" i="6"/>
  <c r="P44" i="6"/>
  <c r="AM11" i="6"/>
  <c r="L66" i="6"/>
  <c r="L69" i="6"/>
  <c r="AL11" i="6"/>
  <c r="P53" i="6"/>
  <c r="Q53" i="6" s="1"/>
  <c r="AM21" i="6"/>
  <c r="AM22" i="6" s="1"/>
  <c r="AM24" i="6" s="1"/>
  <c r="AL22" i="6"/>
  <c r="AL24" i="6" s="1"/>
  <c r="AK30" i="6"/>
  <c r="P43" i="6"/>
  <c r="I73" i="6"/>
  <c r="N60" i="6"/>
  <c r="P42" i="5"/>
  <c r="P57" i="5"/>
  <c r="P44" i="4"/>
  <c r="P51" i="5"/>
  <c r="Q51" i="5" s="1"/>
  <c r="O53" i="5"/>
  <c r="O68" i="5"/>
  <c r="O75" i="5" s="1"/>
  <c r="N46" i="5"/>
  <c r="N49" i="5" s="1"/>
  <c r="N55" i="5" s="1"/>
  <c r="N60" i="5" s="1"/>
  <c r="AL21" i="5"/>
  <c r="AK22" i="5"/>
  <c r="AL11" i="5"/>
  <c r="O44" i="5"/>
  <c r="P45" i="5" s="1"/>
  <c r="O43" i="5"/>
  <c r="AJ24" i="5"/>
  <c r="AJ30" i="5"/>
  <c r="AM11" i="5"/>
  <c r="M60" i="5"/>
  <c r="K66" i="5"/>
  <c r="K69" i="5"/>
  <c r="L64" i="5"/>
  <c r="AI32" i="5"/>
  <c r="P43" i="4"/>
  <c r="O46" i="4"/>
  <c r="O49" i="4" s="1"/>
  <c r="AJ22" i="4"/>
  <c r="AK21" i="4"/>
  <c r="AI24" i="4"/>
  <c r="AI30" i="4"/>
  <c r="K64" i="4"/>
  <c r="AH32" i="4"/>
  <c r="Q58" i="4"/>
  <c r="P68" i="4"/>
  <c r="Q68" i="4" s="1"/>
  <c r="Q57" i="4"/>
  <c r="AK11" i="4"/>
  <c r="AL9" i="4"/>
  <c r="AM8" i="4"/>
  <c r="P53" i="4"/>
  <c r="Q53" i="4" s="1"/>
  <c r="Q41" i="4"/>
  <c r="I68" i="2"/>
  <c r="K39" i="2"/>
  <c r="K37" i="2" s="1"/>
  <c r="L34" i="2" l="1"/>
  <c r="L38" i="2" s="1"/>
  <c r="L51" i="2"/>
  <c r="J53" i="2"/>
  <c r="I42" i="2"/>
  <c r="I43" i="2" s="1"/>
  <c r="J44" i="2" s="1"/>
  <c r="K45" i="2" s="1"/>
  <c r="H74" i="6"/>
  <c r="H76" i="6" s="1"/>
  <c r="K78" i="3"/>
  <c r="P75" i="6"/>
  <c r="K71" i="5"/>
  <c r="L71" i="6"/>
  <c r="L78" i="3"/>
  <c r="M69" i="6"/>
  <c r="M71" i="6" s="1"/>
  <c r="H42" i="2"/>
  <c r="H43" i="2" s="1"/>
  <c r="I44" i="2" s="1"/>
  <c r="I53" i="2"/>
  <c r="P68" i="5"/>
  <c r="P75" i="5" s="1"/>
  <c r="P58" i="5"/>
  <c r="Q58" i="5" s="1"/>
  <c r="J74" i="4"/>
  <c r="J76" i="4" s="1"/>
  <c r="K76" i="3"/>
  <c r="M33" i="2"/>
  <c r="L41" i="2"/>
  <c r="L37" i="2"/>
  <c r="L47" i="2" s="1"/>
  <c r="C29" i="2"/>
  <c r="N4" i="3" s="1"/>
  <c r="J27" i="3"/>
  <c r="L57" i="2"/>
  <c r="L58" i="2" s="1"/>
  <c r="L42" i="2"/>
  <c r="J58" i="2"/>
  <c r="J45" i="3" s="1"/>
  <c r="J39" i="3"/>
  <c r="J37" i="3" s="1"/>
  <c r="K41" i="2"/>
  <c r="K44" i="2" s="1"/>
  <c r="L45" i="2" s="1"/>
  <c r="P43" i="5"/>
  <c r="Q57" i="5"/>
  <c r="K8" i="4"/>
  <c r="P46" i="6"/>
  <c r="P49" i="6" s="1"/>
  <c r="Q49" i="6" s="1"/>
  <c r="AL30" i="6"/>
  <c r="AM30" i="6"/>
  <c r="I74" i="6"/>
  <c r="I76" i="6" s="1"/>
  <c r="K8" i="6"/>
  <c r="Q73" i="6"/>
  <c r="N64" i="6"/>
  <c r="N66" i="6" s="1"/>
  <c r="AK32" i="6"/>
  <c r="J73" i="5"/>
  <c r="I73" i="5"/>
  <c r="L66" i="5"/>
  <c r="L69" i="5"/>
  <c r="P53" i="5"/>
  <c r="Q53" i="5" s="1"/>
  <c r="Q41" i="5"/>
  <c r="AK24" i="5"/>
  <c r="AK30" i="5"/>
  <c r="M64" i="5"/>
  <c r="M66" i="5" s="1"/>
  <c r="AJ32" i="5"/>
  <c r="AM21" i="5"/>
  <c r="AM22" i="5" s="1"/>
  <c r="AL22" i="5"/>
  <c r="O46" i="5"/>
  <c r="O49" i="5" s="1"/>
  <c r="O55" i="5" s="1"/>
  <c r="P44" i="5"/>
  <c r="Q73" i="4"/>
  <c r="P46" i="4"/>
  <c r="P49" i="4" s="1"/>
  <c r="AI32" i="4"/>
  <c r="L64" i="4"/>
  <c r="AL21" i="4"/>
  <c r="AK22" i="4"/>
  <c r="K66" i="4"/>
  <c r="AJ24" i="4"/>
  <c r="AJ30" i="4"/>
  <c r="AM9" i="4"/>
  <c r="AM10" i="4"/>
  <c r="AM31" i="4" s="1"/>
  <c r="P63" i="4" s="1"/>
  <c r="Q63" i="4" s="1"/>
  <c r="P75" i="4"/>
  <c r="AL11" i="4"/>
  <c r="J68" i="2"/>
  <c r="K68" i="2"/>
  <c r="K47" i="2"/>
  <c r="Q78" i="3" l="1"/>
  <c r="M34" i="2"/>
  <c r="M38" i="2" s="1"/>
  <c r="N33" i="2"/>
  <c r="M39" i="2"/>
  <c r="P55" i="6"/>
  <c r="P60" i="6" s="1"/>
  <c r="Q68" i="5"/>
  <c r="K53" i="2"/>
  <c r="L71" i="5"/>
  <c r="P46" i="5"/>
  <c r="P49" i="5" s="1"/>
  <c r="Q49" i="5" s="1"/>
  <c r="L77" i="3"/>
  <c r="L73" i="3" s="1"/>
  <c r="K79" i="5"/>
  <c r="L79" i="5" s="1"/>
  <c r="M79" i="5" s="1"/>
  <c r="N79" i="5" s="1"/>
  <c r="O79" i="5" s="1"/>
  <c r="P79" i="5" s="1"/>
  <c r="K77" i="3"/>
  <c r="L43" i="2"/>
  <c r="Q76" i="3"/>
  <c r="M42" i="2"/>
  <c r="J43" i="3"/>
  <c r="M57" i="2"/>
  <c r="M58" i="2" s="1"/>
  <c r="K43" i="2"/>
  <c r="K46" i="2" s="1"/>
  <c r="K49" i="2" s="1"/>
  <c r="J25" i="3"/>
  <c r="Q25" i="3" s="1"/>
  <c r="Q27" i="3"/>
  <c r="M84" i="3"/>
  <c r="Q73" i="5"/>
  <c r="P64" i="6"/>
  <c r="AM32" i="6"/>
  <c r="O64" i="6"/>
  <c r="AL32" i="6"/>
  <c r="N69" i="6"/>
  <c r="N71" i="6" s="1"/>
  <c r="I74" i="5"/>
  <c r="I76" i="5" s="1"/>
  <c r="K8" i="5"/>
  <c r="J74" i="5"/>
  <c r="J76" i="5" s="1"/>
  <c r="J45" i="2"/>
  <c r="J46" i="2" s="1"/>
  <c r="J49" i="2" s="1"/>
  <c r="N64" i="5"/>
  <c r="AK32" i="5"/>
  <c r="O60" i="5"/>
  <c r="AL24" i="5"/>
  <c r="AL30" i="5"/>
  <c r="AM24" i="5"/>
  <c r="AM30" i="5"/>
  <c r="M69" i="5"/>
  <c r="M71" i="5" s="1"/>
  <c r="AM11" i="4"/>
  <c r="M64" i="4"/>
  <c r="AJ32" i="4"/>
  <c r="AK24" i="4"/>
  <c r="AK30" i="4"/>
  <c r="AM21" i="4"/>
  <c r="AM22" i="4" s="1"/>
  <c r="AL22" i="4"/>
  <c r="L66" i="4"/>
  <c r="L68" i="2"/>
  <c r="N34" i="2"/>
  <c r="N38" i="2" s="1"/>
  <c r="N39" i="2"/>
  <c r="L53" i="2"/>
  <c r="O33" i="2"/>
  <c r="M41" i="2" l="1"/>
  <c r="N51" i="2"/>
  <c r="M51" i="2"/>
  <c r="M37" i="2"/>
  <c r="M47" i="2" s="1"/>
  <c r="P55" i="5"/>
  <c r="P60" i="5" s="1"/>
  <c r="Q77" i="3"/>
  <c r="K73" i="3"/>
  <c r="M43" i="2"/>
  <c r="N57" i="2"/>
  <c r="N58" i="2" s="1"/>
  <c r="N41" i="2"/>
  <c r="N37" i="2"/>
  <c r="N47" i="2" s="1"/>
  <c r="N42" i="2"/>
  <c r="L44" i="2"/>
  <c r="M45" i="2" s="1"/>
  <c r="M79" i="3"/>
  <c r="P69" i="6"/>
  <c r="O66" i="6"/>
  <c r="O69" i="6"/>
  <c r="P66" i="6"/>
  <c r="Q64" i="6"/>
  <c r="M44" i="2"/>
  <c r="O64" i="5"/>
  <c r="O66" i="5" s="1"/>
  <c r="AL32" i="5"/>
  <c r="N66" i="5"/>
  <c r="N69" i="5"/>
  <c r="P64" i="5"/>
  <c r="AM32" i="5"/>
  <c r="N64" i="4"/>
  <c r="AK32" i="4"/>
  <c r="AL24" i="4"/>
  <c r="AL30" i="4"/>
  <c r="AM24" i="4"/>
  <c r="AM30" i="4"/>
  <c r="M66" i="4"/>
  <c r="M68" i="2"/>
  <c r="M53" i="2"/>
  <c r="O34" i="2"/>
  <c r="O38" i="2" s="1"/>
  <c r="O39" i="2"/>
  <c r="K73" i="2"/>
  <c r="K74" i="2" s="1"/>
  <c r="P33" i="2"/>
  <c r="O51" i="2" l="1"/>
  <c r="P69" i="5"/>
  <c r="P71" i="6"/>
  <c r="N71" i="5"/>
  <c r="O71" i="6"/>
  <c r="N43" i="2"/>
  <c r="L46" i="2"/>
  <c r="L49" i="2" s="1"/>
  <c r="O41" i="2"/>
  <c r="O37" i="2"/>
  <c r="O47" i="2" s="1"/>
  <c r="O42" i="2"/>
  <c r="O57" i="2"/>
  <c r="O58" i="2" s="1"/>
  <c r="Q66" i="6"/>
  <c r="O69" i="5"/>
  <c r="M46" i="2"/>
  <c r="M49" i="2" s="1"/>
  <c r="N45" i="2"/>
  <c r="N44" i="2"/>
  <c r="O45" i="2" s="1"/>
  <c r="P66" i="5"/>
  <c r="Q64" i="5"/>
  <c r="AL32" i="4"/>
  <c r="O64" i="4"/>
  <c r="P64" i="4"/>
  <c r="AM32" i="4"/>
  <c r="N66" i="4"/>
  <c r="N68" i="2"/>
  <c r="P39" i="2"/>
  <c r="M73" i="2"/>
  <c r="M74" i="2" s="1"/>
  <c r="P34" i="2"/>
  <c r="P38" i="2" s="1"/>
  <c r="N53" i="2"/>
  <c r="P71" i="5" l="1"/>
  <c r="O71" i="5"/>
  <c r="O43" i="2"/>
  <c r="P41" i="2"/>
  <c r="P37" i="2"/>
  <c r="P47" i="2" s="1"/>
  <c r="P51" i="2"/>
  <c r="Q51" i="2" s="1"/>
  <c r="P57" i="2"/>
  <c r="P58" i="2" s="1"/>
  <c r="P42" i="2"/>
  <c r="O44" i="2"/>
  <c r="P45" i="2" s="1"/>
  <c r="N46" i="2"/>
  <c r="N49" i="2" s="1"/>
  <c r="Q66" i="5"/>
  <c r="P66" i="4"/>
  <c r="O66" i="4"/>
  <c r="Q64" i="4"/>
  <c r="O68" i="2"/>
  <c r="O53" i="2"/>
  <c r="J73" i="2" l="1"/>
  <c r="I73" i="2"/>
  <c r="P43" i="2"/>
  <c r="J75" i="3"/>
  <c r="O46" i="2"/>
  <c r="O49" i="2" s="1"/>
  <c r="P44" i="2"/>
  <c r="Q66" i="4"/>
  <c r="P68" i="2"/>
  <c r="J74" i="2"/>
  <c r="P53" i="2"/>
  <c r="Q73" i="2" l="1"/>
  <c r="K8" i="2"/>
  <c r="I75" i="3"/>
  <c r="I73" i="3" s="1"/>
  <c r="I74" i="2"/>
  <c r="P46" i="2"/>
  <c r="P49" i="2" s="1"/>
  <c r="J73" i="3"/>
  <c r="N55" i="2"/>
  <c r="N60" i="2" s="1"/>
  <c r="AK31" i="2"/>
  <c r="N63" i="2" s="1"/>
  <c r="Q73" i="3" l="1"/>
  <c r="Q75" i="3"/>
  <c r="O55" i="2"/>
  <c r="O60" i="2" s="1"/>
  <c r="AL31" i="2"/>
  <c r="O63" i="2" s="1"/>
  <c r="G16" i="2" l="1"/>
  <c r="H16" i="2" s="1"/>
  <c r="L15" i="2"/>
  <c r="O9" i="1"/>
  <c r="O6" i="1"/>
  <c r="G14" i="6" l="1"/>
  <c r="G14" i="5"/>
  <c r="G14" i="4"/>
  <c r="G14" i="2"/>
  <c r="G13" i="6"/>
  <c r="G13" i="5"/>
  <c r="G13" i="4"/>
  <c r="G13" i="2"/>
  <c r="F75" i="2"/>
  <c r="J4" i="3"/>
  <c r="J9" i="3" s="1"/>
  <c r="F57" i="2"/>
  <c r="G43" i="2"/>
  <c r="G44" i="2"/>
  <c r="H45" i="2" s="1"/>
  <c r="G53" i="2"/>
  <c r="AB20" i="2"/>
  <c r="L16" i="2"/>
  <c r="L25" i="2" s="1"/>
  <c r="AB4" i="2"/>
  <c r="AC8" i="2" s="1"/>
  <c r="AC10" i="2" s="1"/>
  <c r="H13" i="4" l="1"/>
  <c r="H14" i="6"/>
  <c r="H13" i="5"/>
  <c r="H14" i="5"/>
  <c r="I6" i="3" s="1"/>
  <c r="H13" i="6"/>
  <c r="H14" i="4"/>
  <c r="I5" i="3" s="1"/>
  <c r="F39" i="3"/>
  <c r="F37" i="3" s="1"/>
  <c r="F58" i="2"/>
  <c r="F45" i="3" s="1"/>
  <c r="F43" i="3" s="1"/>
  <c r="H44" i="2"/>
  <c r="H46" i="2" s="1"/>
  <c r="H49" i="2" s="1"/>
  <c r="G46" i="2"/>
  <c r="G49" i="2" s="1"/>
  <c r="F68" i="2"/>
  <c r="G75" i="2" s="1"/>
  <c r="AC21" i="2"/>
  <c r="F62" i="2"/>
  <c r="Q57" i="2"/>
  <c r="AC9" i="2"/>
  <c r="G6" i="3" l="1"/>
  <c r="G23" i="3" s="1"/>
  <c r="I55" i="5"/>
  <c r="F55" i="5"/>
  <c r="E79" i="5"/>
  <c r="H25" i="5"/>
  <c r="H6" i="3"/>
  <c r="H55" i="5"/>
  <c r="J55" i="5"/>
  <c r="E79" i="4"/>
  <c r="F82" i="3" s="1"/>
  <c r="H25" i="4"/>
  <c r="H5" i="3"/>
  <c r="G5" i="3"/>
  <c r="F22" i="3" s="1"/>
  <c r="E79" i="6"/>
  <c r="H25" i="6"/>
  <c r="H7" i="3"/>
  <c r="I55" i="6"/>
  <c r="H55" i="6"/>
  <c r="F55" i="6"/>
  <c r="G7" i="3"/>
  <c r="H24" i="3" s="1"/>
  <c r="I7" i="3"/>
  <c r="Q43" i="3"/>
  <c r="Q45" i="3"/>
  <c r="Q39" i="3"/>
  <c r="I45" i="2"/>
  <c r="I46" i="2" s="1"/>
  <c r="I49" i="2" s="1"/>
  <c r="I75" i="2"/>
  <c r="I76" i="2" s="1"/>
  <c r="Q58" i="2"/>
  <c r="Q41" i="2"/>
  <c r="P55" i="2" s="1"/>
  <c r="P60" i="2" s="1"/>
  <c r="Q47" i="2"/>
  <c r="AC23" i="2"/>
  <c r="AC31" i="2" s="1"/>
  <c r="AC22" i="2"/>
  <c r="AC30" i="2" s="1"/>
  <c r="F64" i="2" s="1"/>
  <c r="AC11" i="2"/>
  <c r="AD8" i="2"/>
  <c r="Q37" i="3" l="1"/>
  <c r="P15" i="1"/>
  <c r="I8" i="6"/>
  <c r="F7" i="3"/>
  <c r="J7" i="6"/>
  <c r="K7" i="3" s="1"/>
  <c r="K36" i="3"/>
  <c r="H60" i="6"/>
  <c r="H84" i="3"/>
  <c r="E80" i="6"/>
  <c r="G55" i="5"/>
  <c r="P14" i="1"/>
  <c r="I8" i="5"/>
  <c r="F6" i="3"/>
  <c r="G19" i="3" s="1"/>
  <c r="J7" i="5"/>
  <c r="K6" i="3" s="1"/>
  <c r="G55" i="6"/>
  <c r="E80" i="4"/>
  <c r="I60" i="5"/>
  <c r="K35" i="3"/>
  <c r="L36" i="3"/>
  <c r="I60" i="6"/>
  <c r="J60" i="5"/>
  <c r="L35" i="3"/>
  <c r="G83" i="3"/>
  <c r="E80" i="5"/>
  <c r="I36" i="3"/>
  <c r="F60" i="6"/>
  <c r="F5" i="3"/>
  <c r="F19" i="3" s="1"/>
  <c r="I8" i="4"/>
  <c r="P13" i="1"/>
  <c r="J7" i="4"/>
  <c r="K5" i="3" s="1"/>
  <c r="J35" i="3"/>
  <c r="H60" i="5"/>
  <c r="F60" i="5"/>
  <c r="H35" i="3"/>
  <c r="F63" i="2"/>
  <c r="F66" i="2" s="1"/>
  <c r="F57" i="3" s="1"/>
  <c r="Q49" i="2"/>
  <c r="AC24" i="2"/>
  <c r="AD21" i="2"/>
  <c r="AC32" i="2"/>
  <c r="AD10" i="2"/>
  <c r="AE8" i="2" s="1"/>
  <c r="AD9" i="2"/>
  <c r="H19" i="3" l="1"/>
  <c r="H53" i="3"/>
  <c r="F69" i="5"/>
  <c r="H65" i="3" s="1"/>
  <c r="J36" i="3"/>
  <c r="Q36" i="3" s="1"/>
  <c r="G60" i="6"/>
  <c r="Q55" i="6"/>
  <c r="J53" i="3"/>
  <c r="H69" i="5"/>
  <c r="J65" i="3" s="1"/>
  <c r="I54" i="3"/>
  <c r="F69" i="6"/>
  <c r="I66" i="3" s="1"/>
  <c r="K53" i="3"/>
  <c r="I69" i="5"/>
  <c r="K65" i="3" s="1"/>
  <c r="I35" i="3"/>
  <c r="Q35" i="3" s="1"/>
  <c r="G60" i="5"/>
  <c r="Q55" i="5"/>
  <c r="L31" i="3"/>
  <c r="K54" i="3"/>
  <c r="H69" i="6"/>
  <c r="K66" i="3" s="1"/>
  <c r="L53" i="3"/>
  <c r="J69" i="5"/>
  <c r="L65" i="3" s="1"/>
  <c r="L54" i="3"/>
  <c r="I69" i="6"/>
  <c r="L66" i="3" s="1"/>
  <c r="F55" i="3"/>
  <c r="J75" i="2"/>
  <c r="J76" i="2" s="1"/>
  <c r="AD23" i="2"/>
  <c r="AE21" i="2" s="1"/>
  <c r="AE23" i="2" s="1"/>
  <c r="AD22" i="2"/>
  <c r="AD30" i="2" s="1"/>
  <c r="AD11" i="2"/>
  <c r="AE10" i="2"/>
  <c r="AE9" i="2"/>
  <c r="I71" i="5" l="1"/>
  <c r="K71" i="3" s="1"/>
  <c r="I71" i="6"/>
  <c r="L72" i="3" s="1"/>
  <c r="H71" i="5"/>
  <c r="J71" i="3" s="1"/>
  <c r="F71" i="6"/>
  <c r="I72" i="3" s="1"/>
  <c r="F71" i="5"/>
  <c r="F79" i="5" s="1"/>
  <c r="L61" i="3"/>
  <c r="H71" i="6"/>
  <c r="K72" i="3" s="1"/>
  <c r="J71" i="5"/>
  <c r="L71" i="3" s="1"/>
  <c r="J54" i="3"/>
  <c r="Q54" i="3" s="1"/>
  <c r="G69" i="6"/>
  <c r="G71" i="6" s="1"/>
  <c r="Q60" i="6"/>
  <c r="L49" i="3"/>
  <c r="I53" i="3"/>
  <c r="Q53" i="3" s="1"/>
  <c r="G69" i="5"/>
  <c r="G71" i="5" s="1"/>
  <c r="Q60" i="5"/>
  <c r="Q65" i="2"/>
  <c r="G64" i="2"/>
  <c r="K75" i="2"/>
  <c r="K76" i="2" s="1"/>
  <c r="AD31" i="2"/>
  <c r="G63" i="2" s="1"/>
  <c r="Q68" i="2"/>
  <c r="AE22" i="2"/>
  <c r="AE30" i="2" s="1"/>
  <c r="H64" i="2" s="1"/>
  <c r="AD24" i="2"/>
  <c r="AE11" i="2"/>
  <c r="AE31" i="2"/>
  <c r="H63" i="2" s="1"/>
  <c r="AF8" i="2"/>
  <c r="AF21" i="2"/>
  <c r="H71" i="3" l="1"/>
  <c r="F79" i="6"/>
  <c r="F80" i="6" s="1"/>
  <c r="L67" i="3"/>
  <c r="I71" i="3"/>
  <c r="Q71" i="5"/>
  <c r="H83" i="3"/>
  <c r="F80" i="5"/>
  <c r="G79" i="5"/>
  <c r="I65" i="3"/>
  <c r="Q65" i="3" s="1"/>
  <c r="Q69" i="5"/>
  <c r="J72" i="3"/>
  <c r="Q72" i="3" s="1"/>
  <c r="Q71" i="6"/>
  <c r="J66" i="3"/>
  <c r="Q66" i="3" s="1"/>
  <c r="Q69" i="6"/>
  <c r="H66" i="2"/>
  <c r="H57" i="3" s="1"/>
  <c r="H55" i="3" s="1"/>
  <c r="G66" i="2"/>
  <c r="G57" i="3" s="1"/>
  <c r="AD32" i="2"/>
  <c r="L75" i="2"/>
  <c r="M75" i="2" s="1"/>
  <c r="M76" i="2" s="1"/>
  <c r="AE24" i="2"/>
  <c r="AE32" i="2"/>
  <c r="AF10" i="2"/>
  <c r="AG8" i="2" s="1"/>
  <c r="AF9" i="2"/>
  <c r="AF23" i="2"/>
  <c r="AF22" i="2"/>
  <c r="G79" i="6" l="1"/>
  <c r="G80" i="6" s="1"/>
  <c r="I84" i="3"/>
  <c r="Q71" i="3"/>
  <c r="G80" i="5"/>
  <c r="I83" i="3"/>
  <c r="H79" i="5"/>
  <c r="G55" i="3"/>
  <c r="N75" i="2"/>
  <c r="O75" i="2" s="1"/>
  <c r="P75" i="2" s="1"/>
  <c r="AF24" i="2"/>
  <c r="AG10" i="2"/>
  <c r="AH8" i="2" s="1"/>
  <c r="AG9" i="2"/>
  <c r="AG21" i="2"/>
  <c r="AF30" i="2"/>
  <c r="I64" i="2" s="1"/>
  <c r="AF11" i="2"/>
  <c r="AF31" i="2"/>
  <c r="I63" i="2" s="1"/>
  <c r="J84" i="3" l="1"/>
  <c r="H79" i="6"/>
  <c r="H80" i="6" s="1"/>
  <c r="H80" i="5"/>
  <c r="J83" i="3"/>
  <c r="I79" i="5"/>
  <c r="I79" i="6"/>
  <c r="I66" i="2"/>
  <c r="I57" i="3" s="1"/>
  <c r="AG23" i="2"/>
  <c r="AG31" i="2" s="1"/>
  <c r="J63" i="2" s="1"/>
  <c r="AG22" i="2"/>
  <c r="AG30" i="2" s="1"/>
  <c r="J64" i="2" s="1"/>
  <c r="AH10" i="2"/>
  <c r="AH9" i="2"/>
  <c r="AF32" i="2"/>
  <c r="AG11" i="2"/>
  <c r="K84" i="3" l="1"/>
  <c r="J79" i="6"/>
  <c r="K79" i="6" s="1"/>
  <c r="L84" i="3"/>
  <c r="I80" i="6"/>
  <c r="J79" i="5"/>
  <c r="C85" i="5" s="1"/>
  <c r="P6" i="3" s="1"/>
  <c r="K83" i="3"/>
  <c r="I80" i="5"/>
  <c r="I55" i="3"/>
  <c r="J66" i="2"/>
  <c r="J57" i="3" s="1"/>
  <c r="J55" i="3" s="1"/>
  <c r="AH21" i="2"/>
  <c r="AH22" i="2" s="1"/>
  <c r="AH30" i="2" s="1"/>
  <c r="K64" i="2" s="1"/>
  <c r="AH11" i="2"/>
  <c r="AI8" i="2"/>
  <c r="AG32" i="2"/>
  <c r="AG24" i="2"/>
  <c r="J80" i="6" l="1"/>
  <c r="K80" i="6" s="1"/>
  <c r="L79" i="6"/>
  <c r="Q84" i="3"/>
  <c r="C84" i="5"/>
  <c r="O6" i="3" s="1"/>
  <c r="L83" i="3"/>
  <c r="J80" i="5"/>
  <c r="K80" i="5" s="1"/>
  <c r="L80" i="5" s="1"/>
  <c r="M80" i="5" s="1"/>
  <c r="N80" i="5" s="1"/>
  <c r="O80" i="5" s="1"/>
  <c r="P80" i="5" s="1"/>
  <c r="Q79" i="5"/>
  <c r="Q57" i="3"/>
  <c r="Q55" i="3"/>
  <c r="AH23" i="2"/>
  <c r="AH31" i="2" s="1"/>
  <c r="K63" i="2" s="1"/>
  <c r="K66" i="2" s="1"/>
  <c r="AI9" i="2"/>
  <c r="AI10" i="2"/>
  <c r="AJ8" i="2" s="1"/>
  <c r="AJ10" i="2" s="1"/>
  <c r="AJ31" i="2" s="1"/>
  <c r="M63" i="2" s="1"/>
  <c r="L80" i="6" l="1"/>
  <c r="M79" i="6"/>
  <c r="L79" i="3"/>
  <c r="Q83" i="3"/>
  <c r="AI21" i="2"/>
  <c r="AI23" i="2" s="1"/>
  <c r="AI31" i="2" s="1"/>
  <c r="L63" i="2" s="1"/>
  <c r="AH24" i="2"/>
  <c r="AH32" i="2"/>
  <c r="AK8" i="2"/>
  <c r="AJ9" i="2"/>
  <c r="AJ11" i="2" s="1"/>
  <c r="AI11" i="2"/>
  <c r="N79" i="6" l="1"/>
  <c r="M80" i="6"/>
  <c r="AI22" i="2"/>
  <c r="AI24" i="2" s="1"/>
  <c r="AJ21" i="2"/>
  <c r="AJ22" i="2" s="1"/>
  <c r="Q63" i="2"/>
  <c r="AK9" i="2"/>
  <c r="AK11" i="2" s="1"/>
  <c r="AL8" i="2"/>
  <c r="N80" i="6" l="1"/>
  <c r="O79" i="6"/>
  <c r="AL9" i="2"/>
  <c r="AL11" i="2" s="1"/>
  <c r="AM8" i="2"/>
  <c r="AM9" i="2" s="1"/>
  <c r="AI30" i="2"/>
  <c r="L64" i="2" s="1"/>
  <c r="L66" i="2" s="1"/>
  <c r="AK21" i="2"/>
  <c r="AL21" i="2" s="1"/>
  <c r="AJ30" i="2"/>
  <c r="M64" i="2" s="1"/>
  <c r="M66" i="2" s="1"/>
  <c r="AJ24" i="2"/>
  <c r="P79" i="6" l="1"/>
  <c r="Q79" i="6" s="1"/>
  <c r="O80" i="6"/>
  <c r="AL22" i="2"/>
  <c r="AL30" i="2" s="1"/>
  <c r="O64" i="2" s="1"/>
  <c r="AM21" i="2"/>
  <c r="AM22" i="2" s="1"/>
  <c r="AM24" i="2" s="1"/>
  <c r="AM11" i="2"/>
  <c r="AI32" i="2"/>
  <c r="AK22" i="2"/>
  <c r="AK30" i="2" s="1"/>
  <c r="N64" i="2" s="1"/>
  <c r="AJ32" i="2"/>
  <c r="P80" i="6" l="1"/>
  <c r="C84" i="6"/>
  <c r="O7" i="3" s="1"/>
  <c r="C85" i="6"/>
  <c r="P7" i="3" s="1"/>
  <c r="AK24" i="2"/>
  <c r="AL24" i="2"/>
  <c r="AM30" i="2"/>
  <c r="O66" i="2"/>
  <c r="O69" i="2"/>
  <c r="N69" i="2"/>
  <c r="N66" i="2"/>
  <c r="AL32" i="2"/>
  <c r="AK32" i="2"/>
  <c r="O71" i="2" l="1"/>
  <c r="N71" i="2"/>
  <c r="AM32" i="2"/>
  <c r="P64" i="2"/>
  <c r="Q64" i="2" s="1"/>
  <c r="P66" i="2" l="1"/>
  <c r="P69" i="2"/>
  <c r="P71" i="2" l="1"/>
  <c r="Q66" i="2"/>
  <c r="H14" i="2"/>
  <c r="I4" i="3" s="1"/>
  <c r="I9" i="3" s="1"/>
  <c r="H13" i="2" l="1"/>
  <c r="E79" i="2" s="1"/>
  <c r="E81" i="3" s="1"/>
  <c r="F55" i="2" l="1"/>
  <c r="E79" i="3"/>
  <c r="J28" i="1"/>
  <c r="H4" i="3"/>
  <c r="H9" i="3" s="1"/>
  <c r="I55" i="2"/>
  <c r="H25" i="2"/>
  <c r="I8" i="2" s="1"/>
  <c r="L55" i="2"/>
  <c r="L60" i="2" s="1"/>
  <c r="M55" i="2"/>
  <c r="M60" i="2" s="1"/>
  <c r="J55" i="2"/>
  <c r="K55" i="2"/>
  <c r="K60" i="2" s="1"/>
  <c r="E85" i="3" l="1"/>
  <c r="E87" i="3" s="1"/>
  <c r="K69" i="2"/>
  <c r="K71" i="2" s="1"/>
  <c r="M69" i="2"/>
  <c r="M71" i="2" s="1"/>
  <c r="L69" i="2"/>
  <c r="L71" i="2" s="1"/>
  <c r="P12" i="1"/>
  <c r="P16" i="1"/>
  <c r="G4" i="3"/>
  <c r="F60" i="2"/>
  <c r="F33" i="3"/>
  <c r="F31" i="3" s="1"/>
  <c r="J60" i="2"/>
  <c r="J33" i="3"/>
  <c r="I60" i="2"/>
  <c r="I33" i="3"/>
  <c r="J51" i="3"/>
  <c r="J7" i="2"/>
  <c r="K4" i="3" s="1"/>
  <c r="F4" i="3"/>
  <c r="E80" i="2"/>
  <c r="H55" i="2"/>
  <c r="Q53" i="2"/>
  <c r="G55" i="2"/>
  <c r="G33" i="3" s="1"/>
  <c r="E115" i="3" l="1"/>
  <c r="E116" i="3"/>
  <c r="E134" i="3" s="1"/>
  <c r="G9" i="3"/>
  <c r="E21" i="3"/>
  <c r="I69" i="2"/>
  <c r="I63" i="3" s="1"/>
  <c r="J69" i="2"/>
  <c r="J63" i="3" s="1"/>
  <c r="F51" i="3"/>
  <c r="F49" i="3" s="1"/>
  <c r="H60" i="2"/>
  <c r="H33" i="3"/>
  <c r="Q33" i="3" s="1"/>
  <c r="F69" i="2"/>
  <c r="F63" i="3" s="1"/>
  <c r="F61" i="3" s="1"/>
  <c r="I51" i="3"/>
  <c r="F9" i="3"/>
  <c r="Q19" i="3"/>
  <c r="Q55" i="2"/>
  <c r="G60" i="2"/>
  <c r="E117" i="3" l="1"/>
  <c r="F113" i="3" s="1"/>
  <c r="F114" i="3" s="1"/>
  <c r="E119" i="3"/>
  <c r="E120" i="3" s="1"/>
  <c r="E133" i="3"/>
  <c r="F71" i="2"/>
  <c r="F79" i="2" s="1"/>
  <c r="J71" i="2"/>
  <c r="J69" i="3" s="1"/>
  <c r="H69" i="2"/>
  <c r="H63" i="3" s="1"/>
  <c r="I71" i="2"/>
  <c r="I69" i="3" s="1"/>
  <c r="H51" i="3"/>
  <c r="G69" i="2"/>
  <c r="G63" i="3" s="1"/>
  <c r="G51" i="3"/>
  <c r="Q60" i="2"/>
  <c r="E135" i="3" l="1"/>
  <c r="E122" i="3" s="1"/>
  <c r="E123" i="3" s="1"/>
  <c r="F69" i="3"/>
  <c r="F67" i="3" s="1"/>
  <c r="H71" i="2"/>
  <c r="H69" i="3" s="1"/>
  <c r="G71" i="2"/>
  <c r="G69" i="3" s="1"/>
  <c r="Q69" i="2"/>
  <c r="Q51" i="3"/>
  <c r="Q63" i="3"/>
  <c r="E136" i="3" l="1"/>
  <c r="F131" i="3" s="1"/>
  <c r="F132" i="3" s="1"/>
  <c r="E138" i="3"/>
  <c r="E139" i="3" s="1"/>
  <c r="F81" i="3"/>
  <c r="F79" i="3" s="1"/>
  <c r="F80" i="2"/>
  <c r="G79" i="2"/>
  <c r="H79" i="2" s="1"/>
  <c r="I79" i="2" s="1"/>
  <c r="Q71" i="2"/>
  <c r="J79" i="2"/>
  <c r="K79" i="2" s="1"/>
  <c r="L79" i="2" s="1"/>
  <c r="M79" i="2" s="1"/>
  <c r="N79" i="2" s="1"/>
  <c r="O79" i="2" s="1"/>
  <c r="P79" i="2" s="1"/>
  <c r="Q69" i="3"/>
  <c r="F87" i="3" l="1"/>
  <c r="E141" i="3"/>
  <c r="E142" i="3" s="1"/>
  <c r="G81" i="3"/>
  <c r="G80" i="2"/>
  <c r="H80" i="2" s="1"/>
  <c r="J81" i="3"/>
  <c r="H81" i="3"/>
  <c r="F116" i="3" l="1"/>
  <c r="F134" i="3" s="1"/>
  <c r="F115" i="3"/>
  <c r="I81" i="3"/>
  <c r="Q81" i="3" s="1"/>
  <c r="I80" i="2"/>
  <c r="J80" i="2" s="1"/>
  <c r="F133" i="3" l="1"/>
  <c r="F117" i="3"/>
  <c r="G113" i="3" s="1"/>
  <c r="F119" i="3"/>
  <c r="G114" i="3"/>
  <c r="K80" i="2"/>
  <c r="F135" i="3" l="1"/>
  <c r="F122" i="3" s="1"/>
  <c r="F120" i="3"/>
  <c r="L80" i="2"/>
  <c r="F123" i="3" l="1"/>
  <c r="F138" i="3"/>
  <c r="F136" i="3"/>
  <c r="G131" i="3" s="1"/>
  <c r="G132" i="3" s="1"/>
  <c r="M80" i="2"/>
  <c r="N80" i="2" s="1"/>
  <c r="F141" i="3" l="1"/>
  <c r="F142" i="3" s="1"/>
  <c r="F139" i="3"/>
  <c r="O80" i="2"/>
  <c r="C84" i="2" l="1"/>
  <c r="O4" i="3" s="1"/>
  <c r="P80" i="2"/>
  <c r="Q79" i="2"/>
  <c r="C85" i="2"/>
  <c r="P4" i="3" s="1"/>
  <c r="F55" i="4" l="1"/>
  <c r="G55" i="4"/>
  <c r="G60" i="4" l="1"/>
  <c r="H34" i="3"/>
  <c r="H31" i="3" s="1"/>
  <c r="F60" i="4"/>
  <c r="G34" i="3"/>
  <c r="H55" i="4"/>
  <c r="G52" i="3" l="1"/>
  <c r="G49" i="3" s="1"/>
  <c r="G69" i="4"/>
  <c r="H64" i="3" s="1"/>
  <c r="H61" i="3" s="1"/>
  <c r="H52" i="3"/>
  <c r="H49" i="3" s="1"/>
  <c r="F69" i="4"/>
  <c r="G64" i="3" s="1"/>
  <c r="G61" i="3" s="1"/>
  <c r="G31" i="3"/>
  <c r="H60" i="4"/>
  <c r="I34" i="3"/>
  <c r="I31" i="3" s="1"/>
  <c r="J55" i="4"/>
  <c r="I55" i="4"/>
  <c r="I52" i="3" l="1"/>
  <c r="I49" i="3" s="1"/>
  <c r="G71" i="4"/>
  <c r="H70" i="3" s="1"/>
  <c r="H67" i="3" s="1"/>
  <c r="F71" i="4"/>
  <c r="F79" i="4" s="1"/>
  <c r="G79" i="4" s="1"/>
  <c r="H69" i="4"/>
  <c r="I64" i="3" s="1"/>
  <c r="I61" i="3" s="1"/>
  <c r="J60" i="4"/>
  <c r="K34" i="3"/>
  <c r="K31" i="3" s="1"/>
  <c r="I60" i="4"/>
  <c r="J34" i="3"/>
  <c r="J31" i="3" s="1"/>
  <c r="G70" i="3" l="1"/>
  <c r="G67" i="3" s="1"/>
  <c r="K52" i="3"/>
  <c r="K49" i="3" s="1"/>
  <c r="H71" i="4"/>
  <c r="I70" i="3" s="1"/>
  <c r="I67" i="3" s="1"/>
  <c r="H82" i="3"/>
  <c r="H79" i="3" s="1"/>
  <c r="G82" i="3"/>
  <c r="G79" i="3" s="1"/>
  <c r="F80" i="4"/>
  <c r="G80" i="4" s="1"/>
  <c r="Q31" i="3"/>
  <c r="I69" i="4"/>
  <c r="J64" i="3" s="1"/>
  <c r="J52" i="3"/>
  <c r="J69" i="4"/>
  <c r="K64" i="3" s="1"/>
  <c r="K61" i="3" s="1"/>
  <c r="Q34" i="3"/>
  <c r="H85" i="3" l="1"/>
  <c r="H87" i="3" s="1"/>
  <c r="H115" i="3" s="1"/>
  <c r="H133" i="3" s="1"/>
  <c r="G85" i="3"/>
  <c r="H79" i="4"/>
  <c r="H80" i="4" s="1"/>
  <c r="I71" i="4"/>
  <c r="J70" i="3" s="1"/>
  <c r="J71" i="4"/>
  <c r="K70" i="3" s="1"/>
  <c r="K67" i="3" s="1"/>
  <c r="J49" i="3"/>
  <c r="Q49" i="3" s="1"/>
  <c r="Q52" i="3"/>
  <c r="J61" i="3"/>
  <c r="Q61" i="3" s="1"/>
  <c r="Q64" i="3"/>
  <c r="L55" i="4"/>
  <c r="L60" i="4" s="1"/>
  <c r="K55" i="4"/>
  <c r="G87" i="3" l="1"/>
  <c r="I82" i="3"/>
  <c r="I79" i="3" s="1"/>
  <c r="I79" i="4"/>
  <c r="J82" i="3" s="1"/>
  <c r="J79" i="3" s="1"/>
  <c r="J67" i="3"/>
  <c r="Q67" i="3" s="1"/>
  <c r="Q70" i="3"/>
  <c r="M55" i="4"/>
  <c r="M60" i="4" s="1"/>
  <c r="K60" i="4"/>
  <c r="L69" i="4"/>
  <c r="L71" i="4" s="1"/>
  <c r="J85" i="3" l="1"/>
  <c r="J87" i="3" s="1"/>
  <c r="J115" i="3" s="1"/>
  <c r="J133" i="3" s="1"/>
  <c r="I85" i="3"/>
  <c r="G115" i="3"/>
  <c r="G116" i="3"/>
  <c r="J79" i="4"/>
  <c r="K82" i="3" s="1"/>
  <c r="K79" i="3" s="1"/>
  <c r="O85" i="3" s="1"/>
  <c r="O87" i="3" s="1"/>
  <c r="I80" i="4"/>
  <c r="N55" i="4"/>
  <c r="N60" i="4" s="1"/>
  <c r="M69" i="4"/>
  <c r="M71" i="4" s="1"/>
  <c r="K69" i="4"/>
  <c r="K71" i="4" s="1"/>
  <c r="C98" i="3" l="1"/>
  <c r="C97" i="3"/>
  <c r="M85" i="3"/>
  <c r="M87" i="3" s="1"/>
  <c r="P85" i="3"/>
  <c r="P87" i="3" s="1"/>
  <c r="I87" i="3"/>
  <c r="K85" i="3"/>
  <c r="K87" i="3" s="1"/>
  <c r="K115" i="3" s="1"/>
  <c r="K133" i="3" s="1"/>
  <c r="L85" i="3"/>
  <c r="L87" i="3" s="1"/>
  <c r="L115" i="3" s="1"/>
  <c r="L133" i="3" s="1"/>
  <c r="G119" i="3"/>
  <c r="G134" i="3"/>
  <c r="G133" i="3"/>
  <c r="G117" i="3"/>
  <c r="H113" i="3" s="1"/>
  <c r="H114" i="3" s="1"/>
  <c r="H116" i="3" s="1"/>
  <c r="H119" i="3" s="1"/>
  <c r="H120" i="3" s="1"/>
  <c r="N85" i="3"/>
  <c r="N87" i="3" s="1"/>
  <c r="Q82" i="3"/>
  <c r="J80" i="4"/>
  <c r="K80" i="4" s="1"/>
  <c r="Q79" i="3"/>
  <c r="O55" i="4"/>
  <c r="O60" i="4" s="1"/>
  <c r="N69" i="4"/>
  <c r="N71" i="4" s="1"/>
  <c r="C102" i="3" l="1"/>
  <c r="D102" i="3" s="1"/>
  <c r="C92" i="3"/>
  <c r="H117" i="3"/>
  <c r="I113" i="3" s="1"/>
  <c r="I114" i="3" s="1"/>
  <c r="I116" i="3" s="1"/>
  <c r="H134" i="3"/>
  <c r="Q85" i="3"/>
  <c r="G120" i="3"/>
  <c r="G135" i="3"/>
  <c r="I115" i="3"/>
  <c r="I133" i="3" s="1"/>
  <c r="C101" i="3"/>
  <c r="D101" i="3" s="1"/>
  <c r="Q87" i="3"/>
  <c r="L80" i="4"/>
  <c r="M80" i="4" s="1"/>
  <c r="O69" i="4"/>
  <c r="O71" i="4" s="1"/>
  <c r="P55" i="4"/>
  <c r="Q49" i="4"/>
  <c r="I119" i="3" l="1"/>
  <c r="I120" i="3" s="1"/>
  <c r="G122" i="3"/>
  <c r="G136" i="3"/>
  <c r="H131" i="3" s="1"/>
  <c r="H132" i="3" s="1"/>
  <c r="H135" i="3" s="1"/>
  <c r="H122" i="3" s="1"/>
  <c r="I117" i="3"/>
  <c r="J113" i="3" s="1"/>
  <c r="J114" i="3" s="1"/>
  <c r="I134" i="3"/>
  <c r="N80" i="4"/>
  <c r="O80" i="4" s="1"/>
  <c r="P60" i="4"/>
  <c r="Q55" i="4"/>
  <c r="H136" i="3" l="1"/>
  <c r="I131" i="3" s="1"/>
  <c r="G138" i="3"/>
  <c r="G123" i="3"/>
  <c r="H123" i="3"/>
  <c r="J116" i="3"/>
  <c r="J119" i="3" s="1"/>
  <c r="J120" i="3" s="1"/>
  <c r="I132" i="3"/>
  <c r="I135" i="3" s="1"/>
  <c r="H138" i="3"/>
  <c r="H139" i="3" s="1"/>
  <c r="P69" i="4"/>
  <c r="Q69" i="4" s="1"/>
  <c r="Q60" i="4"/>
  <c r="G139" i="3" l="1"/>
  <c r="G141" i="3"/>
  <c r="G142" i="3" s="1"/>
  <c r="J117" i="3"/>
  <c r="K113" i="3" s="1"/>
  <c r="K114" i="3" s="1"/>
  <c r="J134" i="3"/>
  <c r="I136" i="3"/>
  <c r="J131" i="3" s="1"/>
  <c r="J132" i="3" s="1"/>
  <c r="J135" i="3" s="1"/>
  <c r="J122" i="3" s="1"/>
  <c r="I122" i="3"/>
  <c r="I138" i="3" s="1"/>
  <c r="I139" i="3" s="1"/>
  <c r="H141" i="3"/>
  <c r="H142" i="3" s="1"/>
  <c r="P71" i="4"/>
  <c r="Q71" i="4" s="1"/>
  <c r="P80" i="4"/>
  <c r="C84" i="4"/>
  <c r="O5" i="3" s="1"/>
  <c r="C85" i="4"/>
  <c r="P5" i="3" s="1"/>
  <c r="Q79" i="4"/>
  <c r="I123" i="3" l="1"/>
  <c r="J123" i="3"/>
  <c r="K116" i="3"/>
  <c r="K119" i="3" s="1"/>
  <c r="K120" i="3" s="1"/>
  <c r="J136" i="3"/>
  <c r="K131" i="3" s="1"/>
  <c r="I141" i="3"/>
  <c r="I142" i="3" s="1"/>
  <c r="J138" i="3"/>
  <c r="J139" i="3" s="1"/>
  <c r="K117" i="3" l="1"/>
  <c r="L113" i="3" s="1"/>
  <c r="K134" i="3"/>
  <c r="K132" i="3"/>
  <c r="K135" i="3" s="1"/>
  <c r="K122" i="3" s="1"/>
  <c r="J141" i="3"/>
  <c r="J142" i="3" s="1"/>
  <c r="L114" i="3"/>
  <c r="K123" i="3" l="1"/>
  <c r="L116" i="3"/>
  <c r="L119" i="3" s="1"/>
  <c r="L120" i="3" s="1"/>
  <c r="K136" i="3"/>
  <c r="L131" i="3" s="1"/>
  <c r="L132" i="3" s="1"/>
  <c r="K138" i="3"/>
  <c r="K139" i="3" s="1"/>
  <c r="L117" i="3" l="1"/>
  <c r="L134" i="3"/>
  <c r="L135" i="3"/>
  <c r="L122" i="3" s="1"/>
  <c r="K141" i="3"/>
  <c r="K142" i="3" s="1"/>
  <c r="B121" i="3"/>
  <c r="L123" i="3" l="1"/>
  <c r="L138" i="3"/>
  <c r="L136" i="3"/>
  <c r="L139" i="3" l="1"/>
  <c r="B140" i="3" s="1"/>
  <c r="L141" i="3"/>
  <c r="L142" i="3" l="1"/>
  <c r="C146" i="3" s="1"/>
  <c r="D146" i="3" s="1"/>
  <c r="C145" i="3" l="1"/>
  <c r="D145" i="3" s="1"/>
</calcChain>
</file>

<file path=xl/sharedStrings.xml><?xml version="1.0" encoding="utf-8"?>
<sst xmlns="http://schemas.openxmlformats.org/spreadsheetml/2006/main" count="566" uniqueCount="174">
  <si>
    <t xml:space="preserve">Fund Model </t>
  </si>
  <si>
    <t>Equity</t>
  </si>
  <si>
    <t xml:space="preserve">Structure </t>
  </si>
  <si>
    <t>Acquisition Fee</t>
  </si>
  <si>
    <t>AAM Fees</t>
  </si>
  <si>
    <t xml:space="preserve">GP Promote </t>
  </si>
  <si>
    <t>First Hurdle</t>
  </si>
  <si>
    <t>First Promote</t>
  </si>
  <si>
    <t>Second Hurdle</t>
  </si>
  <si>
    <t>Second Promote</t>
  </si>
  <si>
    <t xml:space="preserve">Debt </t>
  </si>
  <si>
    <t xml:space="preserve">AAM Equity </t>
  </si>
  <si>
    <t xml:space="preserve">DEALS </t>
  </si>
  <si>
    <t xml:space="preserve">Period </t>
  </si>
  <si>
    <t>Hold</t>
  </si>
  <si>
    <t>Deal snapshot</t>
  </si>
  <si>
    <t>Size</t>
  </si>
  <si>
    <t xml:space="preserve">Occupancy at acquisition </t>
  </si>
  <si>
    <t xml:space="preserve">rent at acquisition </t>
  </si>
  <si>
    <t xml:space="preserve">Rent per sm </t>
  </si>
  <si>
    <t xml:space="preserve">WALT </t>
  </si>
  <si>
    <t xml:space="preserve">Charges per sm </t>
  </si>
  <si>
    <t xml:space="preserve">Capex per sm </t>
  </si>
  <si>
    <t>Capex period</t>
  </si>
  <si>
    <t>Capex Debt</t>
  </si>
  <si>
    <t xml:space="preserve">Stabilized occupancy rate </t>
  </si>
  <si>
    <t>Rental Index</t>
  </si>
  <si>
    <t xml:space="preserve">Vacancy period after capex </t>
  </si>
  <si>
    <t xml:space="preserve">Rent Free period </t>
  </si>
  <si>
    <t xml:space="preserve">Exit Yield </t>
  </si>
  <si>
    <t>Uses</t>
  </si>
  <si>
    <t>Purchase Price</t>
  </si>
  <si>
    <t>Closing Costs</t>
  </si>
  <si>
    <t>Debt Fees</t>
  </si>
  <si>
    <t>Total Uses</t>
  </si>
  <si>
    <t>Sources</t>
  </si>
  <si>
    <t>Equity - AAM</t>
  </si>
  <si>
    <t>Total Sources</t>
  </si>
  <si>
    <t xml:space="preserve">Sources &amp; Uses </t>
  </si>
  <si>
    <t>Debt Assumptions</t>
  </si>
  <si>
    <t xml:space="preserve">Capex </t>
  </si>
  <si>
    <t xml:space="preserve">Capex Debt </t>
  </si>
  <si>
    <t>Acquisition Debt</t>
  </si>
  <si>
    <t xml:space="preserve">Margin </t>
  </si>
  <si>
    <t xml:space="preserve">Amortization </t>
  </si>
  <si>
    <t xml:space="preserve">Terms </t>
  </si>
  <si>
    <t>Drawdown</t>
  </si>
  <si>
    <t>Nominal solde</t>
  </si>
  <si>
    <t xml:space="preserve">Interest </t>
  </si>
  <si>
    <t>Nominal Amort</t>
  </si>
  <si>
    <t xml:space="preserve">TOTAL PAYMENT </t>
  </si>
  <si>
    <t>TOTAL interest</t>
  </si>
  <si>
    <t>TOTAL Amort</t>
  </si>
  <si>
    <t>CAPEX Debt</t>
  </si>
  <si>
    <t>GROSS Rental income</t>
  </si>
  <si>
    <t xml:space="preserve">Non reimbursable operating expenses </t>
  </si>
  <si>
    <t>Net Leasing Income</t>
  </si>
  <si>
    <t>Leasing commissions</t>
  </si>
  <si>
    <t>Administrative fees</t>
  </si>
  <si>
    <t>NOI</t>
  </si>
  <si>
    <t>Capex</t>
  </si>
  <si>
    <t>Operating Free Cash Flow</t>
  </si>
  <si>
    <t>Amortisation</t>
  </si>
  <si>
    <t>Interest</t>
  </si>
  <si>
    <t>Financing cash flows</t>
  </si>
  <si>
    <t xml:space="preserve">Income Tax </t>
  </si>
  <si>
    <t>Levered cash flow</t>
  </si>
  <si>
    <t xml:space="preserve">Capex Loan </t>
  </si>
  <si>
    <t xml:space="preserve">Capex Starts </t>
  </si>
  <si>
    <t>Lease starts</t>
  </si>
  <si>
    <t>rf ends</t>
  </si>
  <si>
    <t>after capex</t>
  </si>
  <si>
    <t>before capex</t>
  </si>
  <si>
    <t xml:space="preserve">occupancy </t>
  </si>
  <si>
    <t>D&amp;A</t>
  </si>
  <si>
    <t>Asset D&amp;A</t>
  </si>
  <si>
    <t>Years</t>
  </si>
  <si>
    <t xml:space="preserve">Land </t>
  </si>
  <si>
    <t>Building</t>
  </si>
  <si>
    <t xml:space="preserve">Date </t>
  </si>
  <si>
    <t>Total</t>
  </si>
  <si>
    <t xml:space="preserve">Selling price of the project </t>
  </si>
  <si>
    <t xml:space="preserve">Cumulative CF </t>
  </si>
  <si>
    <t>Year (deal)</t>
  </si>
  <si>
    <t>Year (JV)</t>
  </si>
  <si>
    <t xml:space="preserve">Levered IRR </t>
  </si>
  <si>
    <t xml:space="preserve">Levered Profit Multiple </t>
  </si>
  <si>
    <t xml:space="preserve">Investment 1 </t>
  </si>
  <si>
    <t xml:space="preserve">Stabilized Development Yield : </t>
  </si>
  <si>
    <t xml:space="preserve">Equity </t>
  </si>
  <si>
    <t>Investment 1</t>
  </si>
  <si>
    <t>Project Return &amp; IRR</t>
  </si>
  <si>
    <t>TOTAL Levered post-tax cash flow</t>
  </si>
  <si>
    <t>Selling Costs</t>
  </si>
  <si>
    <t>Tax</t>
  </si>
  <si>
    <t xml:space="preserve">New proposed Rent per sm </t>
  </si>
  <si>
    <t>Acquisition Date</t>
  </si>
  <si>
    <t xml:space="preserve">Charges indexation </t>
  </si>
  <si>
    <t>Acquisition</t>
  </si>
  <si>
    <t xml:space="preserve">(-)NAV </t>
  </si>
  <si>
    <t>Investment 2</t>
  </si>
  <si>
    <t>Rent Free</t>
  </si>
  <si>
    <t>Total RF</t>
  </si>
  <si>
    <t>dist1</t>
  </si>
  <si>
    <t>dist2</t>
  </si>
  <si>
    <t>dist3</t>
  </si>
  <si>
    <t>Investment 3</t>
  </si>
  <si>
    <t>SM price at acquisition</t>
  </si>
  <si>
    <t xml:space="preserve">At Exit </t>
  </si>
  <si>
    <t xml:space="preserve">Total </t>
  </si>
  <si>
    <t>Investment 4</t>
  </si>
  <si>
    <t>Start</t>
  </si>
  <si>
    <t xml:space="preserve">End </t>
  </si>
  <si>
    <t xml:space="preserve">All in cost </t>
  </si>
  <si>
    <t xml:space="preserve">Dev Yield </t>
  </si>
  <si>
    <t xml:space="preserve">Exit yield </t>
  </si>
  <si>
    <t xml:space="preserve">Rent at acquisition </t>
  </si>
  <si>
    <t xml:space="preserve">Rent at exit </t>
  </si>
  <si>
    <t>Levered IIR</t>
  </si>
  <si>
    <t xml:space="preserve">Multiple </t>
  </si>
  <si>
    <t>Exit Year (Deal)</t>
  </si>
  <si>
    <t>Exit Year (JV)</t>
  </si>
  <si>
    <t>Inv 1</t>
  </si>
  <si>
    <t>Inv 2</t>
  </si>
  <si>
    <t>Inv 3</t>
  </si>
  <si>
    <t>Inv 4</t>
  </si>
  <si>
    <t>Gross Rental Income</t>
  </si>
  <si>
    <t xml:space="preserve">NOI </t>
  </si>
  <si>
    <t>Financing CF</t>
  </si>
  <si>
    <t>Levered CF</t>
  </si>
  <si>
    <t xml:space="preserve">Selling Price </t>
  </si>
  <si>
    <t>Total Levered post tax CF</t>
  </si>
  <si>
    <t xml:space="preserve">total </t>
  </si>
  <si>
    <t>Date</t>
  </si>
  <si>
    <t>Inv</t>
  </si>
  <si>
    <t xml:space="preserve">Project Summary </t>
  </si>
  <si>
    <t>rent at exit</t>
  </si>
  <si>
    <t>rent at Exit</t>
  </si>
  <si>
    <t xml:space="preserve">rent at Exit </t>
  </si>
  <si>
    <t xml:space="preserve">LTV </t>
  </si>
  <si>
    <t xml:space="preserve">LTC </t>
  </si>
  <si>
    <t>Equity - LP</t>
  </si>
  <si>
    <t xml:space="preserve">LP Equity </t>
  </si>
  <si>
    <t>Begining Balance</t>
  </si>
  <si>
    <t xml:space="preserve">Accrual </t>
  </si>
  <si>
    <t>Contribution</t>
  </si>
  <si>
    <t xml:space="preserve">Distribution </t>
  </si>
  <si>
    <t>End Balance</t>
  </si>
  <si>
    <t>Remaining CF</t>
  </si>
  <si>
    <t xml:space="preserve">LP Check </t>
  </si>
  <si>
    <t xml:space="preserve">Promote </t>
  </si>
  <si>
    <t>Post Promote CF</t>
  </si>
  <si>
    <t>Equity spent</t>
  </si>
  <si>
    <t xml:space="preserve">Acquisition </t>
  </si>
  <si>
    <t xml:space="preserve">Beginning Balance </t>
  </si>
  <si>
    <t>Accrual</t>
  </si>
  <si>
    <t xml:space="preserve">Contributions </t>
  </si>
  <si>
    <t xml:space="preserve">Prior Distributions </t>
  </si>
  <si>
    <t xml:space="preserve">Distributions </t>
  </si>
  <si>
    <t xml:space="preserve">End Balance </t>
  </si>
  <si>
    <t xml:space="preserve">Remaining Cash Flow </t>
  </si>
  <si>
    <t>Promote</t>
  </si>
  <si>
    <t>AM Fee</t>
  </si>
  <si>
    <t>Total Levered post tax CF pre fees</t>
  </si>
  <si>
    <t>AM Fees</t>
  </si>
  <si>
    <t xml:space="preserve">Acquisition Equity </t>
  </si>
  <si>
    <t xml:space="preserve">Levered post AM fee Profit Multiple </t>
  </si>
  <si>
    <t xml:space="preserve">Levered post AM fee IRR  </t>
  </si>
  <si>
    <t>Gross Levered fee IRR</t>
  </si>
  <si>
    <t xml:space="preserve">Gorss Levered Profit Multiple </t>
  </si>
  <si>
    <t>Post Promote Levered IRR</t>
  </si>
  <si>
    <t xml:space="preserve">Post Promote Levered Multiple </t>
  </si>
  <si>
    <t xml:space="preserve"> - 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</si>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</sst>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164" formatCode="_-* #,##0.00\ &quot;€&quot;_-;\-* #,##0.00\ &quot;€&quot;_-;_-* &quot;-&quot;??\ &quot;€&quot;_-;_-@_-"/>
    <numFmt numFmtId="165" formatCode="_-* #,##0\ _€_-;\-* #,##0\ _€_-;_-* &quot;-&quot;\ _€_-;_-@_-"/>
    <numFmt numFmtId="166" formatCode="_-* #,##0.00\ _€_-;\-* #,##0.00\ _€_-;_-* &quot;-&quot;??\ _€_-;_-@_-"/>
    <numFmt numFmtId="167" formatCode="&quot;Yr&quot;\ 0"/>
    <numFmt numFmtId="168" formatCode="0\ &quot;Yrs&quot;"/>
    <numFmt numFmtId="169" formatCode="0&quot; sm&quot;"/>
    <numFmt numFmtId="170" formatCode="0\ &quot;months&quot;"/>
    <numFmt numFmtId="171" formatCode="0.0%"/>
    <numFmt numFmtId="172" formatCode="_-* #,##0\ _€_-;\-* #,##0\ _€_-;_-* &quot;-&quot;??\ _€_-;_-@_-"/>
    <numFmt numFmtId="173" formatCode="_(* #,##0_);_(* \(#,##0\);_(* &quot;-&quot;??_);_(@_)"/>
    <numFmt numFmtId="174" formatCode="0.00\x"/>
    <numFmt numFmtId="175" formatCode="&quot;On Acquisition price  &quot;0.00%&quot;&quot;"/>
    <numFmt numFmtId="176" formatCode="0.0000000%"/>
    <numFmt numFmtId="177" formatCode="_-* #,##0.00_-;\-* #,##0.00_-;_-* &quot;-&quot;??_-;_-@_-"/>
    <numFmt numFmtId="178" formatCode="_-&quot;$&quot;* #,##0.00_-;\-&quot;$&quot;* #,##0.00_-;_-&quot;$&quot;* &quot;-&quot;??_-;_-@_-"/>
    <numFmt numFmtId="179" formatCode="&quot;On outstanding equity  &quot;0.00%&quot;&quot;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Lucida Fax"/>
      <family val="1"/>
    </font>
    <font>
      <i/>
      <sz val="16"/>
      <color theme="1"/>
      <name val="Lucida Fax"/>
      <family val="1"/>
    </font>
    <font>
      <sz val="10"/>
      <name val="wachovia fg"/>
    </font>
    <font>
      <b/>
      <sz val="10"/>
      <name val="Lucida Fax"/>
      <family val="1"/>
    </font>
    <font>
      <sz val="11"/>
      <color rgb="FF0000FF"/>
      <name val="Lucida Fax"/>
      <family val="1"/>
    </font>
    <font>
      <sz val="10"/>
      <name val="Lucida Fax"/>
      <family val="1"/>
    </font>
    <font>
      <sz val="10"/>
      <color theme="1"/>
      <name val="Lucida Fax"/>
      <family val="1"/>
    </font>
    <font>
      <sz val="9"/>
      <color theme="1"/>
      <name val="Lucida Fax"/>
      <family val="1"/>
    </font>
    <font>
      <sz val="10"/>
      <color rgb="FF0000FF"/>
      <name val="Lucida Fax"/>
      <family val="1"/>
    </font>
    <font>
      <sz val="10"/>
      <color rgb="FF0000FF"/>
      <name val="Garamond"/>
      <family val="1"/>
    </font>
    <font>
      <i/>
      <sz val="12"/>
      <name val="Lucida Fax"/>
      <family val="1"/>
    </font>
    <font>
      <b/>
      <sz val="10"/>
      <color theme="1"/>
      <name val="Lucida Fax"/>
      <family val="1"/>
    </font>
    <font>
      <b/>
      <sz val="11"/>
      <color theme="1"/>
      <name val="Lucida Fax"/>
      <family val="1"/>
    </font>
    <font>
      <sz val="9"/>
      <color rgb="FF0000FF"/>
      <name val="Lucida Fax"/>
      <family val="1"/>
    </font>
    <font>
      <i/>
      <sz val="10"/>
      <color theme="1"/>
      <name val="Lucida Fax"/>
      <family val="1"/>
    </font>
    <font>
      <b/>
      <i/>
      <sz val="10"/>
      <color theme="1"/>
      <name val="Lucida Fax"/>
      <family val="1"/>
    </font>
    <font>
      <b/>
      <sz val="12"/>
      <color theme="1"/>
      <name val="Lucida Fax"/>
      <family val="1"/>
    </font>
    <font>
      <b/>
      <sz val="10"/>
      <color rgb="FF0000FF"/>
      <name val="Lucida Fax"/>
      <family val="1"/>
    </font>
    <font>
      <sz val="11"/>
      <color theme="9"/>
      <name val="Lucida Fax"/>
      <family val="1"/>
    </font>
    <font>
      <sz val="10"/>
      <color theme="9" tint="-0.249977111117893"/>
      <name val="Lucida Fax"/>
      <family val="1"/>
    </font>
    <font>
      <b/>
      <sz val="10"/>
      <color theme="9" tint="-0.249977111117893"/>
      <name val="Garamond"/>
      <family val="1"/>
    </font>
    <font>
      <u/>
      <sz val="16"/>
      <color theme="1"/>
      <name val="Lucida Fax"/>
      <family val="1"/>
    </font>
    <font>
      <sz val="12"/>
      <color theme="1"/>
      <name val="Lucida Fax"/>
      <family val="1"/>
    </font>
    <font>
      <sz val="12"/>
      <color theme="2" tint="-0.89999084444715716"/>
      <name val="Lucida Fax"/>
      <family val="1"/>
    </font>
    <font>
      <b/>
      <sz val="9"/>
      <color theme="1"/>
      <name val="Lucida Fax"/>
      <family val="1"/>
    </font>
    <font>
      <sz val="10"/>
      <color theme="1"/>
      <name val="Calibri"/>
      <family val="2"/>
      <scheme val="minor"/>
    </font>
    <font>
      <b/>
      <sz val="10"/>
      <color rgb="FFFF0000"/>
      <name val="Lucida Fax"/>
      <family val="1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</cellStyleXfs>
  <cellXfs count="287">
    <xf numFmtId="0" fontId="0" fillId="0" borderId="0" xfId="0"/>
    <xf numFmtId="0" fontId="2" fillId="0" borderId="0" xfId="0" applyFont="1"/>
    <xf numFmtId="0" fontId="2" fillId="0" borderId="0" xfId="0" applyFont="1" applyBorder="1"/>
    <xf numFmtId="0" fontId="2" fillId="0" borderId="4" xfId="0" applyFont="1" applyBorder="1"/>
    <xf numFmtId="0" fontId="2" fillId="0" borderId="5" xfId="0" applyFont="1" applyBorder="1"/>
    <xf numFmtId="0" fontId="8" fillId="0" borderId="0" xfId="0" applyFont="1"/>
    <xf numFmtId="9" fontId="2" fillId="0" borderId="0" xfId="0" applyNumberFormat="1" applyFont="1" applyBorder="1"/>
    <xf numFmtId="0" fontId="9" fillId="0" borderId="0" xfId="0" applyFont="1" applyBorder="1"/>
    <xf numFmtId="9" fontId="10" fillId="0" borderId="0" xfId="3" applyFont="1" applyBorder="1"/>
    <xf numFmtId="168" fontId="11" fillId="0" borderId="0" xfId="0" applyNumberFormat="1" applyFont="1" applyBorder="1"/>
    <xf numFmtId="167" fontId="11" fillId="0" borderId="5" xfId="0" applyNumberFormat="1" applyFont="1" applyBorder="1" applyAlignment="1">
      <alignment horizontal="center"/>
    </xf>
    <xf numFmtId="0" fontId="2" fillId="0" borderId="6" xfId="0" applyFont="1" applyBorder="1"/>
    <xf numFmtId="0" fontId="7" fillId="0" borderId="5" xfId="4" applyFont="1" applyBorder="1"/>
    <xf numFmtId="0" fontId="7" fillId="0" borderId="5" xfId="4" applyFont="1" applyFill="1" applyBorder="1"/>
    <xf numFmtId="169" fontId="10" fillId="0" borderId="4" xfId="1" applyNumberFormat="1" applyFont="1" applyBorder="1"/>
    <xf numFmtId="10" fontId="10" fillId="0" borderId="4" xfId="3" applyNumberFormat="1" applyFont="1" applyBorder="1"/>
    <xf numFmtId="165" fontId="10" fillId="0" borderId="4" xfId="2" applyNumberFormat="1" applyFont="1" applyBorder="1"/>
    <xf numFmtId="170" fontId="10" fillId="0" borderId="4" xfId="0" applyNumberFormat="1" applyFont="1" applyBorder="1"/>
    <xf numFmtId="9" fontId="10" fillId="0" borderId="4" xfId="3" applyFont="1" applyBorder="1"/>
    <xf numFmtId="37" fontId="7" fillId="0" borderId="0" xfId="4" applyNumberFormat="1" applyFont="1" applyBorder="1" applyAlignment="1">
      <alignment horizontal="left"/>
    </xf>
    <xf numFmtId="0" fontId="2" fillId="0" borderId="1" xfId="0" applyFont="1" applyBorder="1"/>
    <xf numFmtId="172" fontId="2" fillId="0" borderId="0" xfId="0" applyNumberFormat="1" applyFont="1"/>
    <xf numFmtId="37" fontId="5" fillId="0" borderId="14" xfId="4" applyNumberFormat="1" applyFont="1" applyBorder="1" applyAlignment="1">
      <alignment horizontal="left"/>
    </xf>
    <xf numFmtId="0" fontId="2" fillId="0" borderId="14" xfId="0" applyFont="1" applyBorder="1"/>
    <xf numFmtId="172" fontId="2" fillId="0" borderId="4" xfId="0" applyNumberFormat="1" applyFont="1" applyBorder="1"/>
    <xf numFmtId="172" fontId="2" fillId="0" borderId="15" xfId="0" applyNumberFormat="1" applyFont="1" applyBorder="1"/>
    <xf numFmtId="37" fontId="7" fillId="0" borderId="5" xfId="4" applyNumberFormat="1" applyFont="1" applyBorder="1" applyAlignment="1">
      <alignment horizontal="left"/>
    </xf>
    <xf numFmtId="37" fontId="5" fillId="0" borderId="16" xfId="4" applyNumberFormat="1" applyFont="1" applyBorder="1" applyAlignment="1">
      <alignment horizontal="left"/>
    </xf>
    <xf numFmtId="9" fontId="2" fillId="0" borderId="1" xfId="0" applyNumberFormat="1" applyFont="1" applyBorder="1"/>
    <xf numFmtId="165" fontId="2" fillId="0" borderId="10" xfId="0" applyNumberFormat="1" applyFont="1" applyBorder="1"/>
    <xf numFmtId="37" fontId="7" fillId="0" borderId="9" xfId="4" applyNumberFormat="1" applyFont="1" applyBorder="1" applyAlignment="1">
      <alignment horizontal="left"/>
    </xf>
    <xf numFmtId="37" fontId="7" fillId="0" borderId="5" xfId="4" applyNumberFormat="1" applyFont="1" applyBorder="1" applyAlignment="1">
      <alignment horizontal="left" indent="6"/>
    </xf>
    <xf numFmtId="10" fontId="6" fillId="0" borderId="4" xfId="0" applyNumberFormat="1" applyFont="1" applyBorder="1"/>
    <xf numFmtId="168" fontId="6" fillId="0" borderId="4" xfId="0" applyNumberFormat="1" applyFont="1" applyBorder="1"/>
    <xf numFmtId="0" fontId="6" fillId="0" borderId="4" xfId="0" applyFont="1" applyBorder="1"/>
    <xf numFmtId="0" fontId="8" fillId="0" borderId="5" xfId="0" applyFont="1" applyBorder="1"/>
    <xf numFmtId="0" fontId="8" fillId="0" borderId="0" xfId="0" applyFont="1" applyBorder="1"/>
    <xf numFmtId="0" fontId="8" fillId="0" borderId="4" xfId="0" applyFont="1" applyBorder="1"/>
    <xf numFmtId="0" fontId="8" fillId="0" borderId="8" xfId="0" applyFont="1" applyBorder="1"/>
    <xf numFmtId="0" fontId="8" fillId="0" borderId="3" xfId="0" applyFont="1" applyBorder="1"/>
    <xf numFmtId="172" fontId="8" fillId="0" borderId="0" xfId="0" applyNumberFormat="1" applyFont="1" applyBorder="1"/>
    <xf numFmtId="172" fontId="8" fillId="0" borderId="4" xfId="0" applyNumberFormat="1" applyFont="1" applyBorder="1"/>
    <xf numFmtId="0" fontId="8" fillId="0" borderId="9" xfId="0" applyFont="1" applyBorder="1"/>
    <xf numFmtId="0" fontId="8" fillId="0" borderId="1" xfId="0" applyFont="1" applyBorder="1"/>
    <xf numFmtId="172" fontId="8" fillId="0" borderId="1" xfId="0" applyNumberFormat="1" applyFont="1" applyBorder="1"/>
    <xf numFmtId="172" fontId="8" fillId="0" borderId="10" xfId="0" applyNumberFormat="1" applyFont="1" applyBorder="1"/>
    <xf numFmtId="37" fontId="7" fillId="0" borderId="11" xfId="4" applyNumberFormat="1" applyFont="1" applyBorder="1" applyAlignment="1">
      <alignment horizontal="left"/>
    </xf>
    <xf numFmtId="0" fontId="8" fillId="0" borderId="13" xfId="0" applyFont="1" applyBorder="1"/>
    <xf numFmtId="0" fontId="8" fillId="0" borderId="12" xfId="0" applyFont="1" applyBorder="1"/>
    <xf numFmtId="0" fontId="8" fillId="0" borderId="6" xfId="0" applyFont="1" applyBorder="1"/>
    <xf numFmtId="172" fontId="8" fillId="0" borderId="8" xfId="0" applyNumberFormat="1" applyFont="1" applyBorder="1"/>
    <xf numFmtId="172" fontId="8" fillId="0" borderId="3" xfId="0" applyNumberFormat="1" applyFont="1" applyBorder="1"/>
    <xf numFmtId="0" fontId="2" fillId="0" borderId="0" xfId="0" applyFont="1" applyBorder="1" applyAlignment="1">
      <alignment horizontal="center"/>
    </xf>
    <xf numFmtId="37" fontId="7" fillId="0" borderId="0" xfId="4" applyNumberFormat="1" applyFont="1" applyBorder="1" applyAlignment="1">
      <alignment horizontal="center"/>
    </xf>
    <xf numFmtId="10" fontId="10" fillId="0" borderId="0" xfId="3" applyNumberFormat="1" applyFont="1" applyBorder="1" applyAlignment="1">
      <alignment horizontal="center"/>
    </xf>
    <xf numFmtId="10" fontId="10" fillId="0" borderId="1" xfId="3" applyNumberFormat="1" applyFont="1" applyBorder="1" applyAlignment="1">
      <alignment horizontal="center"/>
    </xf>
    <xf numFmtId="0" fontId="13" fillId="0" borderId="0" xfId="0" applyFont="1"/>
    <xf numFmtId="0" fontId="14" fillId="0" borderId="0" xfId="0" applyFont="1"/>
    <xf numFmtId="14" fontId="8" fillId="0" borderId="0" xfId="0" applyNumberFormat="1" applyFont="1"/>
    <xf numFmtId="0" fontId="2" fillId="0" borderId="7" xfId="0" applyFont="1" applyBorder="1"/>
    <xf numFmtId="172" fontId="13" fillId="0" borderId="7" xfId="1" applyNumberFormat="1" applyFont="1" applyBorder="1"/>
    <xf numFmtId="0" fontId="8" fillId="0" borderId="7" xfId="0" applyFont="1" applyBorder="1"/>
    <xf numFmtId="172" fontId="8" fillId="0" borderId="6" xfId="0" applyNumberFormat="1" applyFont="1" applyBorder="1"/>
    <xf numFmtId="172" fontId="8" fillId="0" borderId="5" xfId="0" applyNumberFormat="1" applyFont="1" applyBorder="1"/>
    <xf numFmtId="172" fontId="8" fillId="0" borderId="9" xfId="0" applyNumberFormat="1" applyFont="1" applyBorder="1"/>
    <xf numFmtId="172" fontId="10" fillId="0" borderId="3" xfId="0" applyNumberFormat="1" applyFont="1" applyBorder="1"/>
    <xf numFmtId="9" fontId="8" fillId="0" borderId="4" xfId="3" applyFont="1" applyBorder="1"/>
    <xf numFmtId="9" fontId="10" fillId="0" borderId="10" xfId="3" applyFont="1" applyBorder="1"/>
    <xf numFmtId="0" fontId="8" fillId="0" borderId="18" xfId="0" applyFont="1" applyBorder="1"/>
    <xf numFmtId="173" fontId="8" fillId="0" borderId="18" xfId="0" applyNumberFormat="1" applyFont="1" applyBorder="1"/>
    <xf numFmtId="0" fontId="8" fillId="0" borderId="19" xfId="0" applyFont="1" applyBorder="1"/>
    <xf numFmtId="0" fontId="13" fillId="0" borderId="18" xfId="0" applyFont="1" applyBorder="1"/>
    <xf numFmtId="0" fontId="13" fillId="0" borderId="19" xfId="0" applyFont="1" applyBorder="1"/>
    <xf numFmtId="173" fontId="13" fillId="0" borderId="18" xfId="0" applyNumberFormat="1" applyFont="1" applyBorder="1"/>
    <xf numFmtId="0" fontId="14" fillId="0" borderId="5" xfId="0" applyFont="1" applyBorder="1"/>
    <xf numFmtId="0" fontId="13" fillId="0" borderId="0" xfId="0" applyFont="1" applyBorder="1"/>
    <xf numFmtId="172" fontId="13" fillId="0" borderId="0" xfId="1" applyNumberFormat="1" applyFont="1" applyBorder="1"/>
    <xf numFmtId="173" fontId="8" fillId="0" borderId="0" xfId="0" applyNumberFormat="1" applyFont="1" applyBorder="1"/>
    <xf numFmtId="173" fontId="8" fillId="0" borderId="0" xfId="1" applyNumberFormat="1" applyFont="1" applyBorder="1"/>
    <xf numFmtId="0" fontId="8" fillId="0" borderId="20" xfId="0" applyFont="1" applyBorder="1"/>
    <xf numFmtId="0" fontId="13" fillId="0" borderId="20" xfId="0" applyFont="1" applyBorder="1"/>
    <xf numFmtId="0" fontId="8" fillId="0" borderId="11" xfId="0" applyFont="1" applyBorder="1"/>
    <xf numFmtId="14" fontId="8" fillId="0" borderId="13" xfId="0" applyNumberFormat="1" applyFont="1" applyBorder="1" applyAlignment="1">
      <alignment horizontal="center"/>
    </xf>
    <xf numFmtId="14" fontId="8" fillId="0" borderId="12" xfId="0" applyNumberFormat="1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13" fillId="0" borderId="11" xfId="0" applyFont="1" applyBorder="1"/>
    <xf numFmtId="173" fontId="13" fillId="0" borderId="13" xfId="1" applyNumberFormat="1" applyFont="1" applyBorder="1"/>
    <xf numFmtId="0" fontId="8" fillId="0" borderId="2" xfId="0" applyFont="1" applyBorder="1"/>
    <xf numFmtId="173" fontId="8" fillId="0" borderId="13" xfId="0" applyNumberFormat="1" applyFont="1" applyBorder="1"/>
    <xf numFmtId="0" fontId="13" fillId="0" borderId="2" xfId="0" applyFont="1" applyBorder="1"/>
    <xf numFmtId="173" fontId="8" fillId="0" borderId="2" xfId="0" applyNumberFormat="1" applyFont="1" applyBorder="1"/>
    <xf numFmtId="173" fontId="13" fillId="0" borderId="20" xfId="0" applyNumberFormat="1" applyFont="1" applyBorder="1"/>
    <xf numFmtId="173" fontId="13" fillId="0" borderId="19" xfId="0" applyNumberFormat="1" applyFont="1" applyBorder="1"/>
    <xf numFmtId="171" fontId="13" fillId="0" borderId="2" xfId="3" applyNumberFormat="1" applyFont="1" applyBorder="1"/>
    <xf numFmtId="174" fontId="13" fillId="0" borderId="2" xfId="3" applyNumberFormat="1" applyFont="1" applyBorder="1"/>
    <xf numFmtId="9" fontId="10" fillId="0" borderId="0" xfId="0" applyNumberFormat="1" applyFont="1" applyBorder="1"/>
    <xf numFmtId="9" fontId="10" fillId="0" borderId="18" xfId="0" applyNumberFormat="1" applyFont="1" applyBorder="1"/>
    <xf numFmtId="0" fontId="2" fillId="0" borderId="18" xfId="0" applyFont="1" applyBorder="1"/>
    <xf numFmtId="171" fontId="13" fillId="0" borderId="0" xfId="3" applyNumberFormat="1" applyFont="1" applyBorder="1"/>
    <xf numFmtId="0" fontId="3" fillId="0" borderId="0" xfId="0" applyFont="1" applyBorder="1" applyAlignment="1">
      <alignment horizontal="center"/>
    </xf>
    <xf numFmtId="10" fontId="8" fillId="0" borderId="13" xfId="3" applyNumberFormat="1" applyFont="1" applyBorder="1" applyAlignment="1">
      <alignment horizontal="center"/>
    </xf>
    <xf numFmtId="9" fontId="2" fillId="0" borderId="0" xfId="3" applyFont="1" applyBorder="1" applyAlignment="1">
      <alignment horizontal="center"/>
    </xf>
    <xf numFmtId="0" fontId="8" fillId="0" borderId="5" xfId="0" applyFont="1" applyBorder="1" applyAlignment="1">
      <alignment horizontal="left" indent="5"/>
    </xf>
    <xf numFmtId="9" fontId="10" fillId="0" borderId="4" xfId="0" applyNumberFormat="1" applyFont="1" applyBorder="1"/>
    <xf numFmtId="0" fontId="16" fillId="0" borderId="5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4" xfId="0" applyFont="1" applyBorder="1" applyAlignment="1">
      <alignment horizontal="center"/>
    </xf>
    <xf numFmtId="0" fontId="5" fillId="0" borderId="20" xfId="4" applyFont="1" applyBorder="1"/>
    <xf numFmtId="0" fontId="5" fillId="0" borderId="18" xfId="4" applyFont="1" applyBorder="1" applyAlignment="1">
      <alignment horizontal="center"/>
    </xf>
    <xf numFmtId="0" fontId="2" fillId="0" borderId="21" xfId="0" applyFont="1" applyBorder="1"/>
    <xf numFmtId="0" fontId="8" fillId="0" borderId="17" xfId="0" applyFont="1" applyBorder="1"/>
    <xf numFmtId="175" fontId="10" fillId="0" borderId="4" xfId="0" applyNumberFormat="1" applyFont="1" applyBorder="1" applyAlignment="1">
      <alignment horizontal="left"/>
    </xf>
    <xf numFmtId="172" fontId="8" fillId="0" borderId="0" xfId="1" applyNumberFormat="1" applyFont="1" applyBorder="1"/>
    <xf numFmtId="172" fontId="6" fillId="0" borderId="4" xfId="1" applyNumberFormat="1" applyFont="1" applyBorder="1"/>
    <xf numFmtId="165" fontId="2" fillId="0" borderId="4" xfId="0" applyNumberFormat="1" applyFont="1" applyBorder="1"/>
    <xf numFmtId="172" fontId="2" fillId="0" borderId="4" xfId="1" applyNumberFormat="1" applyFont="1" applyBorder="1"/>
    <xf numFmtId="0" fontId="14" fillId="0" borderId="14" xfId="0" applyFont="1" applyBorder="1"/>
    <xf numFmtId="172" fontId="14" fillId="0" borderId="15" xfId="0" applyNumberFormat="1" applyFont="1" applyBorder="1"/>
    <xf numFmtId="171" fontId="10" fillId="0" borderId="0" xfId="3" applyNumberFormat="1" applyFont="1" applyBorder="1"/>
    <xf numFmtId="171" fontId="10" fillId="0" borderId="0" xfId="0" applyNumberFormat="1" applyFont="1" applyBorder="1"/>
    <xf numFmtId="173" fontId="8" fillId="0" borderId="7" xfId="0" applyNumberFormat="1" applyFont="1" applyBorder="1"/>
    <xf numFmtId="0" fontId="2" fillId="0" borderId="16" xfId="0" applyFont="1" applyBorder="1"/>
    <xf numFmtId="9" fontId="2" fillId="0" borderId="14" xfId="3" applyFont="1" applyBorder="1" applyAlignment="1">
      <alignment horizontal="center"/>
    </xf>
    <xf numFmtId="0" fontId="17" fillId="0" borderId="0" xfId="0" applyFont="1" applyBorder="1" applyAlignment="1">
      <alignment horizontal="left" indent="8"/>
    </xf>
    <xf numFmtId="0" fontId="14" fillId="0" borderId="0" xfId="0" applyFont="1" applyBorder="1"/>
    <xf numFmtId="174" fontId="13" fillId="0" borderId="0" xfId="3" applyNumberFormat="1" applyFont="1" applyBorder="1"/>
    <xf numFmtId="0" fontId="8" fillId="0" borderId="0" xfId="0" applyFont="1" applyFill="1" applyBorder="1"/>
    <xf numFmtId="0" fontId="13" fillId="0" borderId="0" xfId="0" applyFont="1" applyFill="1" applyBorder="1"/>
    <xf numFmtId="0" fontId="2" fillId="0" borderId="0" xfId="0" applyFont="1" applyFill="1" applyBorder="1"/>
    <xf numFmtId="173" fontId="8" fillId="0" borderId="0" xfId="0" applyNumberFormat="1" applyFont="1" applyFill="1" applyBorder="1"/>
    <xf numFmtId="0" fontId="17" fillId="0" borderId="0" xfId="0" applyFont="1" applyFill="1" applyBorder="1" applyAlignment="1">
      <alignment horizontal="left" indent="8"/>
    </xf>
    <xf numFmtId="0" fontId="14" fillId="0" borderId="0" xfId="0" applyFont="1" applyFill="1" applyBorder="1"/>
    <xf numFmtId="171" fontId="13" fillId="0" borderId="0" xfId="3" applyNumberFormat="1" applyFont="1" applyFill="1" applyBorder="1"/>
    <xf numFmtId="174" fontId="13" fillId="0" borderId="0" xfId="3" applyNumberFormat="1" applyFont="1" applyFill="1" applyBorder="1"/>
    <xf numFmtId="173" fontId="8" fillId="0" borderId="0" xfId="0" applyNumberFormat="1" applyFont="1"/>
    <xf numFmtId="0" fontId="8" fillId="0" borderId="22" xfId="0" applyFont="1" applyBorder="1"/>
    <xf numFmtId="0" fontId="8" fillId="0" borderId="26" xfId="0" applyFont="1" applyBorder="1"/>
    <xf numFmtId="166" fontId="2" fillId="0" borderId="0" xfId="1" applyFont="1"/>
    <xf numFmtId="172" fontId="2" fillId="0" borderId="0" xfId="1" applyNumberFormat="1" applyFont="1"/>
    <xf numFmtId="0" fontId="14" fillId="0" borderId="9" xfId="0" applyFont="1" applyBorder="1"/>
    <xf numFmtId="14" fontId="19" fillId="0" borderId="21" xfId="1" applyNumberFormat="1" applyFont="1" applyBorder="1"/>
    <xf numFmtId="0" fontId="8" fillId="0" borderId="11" xfId="0" applyFont="1" applyBorder="1" applyAlignment="1">
      <alignment horizontal="center"/>
    </xf>
    <xf numFmtId="172" fontId="13" fillId="0" borderId="5" xfId="1" applyNumberFormat="1" applyFont="1" applyBorder="1"/>
    <xf numFmtId="0" fontId="8" fillId="0" borderId="6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10" fontId="8" fillId="0" borderId="11" xfId="3" applyNumberFormat="1" applyFont="1" applyBorder="1" applyAlignment="1">
      <alignment horizontal="center"/>
    </xf>
    <xf numFmtId="14" fontId="8" fillId="0" borderId="2" xfId="0" applyNumberFormat="1" applyFont="1" applyBorder="1"/>
    <xf numFmtId="0" fontId="13" fillId="0" borderId="7" xfId="0" applyFont="1" applyBorder="1"/>
    <xf numFmtId="173" fontId="13" fillId="0" borderId="9" xfId="1" applyNumberFormat="1" applyFont="1" applyBorder="1"/>
    <xf numFmtId="173" fontId="13" fillId="0" borderId="1" xfId="1" applyNumberFormat="1" applyFont="1" applyBorder="1"/>
    <xf numFmtId="10" fontId="8" fillId="0" borderId="2" xfId="3" applyNumberFormat="1" applyFont="1" applyBorder="1"/>
    <xf numFmtId="173" fontId="13" fillId="0" borderId="7" xfId="1" applyNumberFormat="1" applyFont="1" applyBorder="1"/>
    <xf numFmtId="173" fontId="13" fillId="0" borderId="2" xfId="1" applyNumberFormat="1" applyFont="1" applyBorder="1"/>
    <xf numFmtId="0" fontId="7" fillId="0" borderId="9" xfId="4" applyFont="1" applyBorder="1"/>
    <xf numFmtId="0" fontId="8" fillId="0" borderId="14" xfId="0" applyFont="1" applyBorder="1"/>
    <xf numFmtId="0" fontId="2" fillId="0" borderId="27" xfId="0" applyFont="1" applyBorder="1"/>
    <xf numFmtId="0" fontId="2" fillId="0" borderId="28" xfId="0" applyFont="1" applyBorder="1"/>
    <xf numFmtId="0" fontId="8" fillId="0" borderId="5" xfId="0" quotePrefix="1" applyFont="1" applyBorder="1"/>
    <xf numFmtId="172" fontId="20" fillId="0" borderId="10" xfId="0" applyNumberFormat="1" applyFont="1" applyBorder="1"/>
    <xf numFmtId="9" fontId="20" fillId="0" borderId="0" xfId="0" applyNumberFormat="1" applyFont="1" applyBorder="1"/>
    <xf numFmtId="0" fontId="2" fillId="0" borderId="23" xfId="0" applyFont="1" applyBorder="1"/>
    <xf numFmtId="0" fontId="2" fillId="0" borderId="24" xfId="0" applyFont="1" applyBorder="1"/>
    <xf numFmtId="172" fontId="2" fillId="0" borderId="24" xfId="0" applyNumberFormat="1" applyFont="1" applyBorder="1"/>
    <xf numFmtId="173" fontId="2" fillId="0" borderId="25" xfId="0" applyNumberFormat="1" applyFont="1" applyBorder="1"/>
    <xf numFmtId="10" fontId="8" fillId="0" borderId="12" xfId="3" applyNumberFormat="1" applyFont="1" applyBorder="1"/>
    <xf numFmtId="10" fontId="8" fillId="0" borderId="12" xfId="3" applyNumberFormat="1" applyFont="1" applyBorder="1" applyAlignment="1">
      <alignment horizontal="center"/>
    </xf>
    <xf numFmtId="167" fontId="15" fillId="0" borderId="4" xfId="0" applyNumberFormat="1" applyFont="1" applyBorder="1" applyAlignment="1">
      <alignment horizontal="right"/>
    </xf>
    <xf numFmtId="165" fontId="8" fillId="0" borderId="10" xfId="2" applyNumberFormat="1" applyFont="1" applyBorder="1"/>
    <xf numFmtId="167" fontId="9" fillId="0" borderId="4" xfId="0" applyNumberFormat="1" applyFont="1" applyBorder="1" applyAlignment="1">
      <alignment horizontal="right"/>
    </xf>
    <xf numFmtId="172" fontId="8" fillId="0" borderId="0" xfId="1" applyNumberFormat="1" applyFont="1"/>
    <xf numFmtId="0" fontId="8" fillId="0" borderId="3" xfId="0" applyFont="1" applyBorder="1" applyAlignment="1">
      <alignment horizontal="center"/>
    </xf>
    <xf numFmtId="0" fontId="8" fillId="0" borderId="21" xfId="0" applyFont="1" applyBorder="1"/>
    <xf numFmtId="0" fontId="8" fillId="0" borderId="9" xfId="0" applyFont="1" applyBorder="1" applyAlignment="1">
      <alignment horizontal="left" indent="5"/>
    </xf>
    <xf numFmtId="0" fontId="8" fillId="0" borderId="10" xfId="0" applyFont="1" applyBorder="1"/>
    <xf numFmtId="173" fontId="8" fillId="0" borderId="19" xfId="0" applyNumberFormat="1" applyFont="1" applyBorder="1"/>
    <xf numFmtId="173" fontId="8" fillId="0" borderId="1" xfId="0" applyNumberFormat="1" applyFont="1" applyBorder="1"/>
    <xf numFmtId="173" fontId="8" fillId="0" borderId="17" xfId="0" applyNumberFormat="1" applyFont="1" applyBorder="1"/>
    <xf numFmtId="0" fontId="8" fillId="0" borderId="30" xfId="0" applyFont="1" applyBorder="1"/>
    <xf numFmtId="0" fontId="8" fillId="0" borderId="31" xfId="0" applyFont="1" applyBorder="1"/>
    <xf numFmtId="0" fontId="8" fillId="0" borderId="32" xfId="0" applyFont="1" applyBorder="1"/>
    <xf numFmtId="0" fontId="8" fillId="0" borderId="29" xfId="0" applyFont="1" applyBorder="1"/>
    <xf numFmtId="173" fontId="8" fillId="0" borderId="31" xfId="0" applyNumberFormat="1" applyFont="1" applyBorder="1"/>
    <xf numFmtId="173" fontId="8" fillId="0" borderId="29" xfId="0" applyNumberFormat="1" applyFont="1" applyBorder="1"/>
    <xf numFmtId="10" fontId="13" fillId="0" borderId="2" xfId="3" applyNumberFormat="1" applyFont="1" applyBorder="1"/>
    <xf numFmtId="0" fontId="8" fillId="0" borderId="12" xfId="0" applyFont="1" applyBorder="1" applyAlignment="1">
      <alignment horizontal="center"/>
    </xf>
    <xf numFmtId="167" fontId="8" fillId="0" borderId="13" xfId="0" applyNumberFormat="1" applyFont="1" applyBorder="1" applyAlignment="1">
      <alignment horizontal="center"/>
    </xf>
    <xf numFmtId="172" fontId="8" fillId="0" borderId="13" xfId="0" applyNumberFormat="1" applyFont="1" applyBorder="1"/>
    <xf numFmtId="0" fontId="13" fillId="0" borderId="2" xfId="0" applyFont="1" applyBorder="1" applyAlignment="1">
      <alignment horizontal="center"/>
    </xf>
    <xf numFmtId="0" fontId="13" fillId="0" borderId="17" xfId="0" applyFont="1" applyBorder="1"/>
    <xf numFmtId="167" fontId="21" fillId="0" borderId="0" xfId="0" applyNumberFormat="1" applyFont="1" applyBorder="1" applyAlignment="1">
      <alignment horizontal="center"/>
    </xf>
    <xf numFmtId="172" fontId="21" fillId="0" borderId="0" xfId="1" applyNumberFormat="1" applyFont="1" applyBorder="1"/>
    <xf numFmtId="10" fontId="21" fillId="0" borderId="0" xfId="0" applyNumberFormat="1" applyFont="1" applyBorder="1"/>
    <xf numFmtId="165" fontId="21" fillId="0" borderId="0" xfId="0" applyNumberFormat="1" applyFont="1" applyBorder="1"/>
    <xf numFmtId="10" fontId="21" fillId="0" borderId="0" xfId="3" applyNumberFormat="1" applyFont="1" applyBorder="1"/>
    <xf numFmtId="174" fontId="21" fillId="0" borderId="4" xfId="3" applyNumberFormat="1" applyFont="1" applyBorder="1"/>
    <xf numFmtId="167" fontId="21" fillId="0" borderId="1" xfId="0" applyNumberFormat="1" applyFont="1" applyBorder="1" applyAlignment="1">
      <alignment horizontal="center"/>
    </xf>
    <xf numFmtId="172" fontId="21" fillId="0" borderId="1" xfId="1" applyNumberFormat="1" applyFont="1" applyBorder="1"/>
    <xf numFmtId="10" fontId="21" fillId="0" borderId="1" xfId="0" applyNumberFormat="1" applyFont="1" applyBorder="1"/>
    <xf numFmtId="165" fontId="21" fillId="0" borderId="1" xfId="0" applyNumberFormat="1" applyFont="1" applyBorder="1"/>
    <xf numFmtId="10" fontId="21" fillId="0" borderId="1" xfId="3" applyNumberFormat="1" applyFont="1" applyBorder="1"/>
    <xf numFmtId="174" fontId="21" fillId="0" borderId="10" xfId="3" applyNumberFormat="1" applyFont="1" applyBorder="1"/>
    <xf numFmtId="172" fontId="21" fillId="0" borderId="4" xfId="1" applyNumberFormat="1" applyFont="1" applyBorder="1"/>
    <xf numFmtId="168" fontId="22" fillId="0" borderId="0" xfId="0" applyNumberFormat="1" applyFont="1" applyBorder="1"/>
    <xf numFmtId="0" fontId="8" fillId="0" borderId="5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14" fontId="8" fillId="0" borderId="8" xfId="0" applyNumberFormat="1" applyFont="1" applyBorder="1" applyAlignment="1">
      <alignment horizontal="center"/>
    </xf>
    <xf numFmtId="14" fontId="8" fillId="0" borderId="11" xfId="0" applyNumberFormat="1" applyFont="1" applyBorder="1" applyAlignment="1">
      <alignment horizontal="center"/>
    </xf>
    <xf numFmtId="0" fontId="2" fillId="0" borderId="8" xfId="0" applyFont="1" applyBorder="1"/>
    <xf numFmtId="0" fontId="2" fillId="0" borderId="3" xfId="0" applyFont="1" applyBorder="1"/>
    <xf numFmtId="173" fontId="8" fillId="0" borderId="27" xfId="0" applyNumberFormat="1" applyFont="1" applyBorder="1"/>
    <xf numFmtId="171" fontId="2" fillId="0" borderId="0" xfId="3" applyNumberFormat="1" applyFont="1"/>
    <xf numFmtId="9" fontId="10" fillId="0" borderId="7" xfId="3" applyFont="1" applyBorder="1"/>
    <xf numFmtId="9" fontId="8" fillId="0" borderId="7" xfId="3" applyFont="1" applyBorder="1"/>
    <xf numFmtId="0" fontId="2" fillId="0" borderId="27" xfId="0" applyFont="1" applyBorder="1" applyAlignment="1">
      <alignment horizontal="center"/>
    </xf>
    <xf numFmtId="9" fontId="8" fillId="0" borderId="27" xfId="0" applyNumberFormat="1" applyFont="1" applyBorder="1"/>
    <xf numFmtId="171" fontId="8" fillId="0" borderId="7" xfId="3" applyNumberFormat="1" applyFont="1" applyBorder="1"/>
    <xf numFmtId="9" fontId="6" fillId="0" borderId="0" xfId="0" applyNumberFormat="1" applyFont="1" applyBorder="1"/>
    <xf numFmtId="0" fontId="24" fillId="0" borderId="0" xfId="0" applyFont="1" applyAlignment="1">
      <alignment vertical="center"/>
    </xf>
    <xf numFmtId="0" fontId="25" fillId="3" borderId="0" xfId="0" applyFont="1" applyFill="1" applyBorder="1" applyAlignment="1">
      <alignment horizontal="center" vertical="center"/>
    </xf>
    <xf numFmtId="0" fontId="24" fillId="3" borderId="0" xfId="0" applyFont="1" applyFill="1" applyAlignment="1">
      <alignment vertical="center"/>
    </xf>
    <xf numFmtId="0" fontId="2" fillId="3" borderId="0" xfId="0" applyFont="1" applyFill="1"/>
    <xf numFmtId="0" fontId="8" fillId="3" borderId="0" xfId="0" applyFont="1" applyFill="1"/>
    <xf numFmtId="0" fontId="8" fillId="3" borderId="5" xfId="0" applyFont="1" applyFill="1" applyBorder="1"/>
    <xf numFmtId="0" fontId="8" fillId="3" borderId="0" xfId="0" applyFont="1" applyFill="1" applyBorder="1"/>
    <xf numFmtId="172" fontId="8" fillId="3" borderId="0" xfId="0" applyNumberFormat="1" applyFont="1" applyFill="1" applyBorder="1"/>
    <xf numFmtId="0" fontId="8" fillId="3" borderId="4" xfId="0" applyFont="1" applyFill="1" applyBorder="1"/>
    <xf numFmtId="9" fontId="7" fillId="0" borderId="7" xfId="0" applyNumberFormat="1" applyFont="1" applyBorder="1"/>
    <xf numFmtId="0" fontId="2" fillId="0" borderId="11" xfId="0" applyFont="1" applyBorder="1"/>
    <xf numFmtId="0" fontId="13" fillId="0" borderId="13" xfId="0" applyFont="1" applyBorder="1"/>
    <xf numFmtId="176" fontId="2" fillId="0" borderId="0" xfId="0" applyNumberFormat="1" applyFont="1"/>
    <xf numFmtId="9" fontId="10" fillId="0" borderId="10" xfId="0" applyNumberFormat="1" applyFont="1" applyBorder="1"/>
    <xf numFmtId="0" fontId="26" fillId="0" borderId="11" xfId="0" applyFont="1" applyBorder="1" applyAlignment="1">
      <alignment horizontal="left" indent="5"/>
    </xf>
    <xf numFmtId="0" fontId="26" fillId="0" borderId="13" xfId="0" applyFont="1" applyBorder="1"/>
    <xf numFmtId="172" fontId="26" fillId="0" borderId="12" xfId="0" applyNumberFormat="1" applyFont="1" applyBorder="1"/>
    <xf numFmtId="0" fontId="27" fillId="0" borderId="0" xfId="0" applyFont="1" applyBorder="1"/>
    <xf numFmtId="172" fontId="8" fillId="0" borderId="13" xfId="1" applyNumberFormat="1" applyFont="1" applyBorder="1"/>
    <xf numFmtId="172" fontId="8" fillId="0" borderId="12" xfId="1" applyNumberFormat="1" applyFont="1" applyBorder="1"/>
    <xf numFmtId="172" fontId="8" fillId="0" borderId="12" xfId="0" applyNumberFormat="1" applyFont="1" applyBorder="1"/>
    <xf numFmtId="0" fontId="8" fillId="4" borderId="6" xfId="0" applyFont="1" applyFill="1" applyBorder="1"/>
    <xf numFmtId="0" fontId="8" fillId="4" borderId="8" xfId="0" applyFont="1" applyFill="1" applyBorder="1"/>
    <xf numFmtId="9" fontId="8" fillId="4" borderId="3" xfId="3" applyFont="1" applyFill="1" applyBorder="1"/>
    <xf numFmtId="0" fontId="8" fillId="4" borderId="16" xfId="0" applyFont="1" applyFill="1" applyBorder="1"/>
    <xf numFmtId="0" fontId="8" fillId="4" borderId="14" xfId="0" applyFont="1" applyFill="1" applyBorder="1"/>
    <xf numFmtId="9" fontId="8" fillId="4" borderId="15" xfId="3" applyFont="1" applyFill="1" applyBorder="1"/>
    <xf numFmtId="10" fontId="13" fillId="5" borderId="2" xfId="3" applyNumberFormat="1" applyFont="1" applyFill="1" applyBorder="1"/>
    <xf numFmtId="174" fontId="13" fillId="5" borderId="2" xfId="3" applyNumberFormat="1" applyFont="1" applyFill="1" applyBorder="1"/>
    <xf numFmtId="0" fontId="13" fillId="6" borderId="2" xfId="0" applyFont="1" applyFill="1" applyBorder="1"/>
    <xf numFmtId="173" fontId="13" fillId="6" borderId="2" xfId="0" applyNumberFormat="1" applyFont="1" applyFill="1" applyBorder="1"/>
    <xf numFmtId="165" fontId="2" fillId="0" borderId="0" xfId="0" applyNumberFormat="1" applyFont="1"/>
    <xf numFmtId="0" fontId="8" fillId="0" borderId="5" xfId="0" applyFont="1" applyFill="1" applyBorder="1"/>
    <xf numFmtId="0" fontId="8" fillId="0" borderId="4" xfId="0" applyFont="1" applyFill="1" applyBorder="1"/>
    <xf numFmtId="0" fontId="8" fillId="0" borderId="7" xfId="0" applyFont="1" applyFill="1" applyBorder="1"/>
    <xf numFmtId="173" fontId="8" fillId="0" borderId="7" xfId="0" applyNumberFormat="1" applyFont="1" applyFill="1" applyBorder="1"/>
    <xf numFmtId="0" fontId="8" fillId="0" borderId="0" xfId="0" applyFont="1" applyFill="1"/>
    <xf numFmtId="0" fontId="8" fillId="0" borderId="5" xfId="0" applyFont="1" applyFill="1" applyBorder="1" applyAlignment="1">
      <alignment horizontal="left" indent="5"/>
    </xf>
    <xf numFmtId="0" fontId="8" fillId="0" borderId="20" xfId="0" applyFont="1" applyFill="1" applyBorder="1"/>
    <xf numFmtId="0" fontId="8" fillId="0" borderId="18" xfId="0" applyFont="1" applyFill="1" applyBorder="1"/>
    <xf numFmtId="0" fontId="8" fillId="0" borderId="21" xfId="0" applyFont="1" applyFill="1" applyBorder="1"/>
    <xf numFmtId="0" fontId="8" fillId="0" borderId="19" xfId="0" applyFont="1" applyFill="1" applyBorder="1"/>
    <xf numFmtId="173" fontId="8" fillId="0" borderId="18" xfId="0" applyNumberFormat="1" applyFont="1" applyFill="1" applyBorder="1"/>
    <xf numFmtId="173" fontId="8" fillId="0" borderId="19" xfId="0" applyNumberFormat="1" applyFont="1" applyFill="1" applyBorder="1"/>
    <xf numFmtId="0" fontId="0" fillId="0" borderId="0" xfId="0"/>
    <xf numFmtId="179" fontId="10" fillId="0" borderId="4" xfId="0" applyNumberFormat="1" applyFont="1" applyBorder="1" applyAlignment="1">
      <alignment horizontal="left"/>
    </xf>
    <xf numFmtId="10" fontId="28" fillId="7" borderId="2" xfId="3" applyNumberFormat="1" applyFont="1" applyFill="1" applyBorder="1"/>
    <xf numFmtId="173" fontId="13" fillId="0" borderId="0" xfId="0" applyNumberFormat="1" applyFont="1" applyFill="1" applyBorder="1"/>
    <xf numFmtId="172" fontId="8" fillId="0" borderId="0" xfId="1" applyNumberFormat="1" applyFont="1" applyFill="1"/>
    <xf numFmtId="0" fontId="3" fillId="0" borderId="2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12" fillId="0" borderId="11" xfId="4" applyFont="1" applyBorder="1" applyAlignment="1">
      <alignment horizontal="center"/>
    </xf>
    <xf numFmtId="0" fontId="12" fillId="0" borderId="12" xfId="4" applyFont="1" applyBorder="1" applyAlignment="1">
      <alignment horizontal="center"/>
    </xf>
    <xf numFmtId="2" fontId="3" fillId="0" borderId="33" xfId="0" applyNumberFormat="1" applyFont="1" applyBorder="1" applyAlignment="1">
      <alignment horizontal="center"/>
    </xf>
    <xf numFmtId="2" fontId="3" fillId="0" borderId="34" xfId="0" applyNumberFormat="1" applyFont="1" applyBorder="1" applyAlignment="1">
      <alignment horizontal="center"/>
    </xf>
    <xf numFmtId="2" fontId="3" fillId="0" borderId="35" xfId="0" applyNumberFormat="1" applyFont="1" applyBorder="1" applyAlignment="1">
      <alignment horizontal="center"/>
    </xf>
    <xf numFmtId="0" fontId="14" fillId="0" borderId="23" xfId="0" applyFont="1" applyBorder="1" applyAlignment="1">
      <alignment horizontal="center"/>
    </xf>
    <xf numFmtId="0" fontId="14" fillId="0" borderId="24" xfId="0" applyFont="1" applyBorder="1" applyAlignment="1">
      <alignment horizontal="center"/>
    </xf>
    <xf numFmtId="10" fontId="18" fillId="0" borderId="24" xfId="3" applyNumberFormat="1" applyFont="1" applyBorder="1" applyAlignment="1">
      <alignment horizontal="center"/>
    </xf>
    <xf numFmtId="10" fontId="18" fillId="0" borderId="25" xfId="3" applyNumberFormat="1" applyFont="1" applyBorder="1" applyAlignment="1">
      <alignment horizontal="center"/>
    </xf>
    <xf numFmtId="0" fontId="12" fillId="0" borderId="2" xfId="4" applyFont="1" applyBorder="1" applyAlignment="1">
      <alignment horizontal="center"/>
    </xf>
    <xf numFmtId="0" fontId="25" fillId="2" borderId="11" xfId="0" applyFont="1" applyFill="1" applyBorder="1" applyAlignment="1">
      <alignment horizontal="center" vertical="center"/>
    </xf>
    <xf numFmtId="0" fontId="25" fillId="2" borderId="13" xfId="0" applyFont="1" applyFill="1" applyBorder="1" applyAlignment="1">
      <alignment horizontal="center" vertical="center"/>
    </xf>
    <xf numFmtId="0" fontId="25" fillId="2" borderId="12" xfId="0" applyFont="1" applyFill="1" applyBorder="1" applyAlignment="1">
      <alignment horizontal="center" vertical="center"/>
    </xf>
    <xf numFmtId="2" fontId="3" fillId="0" borderId="23" xfId="0" applyNumberFormat="1" applyFont="1" applyBorder="1" applyAlignment="1">
      <alignment horizontal="center"/>
    </xf>
    <xf numFmtId="2" fontId="3" fillId="0" borderId="24" xfId="0" applyNumberFormat="1" applyFont="1" applyBorder="1" applyAlignment="1">
      <alignment horizontal="center"/>
    </xf>
    <xf numFmtId="2" fontId="3" fillId="0" borderId="25" xfId="0" applyNumberFormat="1" applyFont="1" applyBorder="1" applyAlignment="1">
      <alignment horizontal="center"/>
    </xf>
    <xf numFmtId="0" fontId="12" fillId="0" borderId="17" xfId="4" applyFont="1" applyBorder="1" applyAlignment="1">
      <alignment horizontal="center"/>
    </xf>
  </cellXfs>
  <cellStyles count="8">
    <cellStyle name="Comma 2" xfId="6"/>
    <cellStyle name="Milliers" xfId="1" builtinId="3"/>
    <cellStyle name="Milliers 2" xfId="5"/>
    <cellStyle name="Monétaire" xfId="2" builtinId="4"/>
    <cellStyle name="Monétaire 2" xfId="7"/>
    <cellStyle name="Normal" xfId="0" builtinId="0"/>
    <cellStyle name="Normal_Rockpoint IRR" xfId="4"/>
    <cellStyle name="Pourcentage" xfId="3" builtinId="5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P28"/>
  <sheetViews>
    <sheetView showGridLines="0" topLeftCell="D1" zoomScaleNormal="100" workbookViewId="0">
      <selection activeCell="D37" sqref="D37"/>
    </sheetView>
  </sheetViews>
  <sheetFormatPr baseColWidth="10" defaultColWidth="11.5" defaultRowHeight="14"/>
  <cols>
    <col min="1" max="2" width="11.5" style="1"/>
    <col min="3" max="3" width="15.83203125" style="1" customWidth="1"/>
    <col min="4" max="4" width="18" style="1" customWidth="1"/>
    <col min="5" max="5" width="31.5" style="1" customWidth="1"/>
    <col min="6" max="7" width="11.5" style="1"/>
    <col min="8" max="8" width="18.6640625" style="1" bestFit="1" customWidth="1"/>
    <col min="9" max="9" width="11.5" style="1"/>
    <col min="10" max="10" width="29.33203125" style="1" customWidth="1"/>
    <col min="11" max="11" width="17.83203125" style="1" bestFit="1" customWidth="1"/>
    <col min="12" max="13" width="11.5" style="1"/>
    <col min="14" max="14" width="18.1640625" style="1" customWidth="1"/>
    <col min="15" max="15" width="13" style="1" customWidth="1"/>
    <col min="16" max="16384" width="11.5" style="1"/>
  </cols>
  <sheetData>
    <row r="1" spans="3:16" ht="20">
      <c r="C1" s="268" t="s">
        <v>172</v>
      </c>
      <c r="D1" s="268"/>
      <c r="E1" s="268"/>
      <c r="F1" s="268"/>
      <c r="G1" s="268"/>
      <c r="H1" s="268"/>
      <c r="I1" s="268"/>
      <c r="J1" s="268"/>
      <c r="K1" s="268"/>
      <c r="L1" s="268"/>
      <c r="M1" s="268"/>
      <c r="N1" s="268"/>
      <c r="O1" s="268"/>
      <c r="P1" s="268"/>
    </row>
    <row r="2" spans="3:16" ht="20">
      <c r="C2" s="268" t="s">
        <v>0</v>
      </c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268"/>
    </row>
    <row r="4" spans="3:16" ht="20">
      <c r="C4" s="268" t="s">
        <v>4</v>
      </c>
      <c r="D4" s="268"/>
      <c r="E4" s="268"/>
      <c r="H4" s="268" t="s">
        <v>5</v>
      </c>
      <c r="I4" s="268"/>
      <c r="J4" s="268"/>
      <c r="M4" s="268" t="s">
        <v>2</v>
      </c>
      <c r="N4" s="268"/>
      <c r="O4" s="268"/>
      <c r="P4" s="268"/>
    </row>
    <row r="5" spans="3:16">
      <c r="C5" s="11"/>
      <c r="D5" s="209"/>
      <c r="E5" s="210"/>
      <c r="H5" s="11"/>
      <c r="I5" s="209"/>
      <c r="J5" s="210"/>
      <c r="M5" s="11"/>
      <c r="N5" s="2"/>
      <c r="O5" s="215" t="s">
        <v>139</v>
      </c>
      <c r="P5" s="215" t="s">
        <v>140</v>
      </c>
    </row>
    <row r="6" spans="3:16">
      <c r="C6" s="35"/>
      <c r="D6" s="113"/>
      <c r="E6" s="112"/>
      <c r="H6" s="12" t="s">
        <v>6</v>
      </c>
      <c r="I6" s="36"/>
      <c r="J6" s="104">
        <v>0.08</v>
      </c>
      <c r="M6" s="49" t="s">
        <v>1</v>
      </c>
      <c r="N6" s="38"/>
      <c r="O6" s="216">
        <f>1-O12</f>
        <v>0.5</v>
      </c>
      <c r="P6" s="156"/>
    </row>
    <row r="7" spans="3:16">
      <c r="C7" s="35" t="s">
        <v>162</v>
      </c>
      <c r="D7" s="36"/>
      <c r="E7" s="264">
        <v>1.4999999999999999E-2</v>
      </c>
      <c r="H7" s="35"/>
      <c r="I7" s="36"/>
      <c r="J7" s="37"/>
      <c r="M7" s="35"/>
      <c r="N7" s="5"/>
      <c r="O7" s="61"/>
      <c r="P7" s="59"/>
    </row>
    <row r="8" spans="3:16">
      <c r="C8" s="35"/>
      <c r="D8" s="113"/>
      <c r="E8" s="112"/>
      <c r="H8" s="12" t="s">
        <v>7</v>
      </c>
      <c r="I8" s="36"/>
      <c r="J8" s="104">
        <v>0.2</v>
      </c>
      <c r="M8" s="4"/>
      <c r="N8" s="7" t="s">
        <v>142</v>
      </c>
      <c r="O8" s="213">
        <v>0.95</v>
      </c>
      <c r="P8" s="59"/>
    </row>
    <row r="9" spans="3:16">
      <c r="C9" s="35"/>
      <c r="D9" s="36"/>
      <c r="E9" s="37"/>
      <c r="H9" s="35"/>
      <c r="I9" s="36"/>
      <c r="J9" s="37"/>
      <c r="M9" s="4"/>
      <c r="N9" s="7" t="s">
        <v>11</v>
      </c>
      <c r="O9" s="214">
        <f>1-O8</f>
        <v>5.0000000000000044E-2</v>
      </c>
      <c r="P9" s="59"/>
    </row>
    <row r="10" spans="3:16">
      <c r="C10" s="35"/>
      <c r="D10" s="36"/>
      <c r="E10" s="37"/>
      <c r="H10" s="12" t="s">
        <v>8</v>
      </c>
      <c r="I10" s="36"/>
      <c r="J10" s="104">
        <v>0.12</v>
      </c>
      <c r="M10" s="4"/>
      <c r="N10" s="2"/>
      <c r="O10" s="59"/>
      <c r="P10" s="59"/>
    </row>
    <row r="11" spans="3:16">
      <c r="C11" s="42"/>
      <c r="D11" s="43"/>
      <c r="E11" s="174"/>
      <c r="H11" s="35"/>
      <c r="I11" s="36"/>
      <c r="J11" s="37"/>
      <c r="M11" s="4"/>
      <c r="N11" s="2"/>
      <c r="O11" s="59"/>
      <c r="P11" s="59"/>
    </row>
    <row r="12" spans="3:16">
      <c r="H12" s="154" t="s">
        <v>9</v>
      </c>
      <c r="I12" s="43"/>
      <c r="J12" s="232">
        <v>0.4</v>
      </c>
      <c r="M12" s="35" t="s">
        <v>10</v>
      </c>
      <c r="N12" s="37" t="s">
        <v>122</v>
      </c>
      <c r="O12" s="228">
        <f>'1'!H15/'1'!L13</f>
        <v>0.5</v>
      </c>
      <c r="P12" s="217">
        <f>('1'!$H$16+'1'!$H$15)/'1'!$H$25</f>
        <v>0.49668874139292135</v>
      </c>
    </row>
    <row r="13" spans="3:16">
      <c r="E13" s="1" t="s">
        <v>173</v>
      </c>
      <c r="H13" s="5"/>
      <c r="I13" s="5"/>
      <c r="J13" s="5"/>
      <c r="M13" s="35"/>
      <c r="N13" s="37" t="s">
        <v>123</v>
      </c>
      <c r="O13" s="214">
        <f>'1'!H15/'1'!L13</f>
        <v>0.5</v>
      </c>
      <c r="P13" s="217">
        <f>('2'!$H$16+'2'!$H$15)/'2'!$H$25</f>
        <v>0.5397117448635389</v>
      </c>
    </row>
    <row r="14" spans="3:16">
      <c r="M14" s="35"/>
      <c r="N14" s="37" t="s">
        <v>124</v>
      </c>
      <c r="O14" s="214">
        <f>'3'!H15/'3'!L13</f>
        <v>0.65</v>
      </c>
      <c r="P14" s="217">
        <f>('3'!$H$16+'3'!$H$15)/'3'!$H$25</f>
        <v>0.63295880149812733</v>
      </c>
    </row>
    <row r="15" spans="3:16">
      <c r="M15" s="35"/>
      <c r="N15" s="37" t="s">
        <v>125</v>
      </c>
      <c r="O15" s="214">
        <f>'4'!H15/'4'!L13</f>
        <v>0.5</v>
      </c>
      <c r="P15" s="217">
        <f>('4'!$H$16+'4'!$H$15)/'4'!$H$25</f>
        <v>0.49554013875123887</v>
      </c>
    </row>
    <row r="16" spans="3:16">
      <c r="M16" s="229"/>
      <c r="N16" s="230" t="s">
        <v>109</v>
      </c>
      <c r="O16" s="184">
        <f>('1'!H15+'2'!H15+'3'!H15+'4'!H15)/('1'!L13+'2'!L13+'3'!L13+'4'!L13)</f>
        <v>0.58854625550660788</v>
      </c>
      <c r="P16" s="184">
        <f>(('1'!$H$16+'1'!$H$15)+('2'!$H$16+'2'!$H$15)+('3'!$H$16+'3'!$H$15)+('4'!$H$16+'4'!$H$15))/('1'!$H$25+'2'!$H$25+'3'!$H$25+'4'!$H$25)</f>
        <v>0.54600526596857468</v>
      </c>
    </row>
    <row r="19" spans="8:15">
      <c r="O19" s="231"/>
    </row>
    <row r="20" spans="8:15" ht="20">
      <c r="H20" s="268" t="s">
        <v>12</v>
      </c>
      <c r="I20" s="268"/>
      <c r="J20" s="268"/>
    </row>
    <row r="21" spans="8:15">
      <c r="H21" s="11"/>
      <c r="I21" s="209"/>
      <c r="J21" s="210"/>
    </row>
    <row r="22" spans="8:15">
      <c r="H22" s="105" t="s">
        <v>13</v>
      </c>
      <c r="I22" s="106" t="s">
        <v>14</v>
      </c>
      <c r="J22" s="107" t="s">
        <v>165</v>
      </c>
    </row>
    <row r="23" spans="8:15" ht="15">
      <c r="H23" s="10">
        <v>0</v>
      </c>
      <c r="I23" s="203">
        <f>'1'!$C$27</f>
        <v>4</v>
      </c>
      <c r="J23" s="202">
        <f>'1'!H13+'1'!H14</f>
        <v>11400000.015000001</v>
      </c>
    </row>
    <row r="24" spans="8:15" ht="15">
      <c r="H24" s="10">
        <v>1</v>
      </c>
      <c r="I24" s="203">
        <f>'2'!$C$27</f>
        <v>5</v>
      </c>
      <c r="J24" s="202">
        <f>'2'!$H$13+'2'!$H$14</f>
        <v>7880250</v>
      </c>
    </row>
    <row r="25" spans="8:15" ht="15">
      <c r="H25" s="10">
        <v>2</v>
      </c>
      <c r="I25" s="203">
        <f>'3'!$C$27</f>
        <v>5</v>
      </c>
      <c r="J25" s="202">
        <f>'3'!$H$13+'3'!$H$14</f>
        <v>13230000</v>
      </c>
    </row>
    <row r="26" spans="8:15" ht="15">
      <c r="H26" s="10">
        <v>3</v>
      </c>
      <c r="I26" s="203">
        <f>'4'!$C$27</f>
        <v>3</v>
      </c>
      <c r="J26" s="202">
        <f>'4'!$H$14+'4'!$H$13</f>
        <v>19087500</v>
      </c>
    </row>
    <row r="27" spans="8:15" ht="15">
      <c r="H27" s="35"/>
      <c r="I27" s="9"/>
      <c r="J27" s="37"/>
    </row>
    <row r="28" spans="8:15">
      <c r="H28" s="233" t="s">
        <v>109</v>
      </c>
      <c r="I28" s="234"/>
      <c r="J28" s="235">
        <f>SUM(J23:J26)</f>
        <v>51597750.015000001</v>
      </c>
    </row>
  </sheetData>
  <mergeCells count="6">
    <mergeCell ref="H20:J20"/>
    <mergeCell ref="C1:P1"/>
    <mergeCell ref="C2:P2"/>
    <mergeCell ref="C4:E4"/>
    <mergeCell ref="H4:J4"/>
    <mergeCell ref="M4:P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7"/>
  <sheetViews>
    <sheetView showGridLines="0" zoomScaleNormal="100" workbookViewId="0">
      <selection activeCell="D99" sqref="D99"/>
    </sheetView>
  </sheetViews>
  <sheetFormatPr baseColWidth="10" defaultColWidth="11.5" defaultRowHeight="13" outlineLevelRow="1"/>
  <cols>
    <col min="1" max="1" width="11.5" style="5"/>
    <col min="2" max="2" width="37.5" style="5" bestFit="1" customWidth="1"/>
    <col min="3" max="3" width="40.83203125" style="5" customWidth="1"/>
    <col min="4" max="4" width="19.5" style="5" customWidth="1"/>
    <col min="5" max="5" width="21.33203125" style="5" customWidth="1"/>
    <col min="6" max="6" width="16.5" style="5" bestFit="1" customWidth="1"/>
    <col min="7" max="7" width="19.1640625" style="5" customWidth="1"/>
    <col min="8" max="8" width="16.5" style="5" bestFit="1" customWidth="1"/>
    <col min="9" max="9" width="16.6640625" style="5" customWidth="1"/>
    <col min="10" max="10" width="19.1640625" style="5" customWidth="1"/>
    <col min="11" max="11" width="17.6640625" style="5" bestFit="1" customWidth="1"/>
    <col min="12" max="12" width="16.5" style="5" bestFit="1" customWidth="1"/>
    <col min="13" max="13" width="18.33203125" style="5" customWidth="1"/>
    <col min="14" max="15" width="16.33203125" style="5" bestFit="1" customWidth="1"/>
    <col min="16" max="16" width="19.5" style="5" bestFit="1" customWidth="1"/>
    <col min="17" max="17" width="15.5" style="5" bestFit="1" customWidth="1"/>
    <col min="18" max="16384" width="11.5" style="5"/>
  </cols>
  <sheetData>
    <row r="1" spans="1:18" ht="20">
      <c r="A1" s="269" t="s">
        <v>135</v>
      </c>
      <c r="B1" s="269"/>
      <c r="C1" s="269"/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</row>
    <row r="3" spans="1:18">
      <c r="C3" s="188" t="s">
        <v>134</v>
      </c>
      <c r="D3" s="85" t="s">
        <v>111</v>
      </c>
      <c r="E3" s="85" t="s">
        <v>112</v>
      </c>
      <c r="F3" s="85" t="s">
        <v>113</v>
      </c>
      <c r="G3" s="85" t="s">
        <v>89</v>
      </c>
      <c r="H3" s="85" t="s">
        <v>142</v>
      </c>
      <c r="I3" s="85" t="s">
        <v>11</v>
      </c>
      <c r="J3" s="85" t="s">
        <v>40</v>
      </c>
      <c r="K3" s="85" t="s">
        <v>114</v>
      </c>
      <c r="L3" s="85" t="s">
        <v>115</v>
      </c>
      <c r="M3" s="85" t="s">
        <v>116</v>
      </c>
      <c r="N3" s="85" t="s">
        <v>117</v>
      </c>
      <c r="O3" s="85" t="s">
        <v>118</v>
      </c>
      <c r="P3" s="185" t="s">
        <v>119</v>
      </c>
    </row>
    <row r="4" spans="1:18">
      <c r="C4" s="148" t="s">
        <v>90</v>
      </c>
      <c r="D4" s="190">
        <f>'1'!$F$36</f>
        <v>0</v>
      </c>
      <c r="E4" s="190">
        <f>'1'!$C$28</f>
        <v>4</v>
      </c>
      <c r="F4" s="191">
        <f>'1'!$H$25</f>
        <v>22650000.015000001</v>
      </c>
      <c r="G4" s="191">
        <f>a!J23</f>
        <v>11400000.015000001</v>
      </c>
      <c r="H4" s="191">
        <f>'1'!$H$13</f>
        <v>10830000.014250001</v>
      </c>
      <c r="I4" s="191">
        <f>'1'!$H$14</f>
        <v>570000.00075000059</v>
      </c>
      <c r="J4" s="191">
        <f>'1'!$L$14</f>
        <v>17500000</v>
      </c>
      <c r="K4" s="192">
        <f>'1'!$J$7</f>
        <v>0.13340635284928939</v>
      </c>
      <c r="L4" s="192">
        <f>'1'!$C$26</f>
        <v>6.5000000000000002E-2</v>
      </c>
      <c r="M4" s="193">
        <f>'1'!$C$13</f>
        <v>0</v>
      </c>
      <c r="N4" s="193">
        <f>'1'!$C$29</f>
        <v>2962115.375</v>
      </c>
      <c r="O4" s="194">
        <f>'1'!$C$84</f>
        <v>0.18694409728050229</v>
      </c>
      <c r="P4" s="195">
        <f>'1'!$C$85</f>
        <v>1.7978550531025608</v>
      </c>
    </row>
    <row r="5" spans="1:18">
      <c r="C5" s="148" t="s">
        <v>100</v>
      </c>
      <c r="D5" s="190">
        <f>'2'!$F$36</f>
        <v>1</v>
      </c>
      <c r="E5" s="190">
        <f>'2'!$C$28</f>
        <v>6</v>
      </c>
      <c r="F5" s="191">
        <f>'2'!$H$25</f>
        <v>17120250</v>
      </c>
      <c r="G5" s="191">
        <f>a!J24</f>
        <v>7880250</v>
      </c>
      <c r="H5" s="191">
        <f>'2'!$H$13</f>
        <v>7486237.5</v>
      </c>
      <c r="I5" s="191">
        <f>'2'!$H$14</f>
        <v>394012.50000000035</v>
      </c>
      <c r="J5" s="191">
        <f>'2'!$L$14</f>
        <v>6300000</v>
      </c>
      <c r="K5" s="192">
        <f>'2'!$J$7</f>
        <v>0.11547435955889077</v>
      </c>
      <c r="L5" s="192">
        <f>'2'!$C$26</f>
        <v>6.7500000000000004E-2</v>
      </c>
      <c r="M5" s="193">
        <f>'2'!$C$13</f>
        <v>0</v>
      </c>
      <c r="N5" s="193">
        <f>'2'!$C$29</f>
        <v>1957376.1428099999</v>
      </c>
      <c r="O5" s="194">
        <f>'2'!$C$84</f>
        <v>0.17124244570732114</v>
      </c>
      <c r="P5" s="195">
        <f>'2'!$C$85</f>
        <v>1.9234247139040537</v>
      </c>
    </row>
    <row r="6" spans="1:18">
      <c r="C6" s="148" t="s">
        <v>106</v>
      </c>
      <c r="D6" s="190">
        <f>'3'!$F$36</f>
        <v>2</v>
      </c>
      <c r="E6" s="190">
        <f>'3'!$C$28</f>
        <v>7</v>
      </c>
      <c r="F6" s="191">
        <f>'3'!$H$25</f>
        <v>36045000</v>
      </c>
      <c r="G6" s="191">
        <f>a!J25</f>
        <v>13230000</v>
      </c>
      <c r="H6" s="191">
        <f>'3'!$H$13</f>
        <v>12568500</v>
      </c>
      <c r="I6" s="191">
        <f>'3'!$H$14</f>
        <v>661500.00000000058</v>
      </c>
      <c r="J6" s="191">
        <f>'3'!$L$14</f>
        <v>5100000</v>
      </c>
      <c r="K6" s="192">
        <f>'3'!$J$7</f>
        <v>0.10706918862441948</v>
      </c>
      <c r="L6" s="192">
        <f>'3'!$C$26</f>
        <v>6.25E-2</v>
      </c>
      <c r="M6" s="193">
        <f>'3'!$C$13</f>
        <v>1700000</v>
      </c>
      <c r="N6" s="193">
        <f>'3'!$C$29</f>
        <v>3821097.92472</v>
      </c>
      <c r="O6" s="194">
        <f>'3'!$C$84</f>
        <v>0.17124671339988704</v>
      </c>
      <c r="P6" s="195">
        <f>'3'!$C$85</f>
        <v>2.0205522643324625</v>
      </c>
    </row>
    <row r="7" spans="1:18">
      <c r="C7" s="189" t="s">
        <v>110</v>
      </c>
      <c r="D7" s="196">
        <f>'4'!$F$36</f>
        <v>3</v>
      </c>
      <c r="E7" s="196">
        <f>'4'!$C$28</f>
        <v>6</v>
      </c>
      <c r="F7" s="197">
        <f>'4'!$H$25</f>
        <v>37837500</v>
      </c>
      <c r="G7" s="197">
        <f>a!J26</f>
        <v>19087500</v>
      </c>
      <c r="H7" s="197">
        <f>'4'!$H$13</f>
        <v>18133125</v>
      </c>
      <c r="I7" s="197">
        <f>'4'!$H$14</f>
        <v>954375.00000000081</v>
      </c>
      <c r="J7" s="197">
        <f>'4'!$L$14</f>
        <v>26250000</v>
      </c>
      <c r="K7" s="198">
        <f>'4'!$J$7</f>
        <v>0.10208026254687808</v>
      </c>
      <c r="L7" s="198">
        <f>'4'!$C$26</f>
        <v>0.06</v>
      </c>
      <c r="M7" s="199">
        <f>'4'!$C$13</f>
        <v>0</v>
      </c>
      <c r="N7" s="199">
        <f>'4'!$C$29</f>
        <v>3748867.5</v>
      </c>
      <c r="O7" s="200">
        <f>'4'!$C$84</f>
        <v>0.23901020884513854</v>
      </c>
      <c r="P7" s="201">
        <f>'4'!$C$85</f>
        <v>1.7203690810870287</v>
      </c>
    </row>
    <row r="9" spans="1:18">
      <c r="C9" s="90" t="s">
        <v>109</v>
      </c>
      <c r="D9" s="186">
        <f>MIN(D4:D7)</f>
        <v>0</v>
      </c>
      <c r="E9" s="186">
        <f>MAX(E4:E7)</f>
        <v>7</v>
      </c>
      <c r="F9" s="187">
        <f>SUM(F4:F7)</f>
        <v>113652750.015</v>
      </c>
      <c r="G9" s="187">
        <f>SUM(G4:G7)</f>
        <v>51597750.015000001</v>
      </c>
      <c r="H9" s="187">
        <f t="shared" ref="H9:I9" si="0">SUM(H4:H7)</f>
        <v>49017862.514250003</v>
      </c>
      <c r="I9" s="187">
        <f t="shared" si="0"/>
        <v>2579887.5007500025</v>
      </c>
      <c r="J9" s="187">
        <f>SUM(J4:J7)</f>
        <v>55150000</v>
      </c>
      <c r="K9" s="47"/>
      <c r="L9" s="47"/>
      <c r="M9" s="47"/>
      <c r="N9" s="47"/>
      <c r="O9" s="47"/>
      <c r="P9" s="48"/>
    </row>
    <row r="15" spans="1:18">
      <c r="F15" s="135"/>
    </row>
    <row r="17" spans="2:17">
      <c r="B17" s="49" t="s">
        <v>133</v>
      </c>
      <c r="C17" s="38"/>
      <c r="D17" s="39"/>
      <c r="E17" s="207">
        <v>43830</v>
      </c>
      <c r="F17" s="208">
        <f>EDATE(E17,12)</f>
        <v>44196</v>
      </c>
      <c r="G17" s="208">
        <f t="shared" ref="G17:P17" si="1">EDATE(F17,12)</f>
        <v>44561</v>
      </c>
      <c r="H17" s="208">
        <f t="shared" si="1"/>
        <v>44926</v>
      </c>
      <c r="I17" s="208">
        <f t="shared" si="1"/>
        <v>45291</v>
      </c>
      <c r="J17" s="208">
        <f t="shared" si="1"/>
        <v>45657</v>
      </c>
      <c r="K17" s="208">
        <f t="shared" si="1"/>
        <v>46022</v>
      </c>
      <c r="L17" s="208">
        <f t="shared" si="1"/>
        <v>46387</v>
      </c>
      <c r="M17" s="208">
        <f t="shared" si="1"/>
        <v>46752</v>
      </c>
      <c r="N17" s="208">
        <f t="shared" si="1"/>
        <v>47118</v>
      </c>
      <c r="O17" s="208">
        <f t="shared" si="1"/>
        <v>47483</v>
      </c>
      <c r="P17" s="208">
        <f t="shared" si="1"/>
        <v>47848</v>
      </c>
      <c r="Q17" s="171"/>
    </row>
    <row r="18" spans="2:17">
      <c r="B18" s="49" t="s">
        <v>84</v>
      </c>
      <c r="C18" s="38"/>
      <c r="D18" s="39"/>
      <c r="E18" s="171">
        <v>0</v>
      </c>
      <c r="F18" s="204">
        <v>1</v>
      </c>
      <c r="G18" s="205">
        <v>2</v>
      </c>
      <c r="H18" s="205">
        <v>3</v>
      </c>
      <c r="I18" s="205">
        <v>4</v>
      </c>
      <c r="J18" s="205">
        <v>5</v>
      </c>
      <c r="K18" s="205">
        <v>6</v>
      </c>
      <c r="L18" s="205">
        <v>7</v>
      </c>
      <c r="M18" s="205">
        <v>8</v>
      </c>
      <c r="N18" s="205">
        <v>9</v>
      </c>
      <c r="O18" s="205">
        <v>10</v>
      </c>
      <c r="P18" s="206">
        <v>11</v>
      </c>
      <c r="Q18" s="171" t="s">
        <v>132</v>
      </c>
    </row>
    <row r="19" spans="2:17" ht="14" thickBot="1">
      <c r="B19" s="79" t="s">
        <v>153</v>
      </c>
      <c r="C19" s="68"/>
      <c r="D19" s="172"/>
      <c r="E19" s="70"/>
      <c r="F19" s="69">
        <f>SUM(F21:F24)</f>
        <v>-7880250</v>
      </c>
      <c r="G19" s="69">
        <f t="shared" ref="G19" si="2">SUM(G21:G24)</f>
        <v>-13230000</v>
      </c>
      <c r="H19" s="69">
        <f t="shared" ref="H19" si="3">SUM(H21:H24)</f>
        <v>-19087500</v>
      </c>
      <c r="I19" s="69">
        <f t="shared" ref="I19" si="4">SUM(I21:I24)</f>
        <v>0</v>
      </c>
      <c r="J19" s="69">
        <f t="shared" ref="J19" si="5">SUM(J21:J24)</f>
        <v>0</v>
      </c>
      <c r="K19" s="69">
        <f t="shared" ref="K19" si="6">SUM(K21:K24)</f>
        <v>0</v>
      </c>
      <c r="L19" s="69">
        <f t="shared" ref="L19" si="7">SUM(L21:L24)</f>
        <v>0</v>
      </c>
      <c r="M19" s="69">
        <f t="shared" ref="M19" si="8">SUM(M21:M24)</f>
        <v>0</v>
      </c>
      <c r="N19" s="69">
        <f t="shared" ref="N19" si="9">SUM(N21:N24)</f>
        <v>0</v>
      </c>
      <c r="O19" s="69">
        <f t="shared" ref="O19" si="10">SUM(O21:O24)</f>
        <v>0</v>
      </c>
      <c r="P19" s="69">
        <f t="shared" ref="P19" si="11">SUM(P21:P24)</f>
        <v>0</v>
      </c>
      <c r="Q19" s="175">
        <f>SUM(E19:P19)</f>
        <v>-40197750</v>
      </c>
    </row>
    <row r="20" spans="2:17" s="255" customFormat="1" ht="14" thickTop="1">
      <c r="B20" s="251"/>
      <c r="C20" s="127"/>
      <c r="D20" s="252"/>
      <c r="E20" s="253"/>
      <c r="F20" s="130"/>
      <c r="G20" s="130"/>
      <c r="H20" s="130"/>
      <c r="I20" s="130"/>
      <c r="J20" s="130"/>
      <c r="K20" s="130"/>
      <c r="L20" s="130"/>
      <c r="M20" s="130"/>
      <c r="N20" s="130"/>
      <c r="O20" s="130"/>
      <c r="P20" s="130"/>
      <c r="Q20" s="254"/>
    </row>
    <row r="21" spans="2:17" s="255" customFormat="1" outlineLevel="1">
      <c r="B21" s="256" t="s">
        <v>122</v>
      </c>
      <c r="C21" s="127"/>
      <c r="D21" s="252"/>
      <c r="E21" s="254">
        <f>-IF(E$18=$D4,$G4,0)</f>
        <v>-11400000.015000001</v>
      </c>
      <c r="F21" s="130">
        <f t="shared" ref="F21:P21" si="12">-IF(F$18=$D4,$G4,0)</f>
        <v>0</v>
      </c>
      <c r="G21" s="130">
        <f t="shared" si="12"/>
        <v>0</v>
      </c>
      <c r="H21" s="130">
        <f t="shared" si="12"/>
        <v>0</v>
      </c>
      <c r="I21" s="130">
        <f t="shared" si="12"/>
        <v>0</v>
      </c>
      <c r="J21" s="130">
        <f t="shared" si="12"/>
        <v>0</v>
      </c>
      <c r="K21" s="130">
        <f t="shared" si="12"/>
        <v>0</v>
      </c>
      <c r="L21" s="130">
        <f t="shared" si="12"/>
        <v>0</v>
      </c>
      <c r="M21" s="130">
        <f t="shared" si="12"/>
        <v>0</v>
      </c>
      <c r="N21" s="130">
        <f t="shared" si="12"/>
        <v>0</v>
      </c>
      <c r="O21" s="130">
        <f t="shared" si="12"/>
        <v>0</v>
      </c>
      <c r="P21" s="130">
        <f t="shared" si="12"/>
        <v>0</v>
      </c>
      <c r="Q21" s="254"/>
    </row>
    <row r="22" spans="2:17" s="255" customFormat="1" outlineLevel="1">
      <c r="B22" s="256" t="s">
        <v>123</v>
      </c>
      <c r="C22" s="127"/>
      <c r="D22" s="252"/>
      <c r="E22" s="253"/>
      <c r="F22" s="130">
        <f>-IF(F$18=$D5,$G5,0)</f>
        <v>-7880250</v>
      </c>
      <c r="G22" s="130">
        <f t="shared" ref="G22:P22" si="13">-IF(G$18=$D5,$G5,0)</f>
        <v>0</v>
      </c>
      <c r="H22" s="130">
        <f t="shared" si="13"/>
        <v>0</v>
      </c>
      <c r="I22" s="130">
        <f t="shared" si="13"/>
        <v>0</v>
      </c>
      <c r="J22" s="130">
        <f t="shared" si="13"/>
        <v>0</v>
      </c>
      <c r="K22" s="130">
        <f t="shared" si="13"/>
        <v>0</v>
      </c>
      <c r="L22" s="130">
        <f t="shared" si="13"/>
        <v>0</v>
      </c>
      <c r="M22" s="130">
        <f t="shared" si="13"/>
        <v>0</v>
      </c>
      <c r="N22" s="130">
        <f t="shared" si="13"/>
        <v>0</v>
      </c>
      <c r="O22" s="130">
        <f t="shared" si="13"/>
        <v>0</v>
      </c>
      <c r="P22" s="130">
        <f t="shared" si="13"/>
        <v>0</v>
      </c>
      <c r="Q22" s="254"/>
    </row>
    <row r="23" spans="2:17" s="255" customFormat="1" outlineLevel="1">
      <c r="B23" s="256" t="s">
        <v>124</v>
      </c>
      <c r="C23" s="127"/>
      <c r="D23" s="252"/>
      <c r="E23" s="253"/>
      <c r="F23" s="130">
        <f>-IF(F$18=$D6,$G6,0)</f>
        <v>0</v>
      </c>
      <c r="G23" s="130">
        <f>-IF(G$18=$D6,$G6,0)</f>
        <v>-13230000</v>
      </c>
      <c r="H23" s="130">
        <f t="shared" ref="H23:P23" si="14">-IF(H$18=$D6,$G6,0)</f>
        <v>0</v>
      </c>
      <c r="I23" s="130">
        <f t="shared" si="14"/>
        <v>0</v>
      </c>
      <c r="J23" s="130">
        <f t="shared" si="14"/>
        <v>0</v>
      </c>
      <c r="K23" s="130">
        <f t="shared" si="14"/>
        <v>0</v>
      </c>
      <c r="L23" s="130">
        <f t="shared" si="14"/>
        <v>0</v>
      </c>
      <c r="M23" s="130">
        <f t="shared" si="14"/>
        <v>0</v>
      </c>
      <c r="N23" s="130">
        <f t="shared" si="14"/>
        <v>0</v>
      </c>
      <c r="O23" s="130">
        <f t="shared" si="14"/>
        <v>0</v>
      </c>
      <c r="P23" s="130">
        <f t="shared" si="14"/>
        <v>0</v>
      </c>
      <c r="Q23" s="254"/>
    </row>
    <row r="24" spans="2:17" s="255" customFormat="1" outlineLevel="1">
      <c r="B24" s="256" t="s">
        <v>125</v>
      </c>
      <c r="C24" s="127"/>
      <c r="D24" s="252"/>
      <c r="E24" s="253"/>
      <c r="F24" s="130">
        <f>-IF(F$18=$D7,$G7,0)</f>
        <v>0</v>
      </c>
      <c r="G24" s="130">
        <f t="shared" ref="G24:P24" si="15">-IF(G$18=$D7,$G7,0)</f>
        <v>0</v>
      </c>
      <c r="H24" s="130">
        <f t="shared" si="15"/>
        <v>-19087500</v>
      </c>
      <c r="I24" s="130">
        <f t="shared" si="15"/>
        <v>0</v>
      </c>
      <c r="J24" s="130">
        <f t="shared" si="15"/>
        <v>0</v>
      </c>
      <c r="K24" s="130">
        <f t="shared" si="15"/>
        <v>0</v>
      </c>
      <c r="L24" s="130">
        <f t="shared" si="15"/>
        <v>0</v>
      </c>
      <c r="M24" s="130">
        <f t="shared" si="15"/>
        <v>0</v>
      </c>
      <c r="N24" s="130">
        <f t="shared" si="15"/>
        <v>0</v>
      </c>
      <c r="O24" s="130">
        <f t="shared" si="15"/>
        <v>0</v>
      </c>
      <c r="P24" s="130">
        <f t="shared" si="15"/>
        <v>0</v>
      </c>
      <c r="Q24" s="254"/>
    </row>
    <row r="25" spans="2:17" s="255" customFormat="1" ht="14" thickBot="1">
      <c r="B25" s="257" t="s">
        <v>126</v>
      </c>
      <c r="C25" s="258"/>
      <c r="D25" s="259"/>
      <c r="E25" s="260"/>
      <c r="F25" s="261">
        <f t="shared" ref="F25:P25" si="16">SUM(F27:F30)</f>
        <v>0</v>
      </c>
      <c r="G25" s="261">
        <f t="shared" si="16"/>
        <v>468961.64383561647</v>
      </c>
      <c r="H25" s="261">
        <f t="shared" si="16"/>
        <v>6524562.4657534249</v>
      </c>
      <c r="I25" s="261">
        <f t="shared" si="16"/>
        <v>7665003.694178082</v>
      </c>
      <c r="J25" s="261">
        <f t="shared" si="16"/>
        <v>7544762.9700410962</v>
      </c>
      <c r="K25" s="261">
        <f t="shared" si="16"/>
        <v>9489508.91481</v>
      </c>
      <c r="L25" s="261">
        <f t="shared" si="16"/>
        <v>3821097.92472</v>
      </c>
      <c r="M25" s="261">
        <f t="shared" si="16"/>
        <v>0</v>
      </c>
      <c r="N25" s="261">
        <f t="shared" si="16"/>
        <v>0</v>
      </c>
      <c r="O25" s="261">
        <f t="shared" si="16"/>
        <v>0</v>
      </c>
      <c r="P25" s="261">
        <f t="shared" si="16"/>
        <v>0</v>
      </c>
      <c r="Q25" s="262">
        <f>SUM(E25:P25)</f>
        <v>35513897.613338217</v>
      </c>
    </row>
    <row r="26" spans="2:17" s="255" customFormat="1" ht="14" thickTop="1">
      <c r="B26" s="251"/>
      <c r="C26" s="127"/>
      <c r="D26" s="252"/>
      <c r="E26" s="253"/>
      <c r="F26" s="130"/>
      <c r="G26" s="130"/>
      <c r="H26" s="130"/>
      <c r="I26" s="130"/>
      <c r="J26" s="130"/>
      <c r="K26" s="130"/>
      <c r="L26" s="130"/>
      <c r="M26" s="130"/>
      <c r="N26" s="130"/>
      <c r="O26" s="130"/>
      <c r="P26" s="130"/>
      <c r="Q26" s="254"/>
    </row>
    <row r="27" spans="2:17" s="255" customFormat="1" hidden="1" outlineLevel="1">
      <c r="B27" s="256" t="s">
        <v>122</v>
      </c>
      <c r="C27" s="127"/>
      <c r="D27" s="252"/>
      <c r="E27" s="253"/>
      <c r="F27" s="130">
        <f>IF($E$4&lt;F$18,0,'1'!F41)</f>
        <v>0</v>
      </c>
      <c r="G27" s="130">
        <f>IF($E$4&lt;G$18,0,'1'!G41)</f>
        <v>0</v>
      </c>
      <c r="H27" s="130">
        <f>IF($E$4&lt;H$18,0,'1'!H41)</f>
        <v>2924752.4657534249</v>
      </c>
      <c r="I27" s="130">
        <f>IF($E$4&lt;I$18,0,'1'!I41)</f>
        <v>2962115.375</v>
      </c>
      <c r="J27" s="130">
        <f>IF($E$4&lt;J$18,0,'1'!J41)</f>
        <v>0</v>
      </c>
      <c r="K27" s="130">
        <f>IF($E$4&lt;K$18,0,'1'!K41)</f>
        <v>0</v>
      </c>
      <c r="L27" s="130">
        <f>IF($E$4&lt;L$18,0,'1'!L41)</f>
        <v>0</v>
      </c>
      <c r="M27" s="130">
        <f>IF($E$4&lt;M$18,0,'1'!M41)</f>
        <v>0</v>
      </c>
      <c r="N27" s="130">
        <f>IF($E$4&lt;N$18,0,'1'!N41)</f>
        <v>0</v>
      </c>
      <c r="O27" s="130">
        <f>IF($E$4&lt;O$18,0,'1'!O41)</f>
        <v>0</v>
      </c>
      <c r="P27" s="130">
        <f>IF($E$4&lt;P$18,0,'1'!P41)</f>
        <v>0</v>
      </c>
      <c r="Q27" s="254">
        <f t="shared" ref="Q27:Q79" si="17">SUM(E27:P27)</f>
        <v>5886867.8407534249</v>
      </c>
    </row>
    <row r="28" spans="2:17" s="255" customFormat="1" hidden="1" outlineLevel="1">
      <c r="B28" s="256" t="s">
        <v>123</v>
      </c>
      <c r="C28" s="127"/>
      <c r="D28" s="252"/>
      <c r="E28" s="253"/>
      <c r="F28" s="130">
        <f>IF($E$5&lt;F$18,0,'2'!E41)</f>
        <v>0</v>
      </c>
      <c r="G28" s="130">
        <f>IF($E$5&lt;G$18,0,'2'!F41)</f>
        <v>468961.64383561647</v>
      </c>
      <c r="H28" s="130">
        <f>IF($E$5&lt;H$18,0,'2'!G41)</f>
        <v>1899810</v>
      </c>
      <c r="I28" s="130">
        <f>IF($E$5&lt;I$18,0,'2'!H41)</f>
        <v>1918808.0999999999</v>
      </c>
      <c r="J28" s="130">
        <f>IF($E$5&lt;J$18,0,'2'!I41)</f>
        <v>1937996.1809999996</v>
      </c>
      <c r="K28" s="130">
        <f>IF($E$5&lt;K$18,0,'2'!J41)</f>
        <v>1957376.1428099999</v>
      </c>
      <c r="L28" s="130">
        <f>IF($E$5&lt;L$18,0,'2'!K41)</f>
        <v>0</v>
      </c>
      <c r="M28" s="130">
        <f>IF($E$5&lt;M$18,0,'2'!L41)</f>
        <v>0</v>
      </c>
      <c r="N28" s="130">
        <f>IF($E$5&lt;N$18,0,'2'!M41)</f>
        <v>0</v>
      </c>
      <c r="O28" s="130">
        <f>IF($E$5&lt;O$18,0,'2'!N41)</f>
        <v>0</v>
      </c>
      <c r="P28" s="130">
        <f>IF($E$5&lt;P$18,0,'2'!O41)</f>
        <v>0</v>
      </c>
      <c r="Q28" s="254">
        <f t="shared" si="17"/>
        <v>8182952.0676456159</v>
      </c>
    </row>
    <row r="29" spans="2:17" s="255" customFormat="1" hidden="1" outlineLevel="1">
      <c r="B29" s="256" t="s">
        <v>124</v>
      </c>
      <c r="C29" s="127"/>
      <c r="D29" s="252"/>
      <c r="E29" s="253"/>
      <c r="F29" s="130"/>
      <c r="G29" s="130">
        <f>IF($E$6&lt;G$18,0,'3'!E41)</f>
        <v>0</v>
      </c>
      <c r="H29" s="130">
        <f>IF($E$6&lt;H$18,0,'3'!F41)</f>
        <v>1700000</v>
      </c>
      <c r="I29" s="130">
        <f>IF($E$6&lt;I$18,0,'3'!G41)</f>
        <v>2784080.2191780824</v>
      </c>
      <c r="J29" s="130">
        <f>IF($E$6&lt;J$18,0,'3'!H41)</f>
        <v>3745807.2</v>
      </c>
      <c r="K29" s="130">
        <f>IF($E$6&lt;K$18,0,'3'!I41)</f>
        <v>3783265.2720000003</v>
      </c>
      <c r="L29" s="130">
        <f>IF($E$6&lt;L$18,0,'3'!J41)</f>
        <v>3821097.92472</v>
      </c>
      <c r="M29" s="130">
        <f>IF($E$6&lt;M$18,0,'3'!K41)</f>
        <v>0</v>
      </c>
      <c r="N29" s="130">
        <f>IF($E$6&lt;N$18,0,'3'!L41)</f>
        <v>0</v>
      </c>
      <c r="O29" s="130">
        <f>IF($E$6&lt;O$18,0,'3'!M41)</f>
        <v>0</v>
      </c>
      <c r="P29" s="130">
        <f>IF($E$6&lt;P$18,0,'3'!N41)</f>
        <v>0</v>
      </c>
      <c r="Q29" s="254">
        <f t="shared" si="17"/>
        <v>15834250.615898084</v>
      </c>
    </row>
    <row r="30" spans="2:17" s="255" customFormat="1" hidden="1" outlineLevel="1">
      <c r="B30" s="256" t="s">
        <v>125</v>
      </c>
      <c r="C30" s="127"/>
      <c r="D30" s="252"/>
      <c r="E30" s="253"/>
      <c r="F30" s="130"/>
      <c r="G30" s="130"/>
      <c r="H30" s="130">
        <f>IF($E$7&lt;H$18,0,'4'!E41)</f>
        <v>0</v>
      </c>
      <c r="I30" s="130">
        <f>IF($E$7&lt;I$18,0,'4'!F41)</f>
        <v>0</v>
      </c>
      <c r="J30" s="130">
        <f>IF($E$7&lt;J$18,0,'4'!G41)</f>
        <v>1860959.5890410962</v>
      </c>
      <c r="K30" s="130">
        <f>IF($E$7&lt;K$18,0,'4'!H41)</f>
        <v>3748867.5</v>
      </c>
      <c r="L30" s="130">
        <f>IF($E$7&lt;L$18,0,'4'!I41)</f>
        <v>0</v>
      </c>
      <c r="M30" s="130">
        <f>IF($E$7&lt;M$18,0,'4'!J41)</f>
        <v>0</v>
      </c>
      <c r="N30" s="130">
        <f>IF($E$7&lt;N$18,0,'4'!K41)</f>
        <v>0</v>
      </c>
      <c r="O30" s="130">
        <f>IF($E$7&lt;O$18,0,'4'!L41)</f>
        <v>0</v>
      </c>
      <c r="P30" s="130">
        <f>IF($E$7&lt;P$18,0,'4'!M41)</f>
        <v>0</v>
      </c>
      <c r="Q30" s="254">
        <f t="shared" si="17"/>
        <v>5609827.0890410962</v>
      </c>
    </row>
    <row r="31" spans="2:17" s="255" customFormat="1" ht="14" collapsed="1" thickBot="1">
      <c r="B31" s="257" t="s">
        <v>127</v>
      </c>
      <c r="C31" s="258"/>
      <c r="D31" s="259"/>
      <c r="E31" s="260"/>
      <c r="F31" s="261">
        <f>SUM(F33:F36)</f>
        <v>-250000</v>
      </c>
      <c r="G31" s="261">
        <f t="shared" ref="G31" si="18">SUM(G33:G36)</f>
        <v>-1854087.8493150687</v>
      </c>
      <c r="H31" s="261">
        <f t="shared" ref="H31" si="19">SUM(H33:H36)</f>
        <v>1061087.0424657534</v>
      </c>
      <c r="I31" s="261">
        <f t="shared" ref="I31" si="20">SUM(I33:I36)</f>
        <v>2460178.8973270557</v>
      </c>
      <c r="J31" s="261">
        <f t="shared" ref="J31" si="21">SUM(J33:J36)</f>
        <v>1171631.2230589718</v>
      </c>
      <c r="K31" s="261">
        <f t="shared" ref="K31" si="22">SUM(K33:K36)</f>
        <v>9000724.5944539458</v>
      </c>
      <c r="L31" s="261">
        <f t="shared" ref="L31" si="23">SUM(L33:L36)</f>
        <v>3498427.4332992001</v>
      </c>
      <c r="M31" s="261">
        <f t="shared" ref="M31" si="24">SUM(M33:M36)</f>
        <v>0</v>
      </c>
      <c r="N31" s="261">
        <f t="shared" ref="N31" si="25">SUM(N33:N36)</f>
        <v>0</v>
      </c>
      <c r="O31" s="261">
        <f t="shared" ref="O31" si="26">SUM(O33:O36)</f>
        <v>0</v>
      </c>
      <c r="P31" s="261">
        <f t="shared" ref="P31" si="27">SUM(P33:P36)</f>
        <v>0</v>
      </c>
      <c r="Q31" s="262">
        <f>SUM(E31:P31)</f>
        <v>15087961.341289857</v>
      </c>
    </row>
    <row r="32" spans="2:17" s="255" customFormat="1" ht="14" thickTop="1">
      <c r="B32" s="251"/>
      <c r="C32" s="127"/>
      <c r="D32" s="252"/>
      <c r="E32" s="253"/>
      <c r="F32" s="130"/>
      <c r="G32" s="130"/>
      <c r="H32" s="130"/>
      <c r="I32" s="130"/>
      <c r="J32" s="130"/>
      <c r="K32" s="130"/>
      <c r="L32" s="130"/>
      <c r="M32" s="130"/>
      <c r="N32" s="130"/>
      <c r="O32" s="130"/>
      <c r="P32" s="130"/>
      <c r="Q32" s="254"/>
    </row>
    <row r="33" spans="2:17" s="255" customFormat="1" hidden="1" outlineLevel="1">
      <c r="B33" s="256" t="s">
        <v>122</v>
      </c>
      <c r="C33" s="127"/>
      <c r="D33" s="252"/>
      <c r="E33" s="253"/>
      <c r="F33" s="130">
        <f>IF($E$4&lt;F$18,0,'1'!F55)</f>
        <v>-250000</v>
      </c>
      <c r="G33" s="130">
        <f>IF($E$4&lt;G$18,0,'1'!G55)</f>
        <v>-252500</v>
      </c>
      <c r="H33" s="130">
        <f>IF($E$4&lt;H$18,0,'1'!H55)</f>
        <v>-907069.98561643832</v>
      </c>
      <c r="I33" s="130">
        <f>IF($E$4&lt;I$18,0,'1'!I55)</f>
        <v>2880320.7351284251</v>
      </c>
      <c r="J33" s="130">
        <f>IF($E$4&lt;J$18,0,'1'!J55)</f>
        <v>0</v>
      </c>
      <c r="K33" s="130">
        <f>IF($E$4&lt;K$18,0,'1'!K55)</f>
        <v>0</v>
      </c>
      <c r="L33" s="130">
        <f>IF($E$4&lt;L$18,0,'1'!L55)</f>
        <v>0</v>
      </c>
      <c r="M33" s="130">
        <f>IF($E$4&lt;M$18,0,'1'!M55)</f>
        <v>0</v>
      </c>
      <c r="N33" s="130">
        <f>IF($E$4&lt;N$18,0,'1'!N55)</f>
        <v>0</v>
      </c>
      <c r="O33" s="130">
        <f>IF($E$4&lt;O$18,0,'1'!O55)</f>
        <v>0</v>
      </c>
      <c r="P33" s="130">
        <f>IF($E$4&lt;P$18,0,'1'!P55)</f>
        <v>0</v>
      </c>
      <c r="Q33" s="254">
        <f t="shared" si="17"/>
        <v>1470750.7495119867</v>
      </c>
    </row>
    <row r="34" spans="2:17" s="255" customFormat="1" hidden="1" outlineLevel="1">
      <c r="B34" s="256" t="s">
        <v>123</v>
      </c>
      <c r="C34" s="127"/>
      <c r="D34" s="252"/>
      <c r="E34" s="253"/>
      <c r="F34" s="130">
        <f>IF($E$5&lt;F$18,0,'2'!E55)</f>
        <v>0</v>
      </c>
      <c r="G34" s="130">
        <f>IF($E$5&lt;G$18,0,'2'!F55)</f>
        <v>-1601587.8493150687</v>
      </c>
      <c r="H34" s="130">
        <f>IF($E$5&lt;H$18,0,'2'!G55)</f>
        <v>1568657.0280821917</v>
      </c>
      <c r="I34" s="130">
        <f>IF($E$5&lt;I$18,0,'2'!H55)</f>
        <v>1821169.2285</v>
      </c>
      <c r="J34" s="130">
        <f>IF($E$5&lt;J$18,0,'2'!I55)</f>
        <v>1839380.9207849996</v>
      </c>
      <c r="K34" s="130">
        <f>IF($E$5&lt;K$18,0,'2'!J55)</f>
        <v>1857774.7299928498</v>
      </c>
      <c r="L34" s="130">
        <f>IF($E$5&lt;L$18,0,'2'!K55)</f>
        <v>0</v>
      </c>
      <c r="M34" s="130">
        <f>IF($E$5&lt;M$18,0,'2'!L55)</f>
        <v>0</v>
      </c>
      <c r="N34" s="130">
        <f>IF($E$5&lt;N$18,0,'2'!M55)</f>
        <v>0</v>
      </c>
      <c r="O34" s="130">
        <f>IF($E$5&lt;O$18,0,'2'!N55)</f>
        <v>0</v>
      </c>
      <c r="P34" s="130">
        <f>IF($E$5&lt;P$18,0,'2'!O55)</f>
        <v>0</v>
      </c>
      <c r="Q34" s="254">
        <f t="shared" si="17"/>
        <v>5485394.0580449719</v>
      </c>
    </row>
    <row r="35" spans="2:17" s="255" customFormat="1" hidden="1" outlineLevel="1">
      <c r="B35" s="256" t="s">
        <v>124</v>
      </c>
      <c r="C35" s="127"/>
      <c r="D35" s="252"/>
      <c r="E35" s="253"/>
      <c r="F35" s="130"/>
      <c r="G35" s="130">
        <f>IF($E$6&lt;G$18,0,'3'!E55)</f>
        <v>0</v>
      </c>
      <c r="H35" s="130">
        <f>IF($E$6&lt;H$18,0,'3'!F55)</f>
        <v>399500</v>
      </c>
      <c r="I35" s="130">
        <f>IF($E$6&lt;I$18,0,'3'!G55)</f>
        <v>-1978811.0663013696</v>
      </c>
      <c r="J35" s="130">
        <f>IF($E$6&lt;J$18,0,'3'!H55)</f>
        <v>594864.01117808186</v>
      </c>
      <c r="K35" s="130">
        <f>IF($E$6&lt;K$18,0,'3'!I55)</f>
        <v>3463789.5379200005</v>
      </c>
      <c r="L35" s="130">
        <f>IF($E$6&lt;L$18,0,'3'!J55)</f>
        <v>3498427.4332992001</v>
      </c>
      <c r="M35" s="130">
        <f>IF($E$6&lt;M$18,0,'3'!K55)</f>
        <v>0</v>
      </c>
      <c r="N35" s="130">
        <f>IF($E$6&lt;N$18,0,'3'!L55)</f>
        <v>0</v>
      </c>
      <c r="O35" s="130">
        <f>IF($E$6&lt;O$18,0,'3'!M55)</f>
        <v>0</v>
      </c>
      <c r="P35" s="130">
        <f>IF($E$6&lt;P$18,0,'3'!N55)</f>
        <v>0</v>
      </c>
      <c r="Q35" s="254">
        <f t="shared" si="17"/>
        <v>5977769.9160959125</v>
      </c>
    </row>
    <row r="36" spans="2:17" s="255" customFormat="1" hidden="1" outlineLevel="1">
      <c r="B36" s="256" t="s">
        <v>125</v>
      </c>
      <c r="C36" s="127"/>
      <c r="D36" s="252"/>
      <c r="E36" s="253"/>
      <c r="F36" s="130"/>
      <c r="G36" s="130"/>
      <c r="H36" s="130">
        <f>IF($E$7&lt;H$18,0,'4'!E55)</f>
        <v>0</v>
      </c>
      <c r="I36" s="130">
        <f>IF($E$7&lt;I$18,0,'4'!F55)</f>
        <v>-262500</v>
      </c>
      <c r="J36" s="130">
        <f>IF($E$7&lt;J$18,0,'4'!G55)</f>
        <v>-1262613.7089041097</v>
      </c>
      <c r="K36" s="130">
        <f>IF($E$7&lt;K$18,0,'4'!H55)</f>
        <v>3679160.326541096</v>
      </c>
      <c r="L36" s="130">
        <f>IF($E$7&lt;L$18,0,'4'!I55)</f>
        <v>0</v>
      </c>
      <c r="M36" s="130">
        <f>IF($E$7&lt;M$18,0,'4'!J55)</f>
        <v>0</v>
      </c>
      <c r="N36" s="130">
        <f>IF($E$7&lt;N$18,0,'4'!K55)</f>
        <v>0</v>
      </c>
      <c r="O36" s="130">
        <f>IF($E$7&lt;O$18,0,'4'!L55)</f>
        <v>0</v>
      </c>
      <c r="P36" s="130">
        <f>IF($E$7&lt;P$18,0,'4'!M55)</f>
        <v>0</v>
      </c>
      <c r="Q36" s="254">
        <f t="shared" si="17"/>
        <v>2154046.6176369861</v>
      </c>
    </row>
    <row r="37" spans="2:17" s="255" customFormat="1" ht="14" collapsed="1" thickBot="1">
      <c r="B37" s="257" t="s">
        <v>40</v>
      </c>
      <c r="C37" s="258"/>
      <c r="D37" s="259"/>
      <c r="E37" s="260"/>
      <c r="F37" s="261">
        <f>SUM(F39:F42)</f>
        <v>-17500000</v>
      </c>
      <c r="G37" s="261">
        <f t="shared" ref="G37" si="28">SUM(G39:G42)</f>
        <v>-6300000</v>
      </c>
      <c r="H37" s="261">
        <f t="shared" ref="H37" si="29">SUM(H39:H42)</f>
        <v>0</v>
      </c>
      <c r="I37" s="261">
        <f t="shared" ref="I37" si="30">SUM(I39:I42)</f>
        <v>-31350000</v>
      </c>
      <c r="J37" s="261">
        <f t="shared" ref="J37" si="31">SUM(J39:J42)</f>
        <v>0</v>
      </c>
      <c r="K37" s="261">
        <f t="shared" ref="K37" si="32">SUM(K39:K42)</f>
        <v>0</v>
      </c>
      <c r="L37" s="261">
        <f t="shared" ref="L37" si="33">SUM(L39:L42)</f>
        <v>0</v>
      </c>
      <c r="M37" s="261">
        <f t="shared" ref="M37" si="34">SUM(M39:M42)</f>
        <v>0</v>
      </c>
      <c r="N37" s="261">
        <f t="shared" ref="N37" si="35">SUM(N39:N42)</f>
        <v>0</v>
      </c>
      <c r="O37" s="261">
        <f t="shared" ref="O37" si="36">SUM(O39:O42)</f>
        <v>0</v>
      </c>
      <c r="P37" s="261">
        <f t="shared" ref="P37" si="37">SUM(P39:P42)</f>
        <v>0</v>
      </c>
      <c r="Q37" s="262">
        <f t="shared" si="17"/>
        <v>-55150000</v>
      </c>
    </row>
    <row r="38" spans="2:17" s="255" customFormat="1" ht="14" thickTop="1">
      <c r="B38" s="251"/>
      <c r="C38" s="127"/>
      <c r="D38" s="252"/>
      <c r="E38" s="253"/>
      <c r="F38" s="130"/>
      <c r="G38" s="130"/>
      <c r="H38" s="130"/>
      <c r="I38" s="130"/>
      <c r="J38" s="130"/>
      <c r="K38" s="130"/>
      <c r="L38" s="130"/>
      <c r="M38" s="130"/>
      <c r="N38" s="130"/>
      <c r="O38" s="130"/>
      <c r="P38" s="130"/>
      <c r="Q38" s="254"/>
    </row>
    <row r="39" spans="2:17" s="255" customFormat="1" hidden="1" outlineLevel="1">
      <c r="B39" s="256" t="s">
        <v>122</v>
      </c>
      <c r="C39" s="127"/>
      <c r="D39" s="252"/>
      <c r="E39" s="253"/>
      <c r="F39" s="130">
        <f>IF($E$4&lt;F$18,0,'1'!F57)</f>
        <v>-17500000</v>
      </c>
      <c r="G39" s="130">
        <f>IF($E$4&lt;G$18,0,'1'!G57)</f>
        <v>0</v>
      </c>
      <c r="H39" s="130">
        <f>IF($E$4&lt;H$18,0,'1'!H57)</f>
        <v>0</v>
      </c>
      <c r="I39" s="130">
        <f>IF($E$4&lt;I$18,0,'1'!I57)</f>
        <v>0</v>
      </c>
      <c r="J39" s="130">
        <f>IF($E$4&lt;J$18,0,'1'!J57)</f>
        <v>0</v>
      </c>
      <c r="K39" s="130">
        <f>IF($E$4&lt;K$18,0,'1'!K57)</f>
        <v>0</v>
      </c>
      <c r="L39" s="130">
        <f>IF($E$4&lt;L$18,0,'1'!L57)</f>
        <v>0</v>
      </c>
      <c r="M39" s="130">
        <f>IF($E$4&lt;M$18,0,'1'!M57)</f>
        <v>0</v>
      </c>
      <c r="N39" s="130">
        <f>IF($E$4&lt;N$18,0,'1'!N57)</f>
        <v>0</v>
      </c>
      <c r="O39" s="130">
        <f>IF($E$4&lt;O$18,0,'1'!O57)</f>
        <v>0</v>
      </c>
      <c r="P39" s="130">
        <f>IF($E$4&lt;P$18,0,'1'!P57)</f>
        <v>0</v>
      </c>
      <c r="Q39" s="254">
        <f t="shared" ref="Q39:Q42" si="38">SUM(E39:P39)</f>
        <v>-17500000</v>
      </c>
    </row>
    <row r="40" spans="2:17" s="255" customFormat="1" hidden="1" outlineLevel="1">
      <c r="B40" s="256" t="s">
        <v>123</v>
      </c>
      <c r="C40" s="127"/>
      <c r="D40" s="252"/>
      <c r="E40" s="253"/>
      <c r="F40" s="130">
        <f>IF($E$5&lt;F$18,0,'2'!E57)</f>
        <v>0</v>
      </c>
      <c r="G40" s="130">
        <f>IF($E$5&lt;G$18,0,'2'!F57)</f>
        <v>-6300000</v>
      </c>
      <c r="H40" s="130">
        <f>IF($E$5&lt;H$18,0,'2'!G57)</f>
        <v>0</v>
      </c>
      <c r="I40" s="130">
        <f>IF($E$5&lt;I$18,0,'2'!H57)</f>
        <v>0</v>
      </c>
      <c r="J40" s="130">
        <f>IF($E$5&lt;J$18,0,'2'!I57)</f>
        <v>0</v>
      </c>
      <c r="K40" s="130">
        <f>IF($E$5&lt;K$18,0,'2'!J57)</f>
        <v>0</v>
      </c>
      <c r="L40" s="130">
        <f>IF($E$5&lt;L$18,0,'2'!K57)</f>
        <v>0</v>
      </c>
      <c r="M40" s="130">
        <f>IF($E$5&lt;M$18,0,'2'!L57)</f>
        <v>0</v>
      </c>
      <c r="N40" s="130">
        <f>IF($E$5&lt;N$18,0,'2'!M57)</f>
        <v>0</v>
      </c>
      <c r="O40" s="130">
        <f>IF($E$5&lt;O$18,0,'2'!N57)</f>
        <v>0</v>
      </c>
      <c r="P40" s="130">
        <f>IF($E$5&lt;P$18,0,'2'!O57)</f>
        <v>0</v>
      </c>
      <c r="Q40" s="254">
        <f t="shared" si="38"/>
        <v>-6300000</v>
      </c>
    </row>
    <row r="41" spans="2:17" s="255" customFormat="1" hidden="1" outlineLevel="1">
      <c r="B41" s="256" t="s">
        <v>124</v>
      </c>
      <c r="C41" s="127"/>
      <c r="D41" s="252"/>
      <c r="E41" s="253"/>
      <c r="F41" s="130"/>
      <c r="G41" s="130">
        <f>IF($E$6&lt;G$18,0,'3'!E57)</f>
        <v>0</v>
      </c>
      <c r="H41" s="130">
        <f>IF($E$6&lt;H$18,0,'3'!F57)</f>
        <v>0</v>
      </c>
      <c r="I41" s="130">
        <f>IF($E$6&lt;I$18,0,'3'!G57)</f>
        <v>-5100000</v>
      </c>
      <c r="J41" s="130">
        <f>IF($E$6&lt;J$18,0,'3'!H57)</f>
        <v>0</v>
      </c>
      <c r="K41" s="130">
        <f>IF($E$6&lt;K$18,0,'3'!I57)</f>
        <v>0</v>
      </c>
      <c r="L41" s="130">
        <f>IF($E$6&lt;L$18,0,'3'!J57)</f>
        <v>0</v>
      </c>
      <c r="M41" s="130">
        <f>IF($E$6&lt;M$18,0,'3'!K57)</f>
        <v>0</v>
      </c>
      <c r="N41" s="130">
        <f>IF($E$6&lt;N$18,0,'3'!L57)</f>
        <v>0</v>
      </c>
      <c r="O41" s="130">
        <f>IF($E$6&lt;O$18,0,'3'!M57)</f>
        <v>0</v>
      </c>
      <c r="P41" s="130">
        <f>IF($E$6&lt;P$18,0,'3'!N57)</f>
        <v>0</v>
      </c>
      <c r="Q41" s="254">
        <f t="shared" si="38"/>
        <v>-5100000</v>
      </c>
    </row>
    <row r="42" spans="2:17" s="255" customFormat="1" hidden="1" outlineLevel="1">
      <c r="B42" s="256" t="s">
        <v>125</v>
      </c>
      <c r="C42" s="127"/>
      <c r="D42" s="252"/>
      <c r="E42" s="253"/>
      <c r="F42" s="130"/>
      <c r="G42" s="130"/>
      <c r="H42" s="130">
        <f>IF($E$7&lt;H$18,0,'4'!E57)</f>
        <v>0</v>
      </c>
      <c r="I42" s="130">
        <f>IF($E$7&lt;I$18,0,'4'!F57)</f>
        <v>-26250000</v>
      </c>
      <c r="J42" s="130">
        <f>IF($E$7&lt;J$18,0,'4'!G57)</f>
        <v>0</v>
      </c>
      <c r="K42" s="130">
        <f>IF($E$7&lt;K$18,0,'4'!H57)</f>
        <v>0</v>
      </c>
      <c r="L42" s="130">
        <f>IF($E$7&lt;L$18,0,'4'!I57)</f>
        <v>0</v>
      </c>
      <c r="M42" s="130">
        <f>IF($E$7&lt;M$18,0,'4'!J57)</f>
        <v>0</v>
      </c>
      <c r="N42" s="130">
        <f>IF($E$7&lt;N$18,0,'4'!K57)</f>
        <v>0</v>
      </c>
      <c r="O42" s="130">
        <f>IF($E$7&lt;O$18,0,'4'!L57)</f>
        <v>0</v>
      </c>
      <c r="P42" s="130">
        <f>IF($E$7&lt;P$18,0,'4'!M57)</f>
        <v>0</v>
      </c>
      <c r="Q42" s="254">
        <f t="shared" si="38"/>
        <v>-26250000</v>
      </c>
    </row>
    <row r="43" spans="2:17" s="255" customFormat="1" ht="14" collapsed="1" thickBot="1">
      <c r="B43" s="257" t="s">
        <v>41</v>
      </c>
      <c r="C43" s="258"/>
      <c r="D43" s="259"/>
      <c r="E43" s="260"/>
      <c r="F43" s="261">
        <f>SUM(F45:F48)</f>
        <v>8750000</v>
      </c>
      <c r="G43" s="261">
        <f t="shared" ref="G43" si="39">SUM(G45:G48)</f>
        <v>3465000.0000000005</v>
      </c>
      <c r="H43" s="261">
        <f t="shared" ref="H43" si="40">SUM(H45:H48)</f>
        <v>0</v>
      </c>
      <c r="I43" s="261">
        <f t="shared" ref="I43" si="41">SUM(I45:I48)</f>
        <v>16440000</v>
      </c>
      <c r="J43" s="261">
        <f t="shared" ref="J43" si="42">SUM(J45:J48)</f>
        <v>0</v>
      </c>
      <c r="K43" s="261">
        <f t="shared" ref="K43" si="43">SUM(K45:K48)</f>
        <v>0</v>
      </c>
      <c r="L43" s="261">
        <f t="shared" ref="L43" si="44">SUM(L45:L48)</f>
        <v>0</v>
      </c>
      <c r="M43" s="261">
        <f t="shared" ref="M43" si="45">SUM(M45:M48)</f>
        <v>0</v>
      </c>
      <c r="N43" s="261">
        <f t="shared" ref="N43" si="46">SUM(N45:N48)</f>
        <v>0</v>
      </c>
      <c r="O43" s="261">
        <f t="shared" ref="O43" si="47">SUM(O45:O48)</f>
        <v>0</v>
      </c>
      <c r="P43" s="261">
        <f t="shared" ref="P43" si="48">SUM(P45:P48)</f>
        <v>0</v>
      </c>
      <c r="Q43" s="262">
        <f t="shared" si="17"/>
        <v>28655000</v>
      </c>
    </row>
    <row r="44" spans="2:17" s="255" customFormat="1" ht="14" thickTop="1">
      <c r="B44" s="251"/>
      <c r="C44" s="127"/>
      <c r="D44" s="252"/>
      <c r="E44" s="253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254"/>
    </row>
    <row r="45" spans="2:17" s="255" customFormat="1" hidden="1" outlineLevel="1">
      <c r="B45" s="256" t="s">
        <v>122</v>
      </c>
      <c r="C45" s="127"/>
      <c r="D45" s="252"/>
      <c r="E45" s="253"/>
      <c r="F45" s="130">
        <f>IF($E$4&lt;F$18,0,'1'!F58)</f>
        <v>8750000</v>
      </c>
      <c r="G45" s="130">
        <f>IF($E$4&lt;G$18,0,'1'!G58)</f>
        <v>0</v>
      </c>
      <c r="H45" s="130">
        <f>IF($E$4&lt;H$18,0,'1'!H58)</f>
        <v>0</v>
      </c>
      <c r="I45" s="130">
        <f>IF($E$4&lt;I$18,0,'1'!I58)</f>
        <v>0</v>
      </c>
      <c r="J45" s="130">
        <f>IF($E$4&lt;J$18,0,'1'!J58)</f>
        <v>0</v>
      </c>
      <c r="K45" s="130">
        <f>IF($E$4&lt;K$18,0,'1'!K58)</f>
        <v>0</v>
      </c>
      <c r="L45" s="130">
        <f>IF($E$4&lt;L$18,0,'1'!L58)</f>
        <v>0</v>
      </c>
      <c r="M45" s="130">
        <f>IF($E$4&lt;M$18,0,'1'!M58)</f>
        <v>0</v>
      </c>
      <c r="N45" s="130">
        <f>IF($E$4&lt;N$18,0,'1'!N58)</f>
        <v>0</v>
      </c>
      <c r="O45" s="130">
        <f>IF($E$4&lt;O$18,0,'1'!O58)</f>
        <v>0</v>
      </c>
      <c r="P45" s="130">
        <f>IF($E$4&lt;P$18,0,'1'!P58)</f>
        <v>0</v>
      </c>
      <c r="Q45" s="254">
        <f t="shared" si="17"/>
        <v>8750000</v>
      </c>
    </row>
    <row r="46" spans="2:17" s="255" customFormat="1" hidden="1" outlineLevel="1">
      <c r="B46" s="256" t="s">
        <v>123</v>
      </c>
      <c r="C46" s="127"/>
      <c r="D46" s="252"/>
      <c r="E46" s="253"/>
      <c r="F46" s="130">
        <f>IF($E$5&lt;F$18,0,'2'!E58)</f>
        <v>0</v>
      </c>
      <c r="G46" s="130">
        <f>IF($E$5&lt;G$18,0,'2'!F58)</f>
        <v>3465000.0000000005</v>
      </c>
      <c r="H46" s="130">
        <f>IF($E$5&lt;H$18,0,'2'!G58)</f>
        <v>0</v>
      </c>
      <c r="I46" s="130">
        <f>IF($E$5&lt;I$18,0,'2'!H58)</f>
        <v>0</v>
      </c>
      <c r="J46" s="130">
        <f>IF($E$5&lt;J$18,0,'2'!I58)</f>
        <v>0</v>
      </c>
      <c r="K46" s="130">
        <f>IF($E$5&lt;K$18,0,'2'!J58)</f>
        <v>0</v>
      </c>
      <c r="L46" s="130">
        <f>IF($E$5&lt;L$18,0,'2'!K58)</f>
        <v>0</v>
      </c>
      <c r="M46" s="130">
        <f>IF($E$5&lt;M$18,0,'2'!L58)</f>
        <v>0</v>
      </c>
      <c r="N46" s="130">
        <f>IF($E$5&lt;N$18,0,'2'!M58)</f>
        <v>0</v>
      </c>
      <c r="O46" s="130">
        <f>IF($E$5&lt;O$18,0,'2'!N58)</f>
        <v>0</v>
      </c>
      <c r="P46" s="130">
        <f>IF($E$5&lt;P$18,0,'2'!O58)</f>
        <v>0</v>
      </c>
      <c r="Q46" s="254">
        <f t="shared" si="17"/>
        <v>3465000.0000000005</v>
      </c>
    </row>
    <row r="47" spans="2:17" s="255" customFormat="1" hidden="1" outlineLevel="1">
      <c r="B47" s="256" t="s">
        <v>124</v>
      </c>
      <c r="C47" s="127"/>
      <c r="D47" s="252"/>
      <c r="E47" s="253"/>
      <c r="F47" s="130"/>
      <c r="G47" s="130">
        <f>IF($E$6&lt;G$18,0,'3'!E58)</f>
        <v>0</v>
      </c>
      <c r="H47" s="130">
        <f>IF($E$6&lt;H$18,0,'3'!F58)</f>
        <v>0</v>
      </c>
      <c r="I47" s="130">
        <f>IF($E$6&lt;I$18,0,'3'!G58)</f>
        <v>3315000</v>
      </c>
      <c r="J47" s="130">
        <f>IF($E$6&lt;J$18,0,'3'!H58)</f>
        <v>0</v>
      </c>
      <c r="K47" s="130">
        <f>IF($E$6&lt;K$18,0,'3'!I58)</f>
        <v>0</v>
      </c>
      <c r="L47" s="130">
        <f>IF($E$6&lt;L$18,0,'3'!J58)</f>
        <v>0</v>
      </c>
      <c r="M47" s="130">
        <f>IF($E$6&lt;M$18,0,'3'!K58)</f>
        <v>0</v>
      </c>
      <c r="N47" s="130">
        <f>IF($E$6&lt;N$18,0,'3'!L58)</f>
        <v>0</v>
      </c>
      <c r="O47" s="130">
        <f>IF($E$6&lt;O$18,0,'3'!M58)</f>
        <v>0</v>
      </c>
      <c r="P47" s="130">
        <f>IF($E$6&lt;P$18,0,'3'!N58)</f>
        <v>0</v>
      </c>
      <c r="Q47" s="254">
        <f t="shared" si="17"/>
        <v>3315000</v>
      </c>
    </row>
    <row r="48" spans="2:17" s="255" customFormat="1" hidden="1" outlineLevel="1">
      <c r="B48" s="256" t="s">
        <v>125</v>
      </c>
      <c r="C48" s="127"/>
      <c r="D48" s="252"/>
      <c r="E48" s="253"/>
      <c r="F48" s="130"/>
      <c r="G48" s="130"/>
      <c r="H48" s="130">
        <f>IF($E$7&lt;H$18,0,'4'!E58)</f>
        <v>0</v>
      </c>
      <c r="I48" s="130">
        <f>IF($E$7&lt;I$18,0,'4'!F58)</f>
        <v>13125000</v>
      </c>
      <c r="J48" s="130">
        <f>IF($E$7&lt;J$18,0,'4'!G58)</f>
        <v>0</v>
      </c>
      <c r="K48" s="130">
        <f>IF($E$7&lt;K$18,0,'4'!H58)</f>
        <v>0</v>
      </c>
      <c r="L48" s="130">
        <f>IF($E$7&lt;L$18,0,'4'!I58)</f>
        <v>0</v>
      </c>
      <c r="M48" s="130">
        <f>IF($E$7&lt;M$18,0,'4'!J58)</f>
        <v>0</v>
      </c>
      <c r="N48" s="130">
        <f>IF($E$7&lt;N$18,0,'4'!K58)</f>
        <v>0</v>
      </c>
      <c r="O48" s="130">
        <f>IF($E$7&lt;O$18,0,'4'!L58)</f>
        <v>0</v>
      </c>
      <c r="P48" s="130">
        <f>IF($E$7&lt;P$18,0,'4'!M58)</f>
        <v>0</v>
      </c>
      <c r="Q48" s="254">
        <f t="shared" si="17"/>
        <v>13125000</v>
      </c>
    </row>
    <row r="49" spans="2:17" s="255" customFormat="1" ht="14" collapsed="1" thickBot="1">
      <c r="B49" s="257" t="s">
        <v>61</v>
      </c>
      <c r="C49" s="258"/>
      <c r="D49" s="259"/>
      <c r="E49" s="260"/>
      <c r="F49" s="261">
        <f>SUM(F51:F54)</f>
        <v>-9000000</v>
      </c>
      <c r="G49" s="261">
        <f>SUM(G51:G54)</f>
        <v>-4689087.8493150678</v>
      </c>
      <c r="H49" s="261">
        <f>SUM(H51:H54)</f>
        <v>1061087.0424657534</v>
      </c>
      <c r="I49" s="261">
        <f t="shared" ref="I49" si="49">SUM(I51:I54)</f>
        <v>-12449821.102672946</v>
      </c>
      <c r="J49" s="261">
        <f t="shared" ref="J49" si="50">SUM(J51:J54)</f>
        <v>1171631.2230589718</v>
      </c>
      <c r="K49" s="261">
        <f t="shared" ref="K49" si="51">SUM(K51:K54)</f>
        <v>9000724.5944539458</v>
      </c>
      <c r="L49" s="261">
        <f t="shared" ref="L49" si="52">SUM(L51:L54)</f>
        <v>3498427.4332992001</v>
      </c>
      <c r="M49" s="261">
        <f t="shared" ref="M49" si="53">SUM(M51:M54)</f>
        <v>0</v>
      </c>
      <c r="N49" s="261">
        <f t="shared" ref="N49" si="54">SUM(N51:N54)</f>
        <v>0</v>
      </c>
      <c r="O49" s="261">
        <f t="shared" ref="O49" si="55">SUM(O51:O54)</f>
        <v>0</v>
      </c>
      <c r="P49" s="261">
        <f t="shared" ref="P49" si="56">SUM(P51:P54)</f>
        <v>0</v>
      </c>
      <c r="Q49" s="262">
        <f t="shared" si="17"/>
        <v>-11407038.658710139</v>
      </c>
    </row>
    <row r="50" spans="2:17" s="255" customFormat="1" ht="14" thickTop="1">
      <c r="B50" s="251"/>
      <c r="C50" s="127"/>
      <c r="D50" s="252"/>
      <c r="E50" s="253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254"/>
    </row>
    <row r="51" spans="2:17" s="255" customFormat="1" hidden="1" outlineLevel="1">
      <c r="B51" s="256" t="s">
        <v>122</v>
      </c>
      <c r="C51" s="127"/>
      <c r="D51" s="252"/>
      <c r="E51" s="253"/>
      <c r="F51" s="130">
        <f>IF($E$4&lt;F$18,0,'1'!F60)</f>
        <v>-9000000</v>
      </c>
      <c r="G51" s="130">
        <f>IF($E$4&lt;G$18,0,'1'!G60)</f>
        <v>-252500</v>
      </c>
      <c r="H51" s="130">
        <f>IF($E$4&lt;H$18,0,'1'!H60)</f>
        <v>-907069.98561643832</v>
      </c>
      <c r="I51" s="130">
        <f>IF($E$4&lt;I$18,0,'1'!I60)</f>
        <v>2880320.7351284251</v>
      </c>
      <c r="J51" s="130">
        <f>IF($E$4&lt;J$18,0,'1'!J60)</f>
        <v>0</v>
      </c>
      <c r="K51" s="130">
        <f>IF($E$4&lt;K$18,0,'1'!K60)</f>
        <v>0</v>
      </c>
      <c r="L51" s="130">
        <f>IF($E$4&lt;L$18,0,'1'!L60)</f>
        <v>0</v>
      </c>
      <c r="M51" s="130">
        <f>IF($E$4&lt;M$18,0,'1'!M60)</f>
        <v>0</v>
      </c>
      <c r="N51" s="130">
        <f>IF($E$4&lt;N$18,0,'1'!N60)</f>
        <v>0</v>
      </c>
      <c r="O51" s="130">
        <f>IF($E$4&lt;O$18,0,'1'!O60)</f>
        <v>0</v>
      </c>
      <c r="P51" s="130">
        <f>IF($E$4&lt;P$18,0,'1'!P60)</f>
        <v>0</v>
      </c>
      <c r="Q51" s="254">
        <f t="shared" si="17"/>
        <v>-7279249.250488013</v>
      </c>
    </row>
    <row r="52" spans="2:17" s="255" customFormat="1" hidden="1" outlineLevel="1">
      <c r="B52" s="256" t="s">
        <v>123</v>
      </c>
      <c r="C52" s="127"/>
      <c r="D52" s="252"/>
      <c r="E52" s="253"/>
      <c r="F52" s="130">
        <f>IF($E$5&lt;F$18,0,'2'!E60)</f>
        <v>0</v>
      </c>
      <c r="G52" s="130">
        <f>IF($E$5&lt;G$18,0,'2'!F60)</f>
        <v>-4436587.8493150678</v>
      </c>
      <c r="H52" s="130">
        <f>IF($E$5&lt;H$18,0,'2'!G60)</f>
        <v>1568657.0280821917</v>
      </c>
      <c r="I52" s="130">
        <f>IF($E$5&lt;I$18,0,'2'!H60)</f>
        <v>1821169.2285</v>
      </c>
      <c r="J52" s="130">
        <f>IF($E$5&lt;J$18,0,'2'!I60)</f>
        <v>1839380.9207849996</v>
      </c>
      <c r="K52" s="130">
        <f>IF($E$5&lt;K$18,0,'2'!J60)</f>
        <v>1857774.7299928498</v>
      </c>
      <c r="L52" s="130">
        <f>IF($E$5&lt;L$18,0,'2'!K60)</f>
        <v>0</v>
      </c>
      <c r="M52" s="130">
        <f>IF($E$5&lt;M$18,0,'2'!L60)</f>
        <v>0</v>
      </c>
      <c r="N52" s="130">
        <f>IF($E$5&lt;N$18,0,'2'!M60)</f>
        <v>0</v>
      </c>
      <c r="O52" s="130">
        <f>IF($E$5&lt;O$18,0,'2'!N60)</f>
        <v>0</v>
      </c>
      <c r="P52" s="130">
        <f>IF($E$5&lt;P$18,0,'2'!O60)</f>
        <v>0</v>
      </c>
      <c r="Q52" s="254">
        <f t="shared" si="17"/>
        <v>2650394.0580449738</v>
      </c>
    </row>
    <row r="53" spans="2:17" s="255" customFormat="1" hidden="1" outlineLevel="1">
      <c r="B53" s="256" t="s">
        <v>124</v>
      </c>
      <c r="C53" s="127"/>
      <c r="D53" s="252"/>
      <c r="E53" s="253"/>
      <c r="F53" s="130"/>
      <c r="G53" s="130">
        <f>IF($E$6&lt;G$18,0,'3'!E60)</f>
        <v>0</v>
      </c>
      <c r="H53" s="130">
        <f>IF($E$6&lt;H$18,0,'3'!F60)</f>
        <v>399500</v>
      </c>
      <c r="I53" s="130">
        <f>IF($E$6&lt;I$18,0,'3'!G60)</f>
        <v>-3763811.06630137</v>
      </c>
      <c r="J53" s="130">
        <f>IF($E$6&lt;J$18,0,'3'!H60)</f>
        <v>594864.01117808186</v>
      </c>
      <c r="K53" s="130">
        <f>IF($E$6&lt;K$18,0,'3'!I60)</f>
        <v>3463789.5379200005</v>
      </c>
      <c r="L53" s="130">
        <f>IF($E$6&lt;L$18,0,'3'!J60)</f>
        <v>3498427.4332992001</v>
      </c>
      <c r="M53" s="130">
        <f>IF($E$6&lt;M$18,0,'3'!K60)</f>
        <v>0</v>
      </c>
      <c r="N53" s="130">
        <f>IF($E$6&lt;N$18,0,'3'!L60)</f>
        <v>0</v>
      </c>
      <c r="O53" s="130">
        <f>IF($E$6&lt;O$18,0,'3'!M60)</f>
        <v>0</v>
      </c>
      <c r="P53" s="130">
        <f>IF($E$6&lt;P$18,0,'3'!N60)</f>
        <v>0</v>
      </c>
      <c r="Q53" s="254">
        <f t="shared" si="17"/>
        <v>4192769.9160959125</v>
      </c>
    </row>
    <row r="54" spans="2:17" s="255" customFormat="1" hidden="1" outlineLevel="1">
      <c r="B54" s="256" t="s">
        <v>125</v>
      </c>
      <c r="C54" s="127"/>
      <c r="D54" s="252"/>
      <c r="E54" s="253"/>
      <c r="F54" s="130"/>
      <c r="G54" s="130"/>
      <c r="H54" s="130">
        <f>IF($E$7&lt;H$18,0,'4'!E60)</f>
        <v>0</v>
      </c>
      <c r="I54" s="130">
        <f>IF($E$7&lt;I$18,0,'4'!F60)</f>
        <v>-13387500</v>
      </c>
      <c r="J54" s="130">
        <f>IF($E$7&lt;J$18,0,'4'!G60)</f>
        <v>-1262613.7089041097</v>
      </c>
      <c r="K54" s="130">
        <f>IF($E$7&lt;K$18,0,'4'!H60)</f>
        <v>3679160.326541096</v>
      </c>
      <c r="L54" s="130">
        <f>IF($E$7&lt;L$18,0,'4'!I60)</f>
        <v>0</v>
      </c>
      <c r="M54" s="130">
        <f>IF($E$7&lt;M$18,0,'4'!J60)</f>
        <v>0</v>
      </c>
      <c r="N54" s="130">
        <f>IF($E$7&lt;N$18,0,'4'!K60)</f>
        <v>0</v>
      </c>
      <c r="O54" s="130">
        <f>IF($E$7&lt;O$18,0,'4'!L60)</f>
        <v>0</v>
      </c>
      <c r="P54" s="130">
        <f>IF($E$7&lt;P$18,0,'4'!M60)</f>
        <v>0</v>
      </c>
      <c r="Q54" s="254">
        <f t="shared" si="17"/>
        <v>-10970953.382363014</v>
      </c>
    </row>
    <row r="55" spans="2:17" s="255" customFormat="1" ht="14" collapsed="1" thickBot="1">
      <c r="B55" s="257" t="s">
        <v>128</v>
      </c>
      <c r="C55" s="258"/>
      <c r="D55" s="259"/>
      <c r="E55" s="260"/>
      <c r="F55" s="261">
        <f t="shared" ref="F55" si="57">SUM(F57:F60)</f>
        <v>-309375</v>
      </c>
      <c r="G55" s="261">
        <f>SUM(G57:G60)</f>
        <v>-569250</v>
      </c>
      <c r="H55" s="261">
        <f>SUM(H57:H60)</f>
        <v>-1122183.75</v>
      </c>
      <c r="I55" s="261">
        <f t="shared" ref="I55" si="58">SUM(I57:I60)</f>
        <v>-1709509.33125</v>
      </c>
      <c r="J55" s="261">
        <f t="shared" ref="J55" si="59">SUM(J57:J60)</f>
        <v>-1395867.03459375</v>
      </c>
      <c r="K55" s="261">
        <f t="shared" ref="K55" si="60">SUM(K57:K60)</f>
        <v>-10488682.623699611</v>
      </c>
      <c r="L55" s="261">
        <f t="shared" ref="L55" si="61">SUM(L57:L60)</f>
        <v>-22876473.567431249</v>
      </c>
      <c r="M55" s="261">
        <f t="shared" ref="M55" si="62">SUM(M57:M60)</f>
        <v>0</v>
      </c>
      <c r="N55" s="261">
        <f t="shared" ref="N55" si="63">SUM(N57:N60)</f>
        <v>0</v>
      </c>
      <c r="O55" s="261">
        <f t="shared" ref="O55" si="64">SUM(O57:O60)</f>
        <v>0</v>
      </c>
      <c r="P55" s="261">
        <f t="shared" ref="P55" si="65">SUM(P57:P60)</f>
        <v>0</v>
      </c>
      <c r="Q55" s="262">
        <f t="shared" ref="Q55" si="66">SUM(E55:P55)</f>
        <v>-38471341.306974605</v>
      </c>
    </row>
    <row r="56" spans="2:17" s="255" customFormat="1" ht="14" thickTop="1">
      <c r="B56" s="251"/>
      <c r="C56" s="127"/>
      <c r="D56" s="252"/>
      <c r="E56" s="253"/>
      <c r="F56" s="130"/>
      <c r="G56" s="130"/>
      <c r="H56" s="130"/>
      <c r="I56" s="130"/>
      <c r="J56" s="130"/>
      <c r="K56" s="130"/>
      <c r="L56" s="130"/>
      <c r="M56" s="130"/>
      <c r="N56" s="130"/>
      <c r="O56" s="130"/>
      <c r="P56" s="130"/>
      <c r="Q56" s="254"/>
    </row>
    <row r="57" spans="2:17" s="255" customFormat="1" hidden="1" outlineLevel="1">
      <c r="B57" s="256" t="s">
        <v>122</v>
      </c>
      <c r="C57" s="127"/>
      <c r="D57" s="252"/>
      <c r="E57" s="253"/>
      <c r="F57" s="130">
        <f>IF($E$4&lt;F$18,0,'1'!F66)</f>
        <v>-309375</v>
      </c>
      <c r="G57" s="130">
        <f>IF($E$4&lt;G$18,0,'1'!G66)</f>
        <v>-309375</v>
      </c>
      <c r="H57" s="130">
        <f>IF($E$4&lt;H$18,0,'1'!H66)</f>
        <v>-309375</v>
      </c>
      <c r="I57" s="130">
        <f>IF($E$4&lt;I$18,0,'1'!I66)</f>
        <v>-309375</v>
      </c>
      <c r="J57" s="130">
        <f>IF($E$4&lt;J$18,0,'1'!J66)</f>
        <v>0</v>
      </c>
      <c r="K57" s="130">
        <f>IF($E$4&lt;K$18,0,'1'!K66)</f>
        <v>0</v>
      </c>
      <c r="L57" s="130">
        <f>IF($E$4&lt;L$18,0,'1'!L66)</f>
        <v>0</v>
      </c>
      <c r="M57" s="130">
        <f>IF($E$4&lt;M$18,0,'1'!M66)</f>
        <v>0</v>
      </c>
      <c r="N57" s="130">
        <f>IF($E$4&lt;N$18,0,'1'!N66)</f>
        <v>0</v>
      </c>
      <c r="O57" s="130">
        <f>IF($E$4&lt;O$18,0,'1'!O66)</f>
        <v>0</v>
      </c>
      <c r="P57" s="130">
        <f>IF($E$4&lt;P$18,0,'1'!P66)</f>
        <v>0</v>
      </c>
      <c r="Q57" s="254">
        <f t="shared" ref="Q57:Q61" si="67">SUM(E57:P57)</f>
        <v>-1237500</v>
      </c>
    </row>
    <row r="58" spans="2:17" s="255" customFormat="1" hidden="1" outlineLevel="1">
      <c r="B58" s="256" t="s">
        <v>123</v>
      </c>
      <c r="C58" s="127"/>
      <c r="D58" s="252"/>
      <c r="E58" s="253"/>
      <c r="F58" s="130">
        <f>IF($E$5&lt;F$18,0,'2'!E66)</f>
        <v>0</v>
      </c>
      <c r="G58" s="130">
        <f>IF($E$5&lt;G$18,0,'2'!F66)</f>
        <v>-259875.00000000006</v>
      </c>
      <c r="H58" s="130">
        <f>IF($E$5&lt;H$18,0,'2'!G66)</f>
        <v>-259008.75000000006</v>
      </c>
      <c r="I58" s="130">
        <f>IF($E$5&lt;I$18,0,'2'!H66)</f>
        <v>-258146.83125000008</v>
      </c>
      <c r="J58" s="130">
        <f>IF($E$5&lt;J$18,0,'2'!I66)</f>
        <v>-257289.22209375005</v>
      </c>
      <c r="K58" s="130">
        <f>IF($E$5&lt;K$18,0,'2'!J66)</f>
        <v>-9353497.4502621107</v>
      </c>
      <c r="L58" s="130">
        <f>IF($E$5&lt;L$18,0,'2'!K66)</f>
        <v>0</v>
      </c>
      <c r="M58" s="130">
        <f>IF($E$5&lt;M$18,0,'2'!L66)</f>
        <v>0</v>
      </c>
      <c r="N58" s="130">
        <f>IF($E$5&lt;N$18,0,'2'!M66)</f>
        <v>0</v>
      </c>
      <c r="O58" s="130">
        <f>IF($E$5&lt;O$18,0,'2'!N66)</f>
        <v>0</v>
      </c>
      <c r="P58" s="130">
        <f>IF($E$5&lt;P$18,0,'2'!O66)</f>
        <v>0</v>
      </c>
      <c r="Q58" s="254">
        <f t="shared" si="67"/>
        <v>-10387817.253605861</v>
      </c>
    </row>
    <row r="59" spans="2:17" s="255" customFormat="1" hidden="1" outlineLevel="1">
      <c r="B59" s="256" t="s">
        <v>124</v>
      </c>
      <c r="C59" s="127"/>
      <c r="D59" s="252"/>
      <c r="E59" s="253"/>
      <c r="F59" s="130"/>
      <c r="G59" s="130">
        <f>IF($E$6&lt;G$18,0,'3'!E66)</f>
        <v>0</v>
      </c>
      <c r="H59" s="130">
        <f>IF($E$6&lt;H$18,0,'3'!F66)</f>
        <v>-553800</v>
      </c>
      <c r="I59" s="130">
        <f>IF($E$6&lt;I$18,0,'3'!G66)</f>
        <v>-551362.5</v>
      </c>
      <c r="J59" s="130">
        <f>IF($E$6&lt;J$18,0,'3'!H66)</f>
        <v>-548937.1875</v>
      </c>
      <c r="K59" s="130">
        <f>IF($E$6&lt;K$18,0,'3'!I66)</f>
        <v>-546524.00156250002</v>
      </c>
      <c r="L59" s="130">
        <f>IF($E$6&lt;L$18,0,'3'!J66)</f>
        <v>-22876473.567431249</v>
      </c>
      <c r="M59" s="130">
        <f>IF($E$6&lt;M$18,0,'3'!K66)</f>
        <v>0</v>
      </c>
      <c r="N59" s="130">
        <f>IF($E$6&lt;N$18,0,'3'!L66)</f>
        <v>0</v>
      </c>
      <c r="O59" s="130">
        <f>IF($E$6&lt;O$18,0,'3'!M66)</f>
        <v>0</v>
      </c>
      <c r="P59" s="130">
        <f>IF($E$6&lt;P$18,0,'3'!N66)</f>
        <v>0</v>
      </c>
      <c r="Q59" s="254">
        <f t="shared" si="67"/>
        <v>-25077097.256493747</v>
      </c>
    </row>
    <row r="60" spans="2:17" s="255" customFormat="1" hidden="1" outlineLevel="1">
      <c r="B60" s="256" t="s">
        <v>125</v>
      </c>
      <c r="C60" s="127"/>
      <c r="D60" s="252"/>
      <c r="E60" s="253"/>
      <c r="F60" s="130"/>
      <c r="G60" s="130"/>
      <c r="H60" s="130">
        <f>IF($E$7&lt;H$18,0,'4'!E66)</f>
        <v>0</v>
      </c>
      <c r="I60" s="130">
        <f>IF($E$7&lt;I$18,0,'4'!F66)</f>
        <v>-590625</v>
      </c>
      <c r="J60" s="130">
        <f>IF($E$7&lt;J$18,0,'4'!G66)</f>
        <v>-589640.625</v>
      </c>
      <c r="K60" s="130">
        <f>IF($E$7&lt;K$18,0,'4'!H66)</f>
        <v>-588661.171875</v>
      </c>
      <c r="L60" s="130">
        <f>IF($E$7&lt;L$18,0,'4'!I66)</f>
        <v>0</v>
      </c>
      <c r="M60" s="130">
        <f>IF($E$7&lt;M$18,0,'4'!J66)</f>
        <v>0</v>
      </c>
      <c r="N60" s="130">
        <f>IF($E$7&lt;N$18,0,'4'!K66)</f>
        <v>0</v>
      </c>
      <c r="O60" s="130">
        <f>IF($E$7&lt;O$18,0,'4'!L66)</f>
        <v>0</v>
      </c>
      <c r="P60" s="130">
        <f>IF($E$7&lt;P$18,0,'4'!M66)</f>
        <v>0</v>
      </c>
      <c r="Q60" s="254">
        <f t="shared" si="67"/>
        <v>-1768926.796875</v>
      </c>
    </row>
    <row r="61" spans="2:17" s="255" customFormat="1" ht="14" collapsed="1" thickBot="1">
      <c r="B61" s="257" t="s">
        <v>65</v>
      </c>
      <c r="C61" s="258"/>
      <c r="D61" s="259"/>
      <c r="E61" s="260"/>
      <c r="F61" s="261">
        <f t="shared" ref="F61" si="68">SUM(F63:F66)</f>
        <v>0</v>
      </c>
      <c r="G61" s="261">
        <f>SUM(G63:G66)</f>
        <v>0</v>
      </c>
      <c r="H61" s="261">
        <f>SUM(H63:H66)</f>
        <v>292594.72577054793</v>
      </c>
      <c r="I61" s="261">
        <f t="shared" ref="I61" si="69">SUM(I63:I66)</f>
        <v>978638.77606335632</v>
      </c>
      <c r="J61" s="261">
        <f t="shared" ref="J61" si="70">SUM(J63:J66)</f>
        <v>360633.93392671866</v>
      </c>
      <c r="K61" s="261">
        <f t="shared" ref="K61" si="71">SUM(K63:K66)</f>
        <v>1733323.647575303</v>
      </c>
      <c r="L61" s="261">
        <f t="shared" ref="L61" si="72">SUM(L63:L66)</f>
        <v>642467.28201386251</v>
      </c>
      <c r="M61" s="261">
        <f t="shared" ref="M61" si="73">SUM(M63:M66)</f>
        <v>0</v>
      </c>
      <c r="N61" s="261">
        <f t="shared" ref="N61" si="74">SUM(N63:N66)</f>
        <v>0</v>
      </c>
      <c r="O61" s="261">
        <f t="shared" ref="O61" si="75">SUM(O63:O66)</f>
        <v>0</v>
      </c>
      <c r="P61" s="261">
        <f t="shared" ref="P61" si="76">SUM(P63:P66)</f>
        <v>0</v>
      </c>
      <c r="Q61" s="262">
        <f t="shared" si="67"/>
        <v>4007658.3653497882</v>
      </c>
    </row>
    <row r="62" spans="2:17" s="255" customFormat="1" ht="14" thickTop="1">
      <c r="B62" s="251"/>
      <c r="C62" s="127"/>
      <c r="D62" s="252"/>
      <c r="E62" s="253"/>
      <c r="F62" s="130"/>
      <c r="G62" s="130"/>
      <c r="H62" s="130"/>
      <c r="I62" s="130"/>
      <c r="J62" s="130"/>
      <c r="K62" s="130"/>
      <c r="L62" s="130"/>
      <c r="M62" s="130"/>
      <c r="N62" s="130"/>
      <c r="O62" s="130"/>
      <c r="P62" s="130"/>
      <c r="Q62" s="254"/>
    </row>
    <row r="63" spans="2:17" s="255" customFormat="1" hidden="1" outlineLevel="1">
      <c r="B63" s="256" t="s">
        <v>122</v>
      </c>
      <c r="C63" s="127"/>
      <c r="D63" s="252"/>
      <c r="E63" s="253"/>
      <c r="F63" s="130">
        <f>IF($E$4&lt;F$18,0,'1'!F69)</f>
        <v>0</v>
      </c>
      <c r="G63" s="130">
        <f>IF($E$4&lt;G$18,0,'1'!G69)</f>
        <v>0</v>
      </c>
      <c r="H63" s="130">
        <f>IF($E$4&lt;H$18,0,'1'!H69)</f>
        <v>0</v>
      </c>
      <c r="I63" s="130">
        <f>IF($E$4&lt;I$18,0,'1'!I69)</f>
        <v>622736.43378210627</v>
      </c>
      <c r="J63" s="130">
        <f>IF($E$4&lt;J$18,0,'1'!J69)</f>
        <v>0</v>
      </c>
      <c r="K63" s="130">
        <f>IF($E$4&lt;K$18,0,'1'!K69)</f>
        <v>0</v>
      </c>
      <c r="L63" s="130">
        <f>IF($E$4&lt;L$18,0,'1'!L69)</f>
        <v>0</v>
      </c>
      <c r="M63" s="130">
        <f>IF($E$4&lt;M$18,0,'1'!M69)</f>
        <v>0</v>
      </c>
      <c r="N63" s="130">
        <f>IF($E$4&lt;N$18,0,'1'!N69)</f>
        <v>0</v>
      </c>
      <c r="O63" s="130">
        <f>IF($E$4&lt;O$18,0,'1'!O69)</f>
        <v>0</v>
      </c>
      <c r="P63" s="130">
        <f>IF($E$4&lt;P$18,0,'1'!P69)</f>
        <v>0</v>
      </c>
      <c r="Q63" s="254">
        <f t="shared" si="17"/>
        <v>622736.43378210627</v>
      </c>
    </row>
    <row r="64" spans="2:17" s="255" customFormat="1" hidden="1" outlineLevel="1">
      <c r="B64" s="256" t="s">
        <v>123</v>
      </c>
      <c r="C64" s="127"/>
      <c r="D64" s="252"/>
      <c r="E64" s="253"/>
      <c r="F64" s="130">
        <f>IF($E$5&lt;F$18,0,'2'!E69)</f>
        <v>0</v>
      </c>
      <c r="G64" s="130">
        <f>IF($E$5&lt;G$18,0,'2'!F69)</f>
        <v>0</v>
      </c>
      <c r="H64" s="130">
        <f>IF($E$5&lt;H$18,0,'2'!G69)</f>
        <v>292594.72577054793</v>
      </c>
      <c r="I64" s="130">
        <f>IF($E$5&lt;I$18,0,'2'!H69)</f>
        <v>355902.34228124999</v>
      </c>
      <c r="J64" s="130">
        <f>IF($E$5&lt;J$18,0,'2'!I69)</f>
        <v>360633.93392671866</v>
      </c>
      <c r="K64" s="130">
        <f>IF($E$5&lt;K$18,0,'2'!J69)</f>
        <v>365410.16146002884</v>
      </c>
      <c r="L64" s="130">
        <f>IF($E$5&lt;L$18,0,'2'!K69)</f>
        <v>0</v>
      </c>
      <c r="M64" s="130">
        <f>IF($E$5&lt;M$18,0,'2'!L69)</f>
        <v>0</v>
      </c>
      <c r="N64" s="130">
        <f>IF($E$5&lt;N$18,0,'2'!M69)</f>
        <v>0</v>
      </c>
      <c r="O64" s="130">
        <f>IF($E$5&lt;O$18,0,'2'!N69)</f>
        <v>0</v>
      </c>
      <c r="P64" s="130">
        <f>IF($E$5&lt;P$18,0,'2'!O69)</f>
        <v>0</v>
      </c>
      <c r="Q64" s="254">
        <f t="shared" si="17"/>
        <v>1374541.1634385455</v>
      </c>
    </row>
    <row r="65" spans="2:17" s="255" customFormat="1" hidden="1" outlineLevel="1">
      <c r="B65" s="256" t="s">
        <v>124</v>
      </c>
      <c r="C65" s="127"/>
      <c r="D65" s="252"/>
      <c r="E65" s="253"/>
      <c r="F65" s="130"/>
      <c r="G65" s="130">
        <f>IF($E$6&lt;G$18,0,'3'!E69)</f>
        <v>0</v>
      </c>
      <c r="H65" s="130">
        <f>IF($E$6&lt;H$18,0,'3'!F69)</f>
        <v>0</v>
      </c>
      <c r="I65" s="130">
        <f>IF($E$6&lt;I$18,0,'3'!G69)</f>
        <v>0</v>
      </c>
      <c r="J65" s="130">
        <f>IF($E$6&lt;J$18,0,'3'!H69)</f>
        <v>0</v>
      </c>
      <c r="K65" s="130">
        <f>IF($E$6&lt;K$18,0,'3'!I69)</f>
        <v>633327.58416750014</v>
      </c>
      <c r="L65" s="130">
        <f>IF($E$6&lt;L$18,0,'3'!J69)</f>
        <v>642467.28201386251</v>
      </c>
      <c r="M65" s="130">
        <f>IF($E$6&lt;M$18,0,'3'!K69)</f>
        <v>0</v>
      </c>
      <c r="N65" s="130">
        <f>IF($E$6&lt;N$18,0,'3'!L69)</f>
        <v>0</v>
      </c>
      <c r="O65" s="130">
        <f>IF($E$6&lt;O$18,0,'3'!M69)</f>
        <v>0</v>
      </c>
      <c r="P65" s="130">
        <f>IF($E$6&lt;P$18,0,'3'!N69)</f>
        <v>0</v>
      </c>
      <c r="Q65" s="254">
        <f t="shared" si="17"/>
        <v>1275794.8661813627</v>
      </c>
    </row>
    <row r="66" spans="2:17" s="255" customFormat="1" hidden="1" outlineLevel="1">
      <c r="B66" s="256" t="s">
        <v>125</v>
      </c>
      <c r="C66" s="127"/>
      <c r="D66" s="252"/>
      <c r="E66" s="253"/>
      <c r="F66" s="130"/>
      <c r="G66" s="130"/>
      <c r="H66" s="130">
        <f>IF($E$7&lt;H$18,0,'4'!E69)</f>
        <v>0</v>
      </c>
      <c r="I66" s="130">
        <f>IF($E$7&lt;I$18,0,'4'!F69)</f>
        <v>0</v>
      </c>
      <c r="J66" s="130">
        <f>IF($E$7&lt;J$18,0,'4'!G69)</f>
        <v>0</v>
      </c>
      <c r="K66" s="130">
        <f>IF($E$7&lt;K$18,0,'4'!H69)</f>
        <v>734585.90194777399</v>
      </c>
      <c r="L66" s="130">
        <f>IF($E$7&lt;L$18,0,'4'!I69)</f>
        <v>0</v>
      </c>
      <c r="M66" s="130">
        <f>IF($E$7&lt;M$18,0,'4'!J69)</f>
        <v>0</v>
      </c>
      <c r="N66" s="130">
        <f>IF($E$7&lt;N$18,0,'4'!K69)</f>
        <v>0</v>
      </c>
      <c r="O66" s="130">
        <f>IF($E$7&lt;O$18,0,'4'!L69)</f>
        <v>0</v>
      </c>
      <c r="P66" s="130">
        <f>IF($E$7&lt;P$18,0,'4'!M69)</f>
        <v>0</v>
      </c>
      <c r="Q66" s="254">
        <f t="shared" si="17"/>
        <v>734585.90194777399</v>
      </c>
    </row>
    <row r="67" spans="2:17" s="255" customFormat="1" ht="14" collapsed="1" thickBot="1">
      <c r="B67" s="257" t="s">
        <v>129</v>
      </c>
      <c r="C67" s="258"/>
      <c r="D67" s="259"/>
      <c r="E67" s="260"/>
      <c r="F67" s="261">
        <f>SUM(F69:F72)</f>
        <v>-9309375</v>
      </c>
      <c r="G67" s="261">
        <f>SUM(G69:G72)</f>
        <v>-5258337.8493150678</v>
      </c>
      <c r="H67" s="261">
        <f>SUM(H69:H72)</f>
        <v>231498.01823630137</v>
      </c>
      <c r="I67" s="261">
        <f t="shared" ref="I67" si="77">SUM(I69:I72)</f>
        <v>-13180691.65785959</v>
      </c>
      <c r="J67" s="261">
        <f t="shared" ref="J67" si="78">SUM(J69:J72)</f>
        <v>136398.12239194033</v>
      </c>
      <c r="K67" s="261">
        <f t="shared" ref="K67" si="79">SUM(K69:K72)</f>
        <v>245365.61832963862</v>
      </c>
      <c r="L67" s="261">
        <f t="shared" ref="L67" si="80">SUM(L69:L72)</f>
        <v>-18735578.852118187</v>
      </c>
      <c r="M67" s="261">
        <f t="shared" ref="M67" si="81">SUM(M69:M72)</f>
        <v>0</v>
      </c>
      <c r="N67" s="261">
        <f t="shared" ref="N67" si="82">SUM(N69:N72)</f>
        <v>0</v>
      </c>
      <c r="O67" s="261">
        <f t="shared" ref="O67" si="83">SUM(O69:O72)</f>
        <v>0</v>
      </c>
      <c r="P67" s="261">
        <f t="shared" ref="P67" si="84">SUM(P69:P72)</f>
        <v>0</v>
      </c>
      <c r="Q67" s="262">
        <f t="shared" si="17"/>
        <v>-45870721.600334965</v>
      </c>
    </row>
    <row r="68" spans="2:17" s="255" customFormat="1" ht="14" thickTop="1">
      <c r="B68" s="251"/>
      <c r="C68" s="127"/>
      <c r="D68" s="252"/>
      <c r="E68" s="253"/>
      <c r="F68" s="130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254"/>
    </row>
    <row r="69" spans="2:17" s="255" customFormat="1" hidden="1" outlineLevel="1">
      <c r="B69" s="256" t="s">
        <v>122</v>
      </c>
      <c r="C69" s="127"/>
      <c r="D69" s="252"/>
      <c r="E69" s="253"/>
      <c r="F69" s="130">
        <f>IF($E$4&lt;F$18,0,'1'!F71)</f>
        <v>-9309375</v>
      </c>
      <c r="G69" s="130">
        <f>IF($E$4&lt;G$18,0,'1'!G71)</f>
        <v>-561875</v>
      </c>
      <c r="H69" s="130">
        <f>IF($E$4&lt;H$18,0,'1'!H71)</f>
        <v>-1216444.9856164383</v>
      </c>
      <c r="I69" s="130">
        <f>IF($E$4&lt;I$18,0,'1'!I71)</f>
        <v>3193682.1689105313</v>
      </c>
      <c r="J69" s="130">
        <f>IF($E$4&lt;J$18,0,'1'!J71)</f>
        <v>0</v>
      </c>
      <c r="K69" s="130">
        <f>IF($E$4&lt;K$18,0,'1'!K71)</f>
        <v>0</v>
      </c>
      <c r="L69" s="130">
        <f>IF($E$4&lt;L$18,0,'1'!L71)</f>
        <v>0</v>
      </c>
      <c r="M69" s="130">
        <f>IF($E$4&lt;M$18,0,'1'!M71)</f>
        <v>0</v>
      </c>
      <c r="N69" s="130">
        <f>IF($E$4&lt;N$18,0,'1'!N71)</f>
        <v>0</v>
      </c>
      <c r="O69" s="130">
        <f>IF($E$4&lt;O$18,0,'1'!O71)</f>
        <v>0</v>
      </c>
      <c r="P69" s="130">
        <f>IF($E$4&lt;P$18,0,'1'!P71)</f>
        <v>0</v>
      </c>
      <c r="Q69" s="254">
        <f t="shared" ref="Q69:Q73" si="85">SUM(E69:P69)</f>
        <v>-7894012.8167059068</v>
      </c>
    </row>
    <row r="70" spans="2:17" s="255" customFormat="1" hidden="1" outlineLevel="1">
      <c r="B70" s="256" t="s">
        <v>123</v>
      </c>
      <c r="C70" s="127"/>
      <c r="D70" s="252"/>
      <c r="E70" s="253"/>
      <c r="F70" s="130">
        <f>IF($E$5&lt;F$18,0,'2'!E71)</f>
        <v>0</v>
      </c>
      <c r="G70" s="130">
        <f>IF($E$5&lt;G$18,0,'2'!F71)</f>
        <v>-4696462.8493150678</v>
      </c>
      <c r="H70" s="130">
        <f>IF($E$5&lt;H$18,0,'2'!G71)</f>
        <v>1602243.0038527397</v>
      </c>
      <c r="I70" s="130">
        <f>IF($E$5&lt;I$18,0,'2'!H71)</f>
        <v>1918924.73953125</v>
      </c>
      <c r="J70" s="130">
        <f>IF($E$5&lt;J$18,0,'2'!I71)</f>
        <v>1942725.6326179681</v>
      </c>
      <c r="K70" s="130">
        <f>IF($E$5&lt;K$18,0,'2'!J71)</f>
        <v>-7130312.558809232</v>
      </c>
      <c r="L70" s="130">
        <f>IF($E$5&lt;L$18,0,'2'!K71)</f>
        <v>0</v>
      </c>
      <c r="M70" s="130">
        <f>IF($E$5&lt;M$18,0,'2'!L71)</f>
        <v>0</v>
      </c>
      <c r="N70" s="130">
        <f>IF($E$5&lt;N$18,0,'2'!M71)</f>
        <v>0</v>
      </c>
      <c r="O70" s="130">
        <f>IF($E$5&lt;O$18,0,'2'!N71)</f>
        <v>0</v>
      </c>
      <c r="P70" s="130">
        <f>IF($E$5&lt;P$18,0,'2'!O71)</f>
        <v>0</v>
      </c>
      <c r="Q70" s="254">
        <f t="shared" si="85"/>
        <v>-6362882.0321223419</v>
      </c>
    </row>
    <row r="71" spans="2:17" s="255" customFormat="1" hidden="1" outlineLevel="1">
      <c r="B71" s="256" t="s">
        <v>124</v>
      </c>
      <c r="C71" s="127"/>
      <c r="D71" s="252"/>
      <c r="E71" s="253"/>
      <c r="F71" s="130"/>
      <c r="G71" s="130">
        <f>IF($E$6&lt;G$18,0,'3'!E71)</f>
        <v>0</v>
      </c>
      <c r="H71" s="130">
        <f>IF($E$6&lt;H$18,0,'3'!F71)</f>
        <v>-154300</v>
      </c>
      <c r="I71" s="130">
        <f>IF($E$6&lt;I$18,0,'3'!G71)</f>
        <v>-4315173.56630137</v>
      </c>
      <c r="J71" s="130">
        <f>IF($E$6&lt;J$18,0,'3'!H71)</f>
        <v>45926.823678081855</v>
      </c>
      <c r="K71" s="130">
        <f>IF($E$6&lt;K$18,0,'3'!I71)</f>
        <v>3550593.1205250006</v>
      </c>
      <c r="L71" s="130">
        <f>IF($E$6&lt;L$18,0,'3'!J71)</f>
        <v>-18735578.852118187</v>
      </c>
      <c r="M71" s="130">
        <f>IF($E$6&lt;M$18,0,'3'!K71)</f>
        <v>0</v>
      </c>
      <c r="N71" s="130">
        <f>IF($E$6&lt;N$18,0,'3'!L71)</f>
        <v>0</v>
      </c>
      <c r="O71" s="130">
        <f>IF($E$6&lt;O$18,0,'3'!M71)</f>
        <v>0</v>
      </c>
      <c r="P71" s="130">
        <f>IF($E$6&lt;P$18,0,'3'!N71)</f>
        <v>0</v>
      </c>
      <c r="Q71" s="254">
        <f t="shared" si="85"/>
        <v>-19608532.474216476</v>
      </c>
    </row>
    <row r="72" spans="2:17" s="255" customFormat="1" hidden="1" outlineLevel="1">
      <c r="B72" s="256" t="s">
        <v>125</v>
      </c>
      <c r="C72" s="127"/>
      <c r="D72" s="252"/>
      <c r="E72" s="253"/>
      <c r="F72" s="130"/>
      <c r="G72" s="130"/>
      <c r="H72" s="130">
        <f>IF($E$7&lt;H$18,0,'4'!E71)</f>
        <v>0</v>
      </c>
      <c r="I72" s="130">
        <f>IF($E$7&lt;I$18,0,'4'!F71)</f>
        <v>-13978125</v>
      </c>
      <c r="J72" s="130">
        <f>IF($E$7&lt;J$18,0,'4'!G71)</f>
        <v>-1852254.3339041097</v>
      </c>
      <c r="K72" s="130">
        <f>IF($E$7&lt;K$18,0,'4'!H71)</f>
        <v>3825085.05661387</v>
      </c>
      <c r="L72" s="130">
        <f>IF($E$7&lt;L$18,0,'4'!I71)</f>
        <v>0</v>
      </c>
      <c r="M72" s="130">
        <f>IF($E$7&lt;M$18,0,'4'!J71)</f>
        <v>0</v>
      </c>
      <c r="N72" s="130">
        <f>IF($E$7&lt;N$18,0,'4'!K71)</f>
        <v>0</v>
      </c>
      <c r="O72" s="130">
        <f>IF($E$7&lt;O$18,0,'4'!L71)</f>
        <v>0</v>
      </c>
      <c r="P72" s="130">
        <f>IF($E$7&lt;P$18,0,'4'!M71)</f>
        <v>0</v>
      </c>
      <c r="Q72" s="254">
        <f t="shared" si="85"/>
        <v>-12005294.27729024</v>
      </c>
    </row>
    <row r="73" spans="2:17" s="255" customFormat="1" ht="14" collapsed="1" thickBot="1">
      <c r="B73" s="257" t="s">
        <v>130</v>
      </c>
      <c r="C73" s="258"/>
      <c r="D73" s="259"/>
      <c r="E73" s="260"/>
      <c r="F73" s="261">
        <f t="shared" ref="F73" si="86">SUM(F75:F78)</f>
        <v>0</v>
      </c>
      <c r="G73" s="261">
        <f>SUM(G75:G78)</f>
        <v>0</v>
      </c>
      <c r="H73" s="261">
        <f>SUM(H75:H78)</f>
        <v>0</v>
      </c>
      <c r="I73" s="261">
        <f t="shared" ref="I73" si="87">SUM(I75:I78)</f>
        <v>46026715.82692308</v>
      </c>
      <c r="J73" s="261">
        <f t="shared" ref="J73" si="88">SUM(J75:J78)</f>
        <v>0</v>
      </c>
      <c r="K73" s="261">
        <f t="shared" ref="K73" si="89">SUM(K75:K78)</f>
        <v>92394082.979453325</v>
      </c>
      <c r="L73" s="261">
        <f t="shared" ref="L73" si="90">SUM(L75:L78)</f>
        <v>61748942.463475205</v>
      </c>
      <c r="M73" s="261">
        <f t="shared" ref="M73" si="91">SUM(M75:M78)</f>
        <v>0</v>
      </c>
      <c r="N73" s="261">
        <f t="shared" ref="N73" si="92">SUM(N75:N78)</f>
        <v>0</v>
      </c>
      <c r="O73" s="261">
        <f t="shared" ref="O73" si="93">SUM(O75:O78)</f>
        <v>0</v>
      </c>
      <c r="P73" s="261">
        <f t="shared" ref="P73" si="94">SUM(P75:P78)</f>
        <v>0</v>
      </c>
      <c r="Q73" s="262">
        <f t="shared" si="85"/>
        <v>200169741.2698516</v>
      </c>
    </row>
    <row r="74" spans="2:17" s="255" customFormat="1" ht="14" thickTop="1">
      <c r="B74" s="251"/>
      <c r="C74" s="127"/>
      <c r="D74" s="252"/>
      <c r="E74" s="253"/>
      <c r="F74" s="130"/>
      <c r="G74" s="130"/>
      <c r="H74" s="130"/>
      <c r="I74" s="130"/>
      <c r="J74" s="130"/>
      <c r="K74" s="130"/>
      <c r="L74" s="130"/>
      <c r="M74" s="130"/>
      <c r="N74" s="130"/>
      <c r="O74" s="130"/>
      <c r="P74" s="130"/>
      <c r="Q74" s="254"/>
    </row>
    <row r="75" spans="2:17" s="255" customFormat="1" outlineLevel="1">
      <c r="B75" s="256" t="s">
        <v>122</v>
      </c>
      <c r="C75" s="127"/>
      <c r="D75" s="252"/>
      <c r="E75" s="253"/>
      <c r="F75" s="130">
        <f>IF($E$4&lt;F$18,0,'1'!F73)</f>
        <v>0</v>
      </c>
      <c r="G75" s="130">
        <f>IF($E$4&lt;G$18,0,'1'!G73)</f>
        <v>0</v>
      </c>
      <c r="H75" s="130">
        <f>IF($E$4&lt;H$18,0,'1'!H73)</f>
        <v>0</v>
      </c>
      <c r="I75" s="130">
        <f>IF($E$4&lt;I$18,0,'1'!I73)</f>
        <v>46026715.82692308</v>
      </c>
      <c r="J75" s="130">
        <f>IF($E$4&lt;J$18,0,'1'!J73)</f>
        <v>0</v>
      </c>
      <c r="K75" s="130">
        <f>IF($E$4&lt;K$18,0,'1'!K73)</f>
        <v>0</v>
      </c>
      <c r="L75" s="130">
        <f>IF($E$4&lt;L$18,0,'1'!L73)</f>
        <v>0</v>
      </c>
      <c r="M75" s="130">
        <f>IF($E$4&lt;M$18,0,'1'!M73)</f>
        <v>0</v>
      </c>
      <c r="N75" s="130">
        <f>IF($E$4&lt;N$18,0,'1'!N73)</f>
        <v>0</v>
      </c>
      <c r="O75" s="130">
        <f>IF($E$4&lt;O$18,0,'1'!O73)</f>
        <v>0</v>
      </c>
      <c r="P75" s="130">
        <f>IF($E$4&lt;P$18,0,'1'!P73)</f>
        <v>0</v>
      </c>
      <c r="Q75" s="254">
        <f t="shared" si="17"/>
        <v>46026715.82692308</v>
      </c>
    </row>
    <row r="76" spans="2:17" s="255" customFormat="1" outlineLevel="1">
      <c r="B76" s="256" t="s">
        <v>123</v>
      </c>
      <c r="C76" s="127"/>
      <c r="D76" s="252"/>
      <c r="E76" s="253"/>
      <c r="F76" s="130">
        <f>IF($E$5&lt;F$18,0,'2'!E73)</f>
        <v>0</v>
      </c>
      <c r="G76" s="130">
        <f>IF($E$5&lt;G$18,0,'2'!F73)</f>
        <v>0</v>
      </c>
      <c r="H76" s="130">
        <f>IF($E$5&lt;H$18,0,'2'!G73)</f>
        <v>0</v>
      </c>
      <c r="I76" s="130">
        <f>IF($E$5&lt;I$18,0,'2'!H73)</f>
        <v>0</v>
      </c>
      <c r="J76" s="130">
        <f>IF($E$5&lt;J$18,0,'2'!I73)</f>
        <v>0</v>
      </c>
      <c r="K76" s="130">
        <f>IF($E$5&lt;K$18,0,'2'!J73)</f>
        <v>29288146.729453325</v>
      </c>
      <c r="L76" s="130">
        <f>IF($E$5&lt;L$18,0,'2'!K73)</f>
        <v>0</v>
      </c>
      <c r="M76" s="130">
        <f>IF($E$5&lt;M$18,0,'2'!L73)</f>
        <v>0</v>
      </c>
      <c r="N76" s="130">
        <f>IF($E$5&lt;N$18,0,'2'!M73)</f>
        <v>0</v>
      </c>
      <c r="O76" s="130">
        <f>IF($E$5&lt;O$18,0,'2'!N73)</f>
        <v>0</v>
      </c>
      <c r="P76" s="130">
        <f>IF($E$5&lt;P$18,0,'2'!O73)</f>
        <v>0</v>
      </c>
      <c r="Q76" s="254">
        <f t="shared" si="17"/>
        <v>29288146.729453325</v>
      </c>
    </row>
    <row r="77" spans="2:17" s="255" customFormat="1" outlineLevel="1">
      <c r="B77" s="256" t="s">
        <v>124</v>
      </c>
      <c r="C77" s="127"/>
      <c r="D77" s="252"/>
      <c r="E77" s="253"/>
      <c r="F77" s="130"/>
      <c r="G77" s="130">
        <f>IF($E$6&lt;G$18,0,'3'!E73)</f>
        <v>0</v>
      </c>
      <c r="H77" s="130">
        <f>IF($E$6&lt;H$18,0,'3'!F73)</f>
        <v>0</v>
      </c>
      <c r="I77" s="130">
        <f>IF($E$6&lt;I$18,0,'3'!G73)</f>
        <v>0</v>
      </c>
      <c r="J77" s="130">
        <f>IF($E$6&lt;J$18,0,'3'!H73)</f>
        <v>0</v>
      </c>
      <c r="K77" s="130">
        <f>IF($E$6&lt;K$18,0,'3'!I73)</f>
        <v>0</v>
      </c>
      <c r="L77" s="130">
        <f>IF($E$6&lt;L$18,0,'3'!J73)</f>
        <v>61748942.463475205</v>
      </c>
      <c r="M77" s="130">
        <f>IF($E$6&lt;M$18,0,'3'!K73)</f>
        <v>0</v>
      </c>
      <c r="N77" s="130">
        <f>IF($E$6&lt;N$18,0,'3'!L73)</f>
        <v>0</v>
      </c>
      <c r="O77" s="130">
        <f>IF($E$6&lt;O$18,0,'3'!M73)</f>
        <v>0</v>
      </c>
      <c r="P77" s="130">
        <f>IF($E$6&lt;P$18,0,'3'!N73)</f>
        <v>0</v>
      </c>
      <c r="Q77" s="254">
        <f t="shared" si="17"/>
        <v>61748942.463475205</v>
      </c>
    </row>
    <row r="78" spans="2:17" s="255" customFormat="1" outlineLevel="1">
      <c r="B78" s="256" t="s">
        <v>125</v>
      </c>
      <c r="C78" s="127"/>
      <c r="D78" s="252"/>
      <c r="E78" s="253"/>
      <c r="F78" s="130"/>
      <c r="G78" s="130"/>
      <c r="H78" s="130">
        <f>IF($E$7&lt;H$18,0,'4'!E73)</f>
        <v>0</v>
      </c>
      <c r="I78" s="130">
        <f>IF($E$7&lt;I$18,0,'4'!F73)</f>
        <v>0</v>
      </c>
      <c r="J78" s="130">
        <f>IF($E$7&lt;J$18,0,'4'!G73)</f>
        <v>0</v>
      </c>
      <c r="K78" s="130">
        <f>IF($E$7&lt;K$18,0,'4'!H73)</f>
        <v>63105936.249999993</v>
      </c>
      <c r="L78" s="130">
        <f>IF($E$7&lt;L$18,0,'4'!I73)</f>
        <v>0</v>
      </c>
      <c r="M78" s="130">
        <f>IF($E$7&lt;M$18,0,'4'!J73)</f>
        <v>0</v>
      </c>
      <c r="N78" s="130">
        <f>IF($E$7&lt;N$18,0,'4'!K73)</f>
        <v>0</v>
      </c>
      <c r="O78" s="130">
        <f>IF($E$7&lt;O$18,0,'4'!L73)</f>
        <v>0</v>
      </c>
      <c r="P78" s="130">
        <f>IF($E$7&lt;P$18,0,'4'!M73)</f>
        <v>0</v>
      </c>
      <c r="Q78" s="254">
        <f t="shared" si="17"/>
        <v>63105936.249999993</v>
      </c>
    </row>
    <row r="79" spans="2:17" ht="14" thickBot="1">
      <c r="B79" s="79" t="s">
        <v>163</v>
      </c>
      <c r="C79" s="68"/>
      <c r="D79" s="172"/>
      <c r="E79" s="175">
        <f>SUM(E81:E84)</f>
        <v>-11400000.015000001</v>
      </c>
      <c r="F79" s="69">
        <f>SUM(F81:F84)</f>
        <v>-17189625</v>
      </c>
      <c r="G79" s="69">
        <f t="shared" ref="G79" si="95">SUM(G81:G84)</f>
        <v>-18488337.84931507</v>
      </c>
      <c r="H79" s="69">
        <f>SUM(H81:H84)</f>
        <v>-18856001.981763698</v>
      </c>
      <c r="I79" s="69">
        <f t="shared" ref="I79" si="96">SUM(I81:I84)</f>
        <v>24055242.262717336</v>
      </c>
      <c r="J79" s="69">
        <f>SUM(J81:J84)</f>
        <v>136398.12239194033</v>
      </c>
      <c r="K79" s="69">
        <f t="shared" ref="K79" si="97">SUM(K81:K84)</f>
        <v>82348700.041746676</v>
      </c>
      <c r="L79" s="69">
        <f t="shared" ref="L79" si="98">SUM(L81:L84)</f>
        <v>32166191.447679706</v>
      </c>
      <c r="M79" s="69">
        <f t="shared" ref="M79" si="99">SUM(M81:M84)</f>
        <v>0</v>
      </c>
      <c r="N79" s="69">
        <f t="shared" ref="N79" si="100">SUM(N81:N84)</f>
        <v>0</v>
      </c>
      <c r="O79" s="69">
        <f t="shared" ref="O79" si="101">SUM(O81:O84)</f>
        <v>0</v>
      </c>
      <c r="P79" s="69">
        <f t="shared" ref="P79" si="102">SUM(P81:P84)</f>
        <v>0</v>
      </c>
      <c r="Q79" s="175">
        <f t="shared" si="17"/>
        <v>72772567.028456897</v>
      </c>
    </row>
    <row r="80" spans="2:17" ht="14" thickTop="1">
      <c r="B80" s="178"/>
      <c r="C80" s="179"/>
      <c r="D80" s="180"/>
      <c r="E80" s="181"/>
      <c r="F80" s="182"/>
      <c r="G80" s="182"/>
      <c r="H80" s="182"/>
      <c r="I80" s="182"/>
      <c r="J80" s="182"/>
      <c r="K80" s="182"/>
      <c r="L80" s="182"/>
      <c r="M80" s="182"/>
      <c r="N80" s="182"/>
      <c r="O80" s="182"/>
      <c r="P80" s="182"/>
      <c r="Q80" s="183"/>
    </row>
    <row r="81" spans="2:17" outlineLevel="1">
      <c r="B81" s="103" t="s">
        <v>122</v>
      </c>
      <c r="C81" s="36"/>
      <c r="D81" s="37"/>
      <c r="E81" s="211">
        <f>IF($E$4&lt;E$18,0,'1'!E79)</f>
        <v>-11400000.015000001</v>
      </c>
      <c r="F81" s="77">
        <f>IF($E$4&lt;F$18,0,'1'!F79)</f>
        <v>-9309375</v>
      </c>
      <c r="G81" s="77">
        <f>IF($E$4&lt;G$18,0,'1'!G79)</f>
        <v>-561875</v>
      </c>
      <c r="H81" s="77">
        <f>IF($E$4&lt;H$18,0,'1'!H79)</f>
        <v>-1216444.9856164383</v>
      </c>
      <c r="I81" s="77">
        <f>IF($E$4&lt;I$18,0,'1'!I79)</f>
        <v>40429616.089487456</v>
      </c>
      <c r="J81" s="77">
        <f>IF($E$4&lt;J$18,0,'1'!J79)</f>
        <v>0</v>
      </c>
      <c r="K81" s="77">
        <f>IF($E$4&lt;K$18,0,'1'!K79)</f>
        <v>0</v>
      </c>
      <c r="L81" s="77">
        <f>IF($E$4&lt;L$18,0,'1'!L79)</f>
        <v>0</v>
      </c>
      <c r="M81" s="77">
        <f>IF($E$4&lt;M$18,0,'1'!M79)</f>
        <v>0</v>
      </c>
      <c r="N81" s="77">
        <f>IF($E$4&lt;N$18,0,'1'!N79)</f>
        <v>0</v>
      </c>
      <c r="O81" s="77">
        <f>IF($E$4&lt;O$18,0,'1'!O79)</f>
        <v>0</v>
      </c>
      <c r="P81" s="77">
        <f>IF($E$4&lt;P$18,0,'1'!P79)</f>
        <v>0</v>
      </c>
      <c r="Q81" s="121">
        <f t="shared" ref="Q81:Q85" si="103">SUM(E81:P81)</f>
        <v>17941921.088871017</v>
      </c>
    </row>
    <row r="82" spans="2:17" outlineLevel="1">
      <c r="B82" s="103" t="s">
        <v>123</v>
      </c>
      <c r="C82" s="36"/>
      <c r="D82" s="37"/>
      <c r="E82" s="61"/>
      <c r="F82" s="77">
        <f>IF($E$5&lt;F$18,0,'2'!E79)</f>
        <v>-7880250</v>
      </c>
      <c r="G82" s="77">
        <f>IF($E$5&lt;G$18,0,'2'!F79)</f>
        <v>-4696462.8493150678</v>
      </c>
      <c r="H82" s="77">
        <f>IF($E$5&lt;H$18,0,'2'!G79)</f>
        <v>1602243.0038527397</v>
      </c>
      <c r="I82" s="77">
        <f>IF($E$5&lt;I$18,0,'2'!H79)</f>
        <v>1918924.73953125</v>
      </c>
      <c r="J82" s="77">
        <f>IF($E$5&lt;J$18,0,'2'!I79)</f>
        <v>1942725.6326179681</v>
      </c>
      <c r="K82" s="77">
        <f>IF($E$5&lt;K$18,0,'2'!J79)</f>
        <v>18726466.938045312</v>
      </c>
      <c r="L82" s="77">
        <f>IF($E$5&lt;L$18,0,'2'!K79)</f>
        <v>0</v>
      </c>
      <c r="M82" s="77">
        <f>IF($E$5&lt;M$18,0,'2'!L79)</f>
        <v>0</v>
      </c>
      <c r="N82" s="77">
        <f>IF($E$5&lt;N$18,0,'2'!M79)</f>
        <v>0</v>
      </c>
      <c r="O82" s="77">
        <f>IF($E$5&lt;O$18,0,'2'!N79)</f>
        <v>0</v>
      </c>
      <c r="P82" s="77">
        <f>IF($E$5&lt;P$18,0,'2'!O79)</f>
        <v>0</v>
      </c>
      <c r="Q82" s="121">
        <f t="shared" si="103"/>
        <v>11613647.464732204</v>
      </c>
    </row>
    <row r="83" spans="2:17" outlineLevel="1">
      <c r="B83" s="103" t="s">
        <v>124</v>
      </c>
      <c r="C83" s="36"/>
      <c r="D83" s="37"/>
      <c r="E83" s="61"/>
      <c r="F83" s="77"/>
      <c r="G83" s="77">
        <f>IF($E$6&lt;G$18,0,'3'!E79)</f>
        <v>-13230000</v>
      </c>
      <c r="H83" s="77">
        <f>IF($E$6&lt;H$18,0,'3'!F79)</f>
        <v>-154300</v>
      </c>
      <c r="I83" s="77">
        <f>IF($E$6&lt;I$18,0,'3'!G79)</f>
        <v>-4315173.56630137</v>
      </c>
      <c r="J83" s="77">
        <f>IF($E$6&lt;J$18,0,'3'!H79)</f>
        <v>45926.823678081855</v>
      </c>
      <c r="K83" s="77">
        <f>IF($E$6&lt;K$18,0,'3'!I79)</f>
        <v>3550593.1205250006</v>
      </c>
      <c r="L83" s="77">
        <f>IF($E$6&lt;L$18,0,'3'!J79)</f>
        <v>32166191.447679706</v>
      </c>
      <c r="M83" s="77">
        <f>IF($E$6&lt;M$18,0,'3'!K79)</f>
        <v>0</v>
      </c>
      <c r="N83" s="77">
        <f>IF($E$6&lt;N$18,0,'3'!L79)</f>
        <v>0</v>
      </c>
      <c r="O83" s="77">
        <f>IF($E$6&lt;O$18,0,'3'!M79)</f>
        <v>0</v>
      </c>
      <c r="P83" s="77">
        <f>IF($E$6&lt;P$18,0,'3'!N79)</f>
        <v>0</v>
      </c>
      <c r="Q83" s="121">
        <f t="shared" si="103"/>
        <v>18063237.825581424</v>
      </c>
    </row>
    <row r="84" spans="2:17" outlineLevel="1">
      <c r="B84" s="173" t="s">
        <v>125</v>
      </c>
      <c r="C84" s="43"/>
      <c r="D84" s="174"/>
      <c r="E84" s="111"/>
      <c r="F84" s="176"/>
      <c r="G84" s="176"/>
      <c r="H84" s="176">
        <f>IF($E$7&lt;H$18,0,'4'!E79)</f>
        <v>-19087500</v>
      </c>
      <c r="I84" s="176">
        <f>IF($E$7&lt;I$18,0,'4'!F79)</f>
        <v>-13978125</v>
      </c>
      <c r="J84" s="176">
        <f>IF($E$7&lt;J$18,0,'4'!G79)</f>
        <v>-1852254.3339041097</v>
      </c>
      <c r="K84" s="176">
        <f>IF($E$7&lt;K$18,0,'4'!H79)</f>
        <v>60071639.983176365</v>
      </c>
      <c r="L84" s="176">
        <f>IF($E$7&lt;L$18,0,'4'!I79)</f>
        <v>0</v>
      </c>
      <c r="M84" s="176">
        <f>IF($E$7&lt;M$18,0,'4'!J79)</f>
        <v>0</v>
      </c>
      <c r="N84" s="176">
        <f>IF($E$7&lt;N$18,0,'4'!K79)</f>
        <v>0</v>
      </c>
      <c r="O84" s="176">
        <f>IF($E$7&lt;O$18,0,'4'!L79)</f>
        <v>0</v>
      </c>
      <c r="P84" s="176">
        <f>IF($E$7&lt;P$18,0,'4'!M79)</f>
        <v>0</v>
      </c>
      <c r="Q84" s="177">
        <f t="shared" si="103"/>
        <v>25153760.649272256</v>
      </c>
    </row>
    <row r="85" spans="2:17" ht="14" thickBot="1">
      <c r="B85" s="79" t="s">
        <v>164</v>
      </c>
      <c r="C85" s="68"/>
      <c r="D85" s="172"/>
      <c r="E85" s="175">
        <f>MIN(0,a!$E$7*SUM($E$79:E79))</f>
        <v>-171000.000225</v>
      </c>
      <c r="F85" s="69">
        <f>MIN(0,a!$E$7*SUM($E$79:F79))</f>
        <v>-428844.37522499997</v>
      </c>
      <c r="G85" s="69">
        <f>MIN(0,a!$E$7*SUM($E$79:G79))</f>
        <v>-706169.44296472601</v>
      </c>
      <c r="H85" s="69">
        <f>MIN(0,a!$E$7*SUM($E$79:H79))</f>
        <v>-989009.47269118147</v>
      </c>
      <c r="I85" s="69">
        <f>MIN(0,a!$E$7*SUM($E$79:I79))</f>
        <v>-628180.83875042142</v>
      </c>
      <c r="J85" s="69">
        <f>MIN(0,a!$E$7*SUM($E$79:J79))</f>
        <v>-626134.86691454239</v>
      </c>
      <c r="K85" s="69">
        <f>MIN(0,a!$E$7*SUM($E$79:K79))</f>
        <v>0</v>
      </c>
      <c r="L85" s="69">
        <f>MIN(0,a!$E$7*SUM($E$79:L79))</f>
        <v>0</v>
      </c>
      <c r="M85" s="69">
        <f>MIN(0,a!$E$7*SUM($E$79:M79))</f>
        <v>0</v>
      </c>
      <c r="N85" s="69">
        <f>MIN(0,a!$E$7*SUM($E$79:N79))</f>
        <v>0</v>
      </c>
      <c r="O85" s="69">
        <f>MIN(0,a!$E$7*SUM($E$79:O79))</f>
        <v>0</v>
      </c>
      <c r="P85" s="69">
        <f>MIN(0,a!$E$7*SUM($E$79:P79))</f>
        <v>0</v>
      </c>
      <c r="Q85" s="175">
        <f t="shared" si="103"/>
        <v>-3549338.9967708713</v>
      </c>
    </row>
    <row r="86" spans="2:17" ht="14" thickTop="1">
      <c r="B86" s="178"/>
      <c r="C86" s="179"/>
      <c r="D86" s="180"/>
      <c r="E86" s="181"/>
      <c r="F86" s="182"/>
      <c r="G86" s="182"/>
      <c r="H86" s="182"/>
      <c r="I86" s="182"/>
      <c r="J86" s="182"/>
      <c r="K86" s="182"/>
      <c r="L86" s="182"/>
      <c r="M86" s="182"/>
      <c r="N86" s="182"/>
      <c r="O86" s="182"/>
      <c r="P86" s="182"/>
      <c r="Q86" s="183"/>
    </row>
    <row r="87" spans="2:17" ht="14" collapsed="1" thickBot="1">
      <c r="B87" s="79" t="s">
        <v>131</v>
      </c>
      <c r="C87" s="68"/>
      <c r="D87" s="172"/>
      <c r="E87" s="175">
        <f>E79+E85</f>
        <v>-11571000.015225001</v>
      </c>
      <c r="F87" s="69">
        <f>F79+F85</f>
        <v>-17618469.375225</v>
      </c>
      <c r="G87" s="69">
        <f>G85+G79</f>
        <v>-19194507.292279795</v>
      </c>
      <c r="H87" s="69">
        <f t="shared" ref="H87:P87" si="104">H85+H79</f>
        <v>-19845011.45445488</v>
      </c>
      <c r="I87" s="69">
        <f t="shared" si="104"/>
        <v>23427061.423966914</v>
      </c>
      <c r="J87" s="69">
        <f t="shared" si="104"/>
        <v>-489736.74452260206</v>
      </c>
      <c r="K87" s="69">
        <f t="shared" si="104"/>
        <v>82348700.041746676</v>
      </c>
      <c r="L87" s="69">
        <f t="shared" si="104"/>
        <v>32166191.447679706</v>
      </c>
      <c r="M87" s="69">
        <f t="shared" si="104"/>
        <v>0</v>
      </c>
      <c r="N87" s="69">
        <f t="shared" si="104"/>
        <v>0</v>
      </c>
      <c r="O87" s="69">
        <f t="shared" si="104"/>
        <v>0</v>
      </c>
      <c r="P87" s="69">
        <f t="shared" si="104"/>
        <v>0</v>
      </c>
      <c r="Q87" s="175">
        <f t="shared" ref="Q87" si="105">SUM(E87:P87)</f>
        <v>69223228.031686008</v>
      </c>
    </row>
    <row r="88" spans="2:17" ht="14" thickTop="1"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0"/>
      <c r="Q88" s="170"/>
    </row>
    <row r="89" spans="2:17">
      <c r="E89" s="170"/>
      <c r="F89" s="170"/>
      <c r="G89" s="170"/>
      <c r="H89" s="170"/>
      <c r="I89" s="170"/>
      <c r="J89" s="170"/>
      <c r="K89" s="170"/>
      <c r="L89" s="170"/>
      <c r="M89" s="170"/>
      <c r="N89" s="170"/>
      <c r="O89" s="170"/>
      <c r="P89" s="170"/>
      <c r="Q89" s="170"/>
    </row>
    <row r="90" spans="2:17">
      <c r="E90" s="170"/>
      <c r="F90" s="170"/>
      <c r="G90" s="170"/>
      <c r="H90" s="170"/>
      <c r="I90" s="170"/>
      <c r="J90" s="170"/>
      <c r="K90" s="170"/>
      <c r="L90" s="170"/>
      <c r="M90" s="170"/>
      <c r="N90" s="170"/>
      <c r="O90" s="170"/>
      <c r="P90" s="170"/>
      <c r="Q90" s="170"/>
    </row>
    <row r="91" spans="2:17">
      <c r="E91" s="170"/>
      <c r="F91" s="170"/>
      <c r="G91" s="170"/>
      <c r="H91" s="170"/>
      <c r="I91" s="170"/>
      <c r="J91" s="170"/>
      <c r="K91" s="170"/>
      <c r="L91" s="170"/>
      <c r="M91" s="170"/>
      <c r="N91" s="170"/>
      <c r="O91" s="170"/>
      <c r="P91" s="170"/>
      <c r="Q91" s="170"/>
    </row>
    <row r="92" spans="2:17">
      <c r="B92" s="248" t="s">
        <v>152</v>
      </c>
      <c r="C92" s="249">
        <f>SUMIF(E87:P87,"&lt;0")</f>
        <v>-68718724.881707281</v>
      </c>
      <c r="E92" s="170"/>
      <c r="F92" s="170"/>
      <c r="G92" s="170"/>
      <c r="H92" s="170"/>
      <c r="I92" s="170"/>
      <c r="J92" s="170"/>
      <c r="K92" s="170"/>
      <c r="L92" s="170"/>
      <c r="M92" s="170"/>
      <c r="N92" s="170"/>
      <c r="O92" s="170"/>
      <c r="P92" s="170"/>
      <c r="Q92" s="170"/>
    </row>
    <row r="93" spans="2:17" s="255" customFormat="1" ht="14" thickBot="1">
      <c r="B93" s="128"/>
      <c r="C93" s="266"/>
      <c r="E93" s="267"/>
      <c r="F93" s="267"/>
      <c r="G93" s="267"/>
      <c r="H93" s="267"/>
      <c r="I93" s="267"/>
      <c r="J93" s="267"/>
      <c r="K93" s="267"/>
      <c r="L93" s="267"/>
      <c r="M93" s="267"/>
      <c r="N93" s="267"/>
      <c r="O93" s="267"/>
      <c r="P93" s="267"/>
      <c r="Q93" s="267"/>
    </row>
    <row r="94" spans="2:17" s="255" customFormat="1" ht="14" thickBot="1">
      <c r="B94" s="136" t="s">
        <v>91</v>
      </c>
      <c r="C94" s="266"/>
      <c r="E94" s="267"/>
      <c r="F94" s="267"/>
      <c r="G94" s="267"/>
      <c r="H94" s="267"/>
      <c r="I94" s="267"/>
      <c r="J94" s="267"/>
      <c r="K94" s="267"/>
      <c r="L94" s="267"/>
      <c r="M94" s="267"/>
      <c r="N94" s="267"/>
      <c r="O94" s="267"/>
      <c r="P94" s="267"/>
      <c r="Q94" s="267"/>
    </row>
    <row r="95" spans="2:17" s="255" customFormat="1">
      <c r="B95" s="128"/>
      <c r="C95" s="266"/>
      <c r="E95" s="267"/>
      <c r="F95" s="267"/>
      <c r="G95" s="267"/>
      <c r="H95" s="267"/>
      <c r="I95" s="267"/>
      <c r="J95" s="267"/>
      <c r="K95" s="267"/>
      <c r="L95" s="267"/>
      <c r="M95" s="267"/>
      <c r="N95" s="267"/>
      <c r="O95" s="267"/>
      <c r="P95" s="267"/>
      <c r="Q95" s="267"/>
    </row>
    <row r="96" spans="2:17" s="255" customFormat="1">
      <c r="B96" s="128"/>
      <c r="C96" s="266"/>
      <c r="E96" s="267"/>
      <c r="F96" s="267"/>
      <c r="G96" s="267"/>
      <c r="H96" s="267"/>
      <c r="I96" s="267"/>
      <c r="J96" s="267"/>
      <c r="K96" s="267"/>
      <c r="L96" s="267"/>
      <c r="M96" s="267"/>
      <c r="N96" s="267"/>
      <c r="O96" s="267"/>
      <c r="P96" s="267"/>
      <c r="Q96" s="267"/>
    </row>
    <row r="97" spans="2:17" s="255" customFormat="1">
      <c r="B97" s="90" t="s">
        <v>168</v>
      </c>
      <c r="C97" s="184">
        <f>XIRR(E79:L79,E17:L17)</f>
        <v>0.19254645705223083</v>
      </c>
      <c r="E97" s="267"/>
      <c r="F97" s="267"/>
      <c r="G97" s="267"/>
      <c r="H97" s="267"/>
      <c r="I97" s="267"/>
      <c r="J97" s="267"/>
      <c r="K97" s="267"/>
      <c r="L97" s="267"/>
      <c r="M97" s="267"/>
      <c r="N97" s="267"/>
      <c r="O97" s="267"/>
      <c r="P97" s="267"/>
      <c r="Q97" s="267"/>
    </row>
    <row r="98" spans="2:17" s="255" customFormat="1">
      <c r="B98" s="90" t="s">
        <v>169</v>
      </c>
      <c r="C98" s="95">
        <f>-SUMIF(E79:P79,"&gt;0")/SUMIF(E79:P79,"&lt;0")</f>
        <v>2.1037189587846363</v>
      </c>
      <c r="E98" s="267"/>
      <c r="F98" s="267"/>
      <c r="G98" s="267"/>
      <c r="H98" s="267"/>
      <c r="I98" s="267"/>
      <c r="J98" s="267"/>
      <c r="K98" s="267"/>
      <c r="L98" s="267"/>
      <c r="M98" s="267"/>
      <c r="N98" s="267"/>
      <c r="O98" s="267"/>
      <c r="P98" s="267"/>
      <c r="Q98" s="267"/>
    </row>
    <row r="99" spans="2:17" s="255" customFormat="1">
      <c r="B99" s="128"/>
      <c r="C99" s="266"/>
      <c r="E99" s="267"/>
      <c r="F99" s="267"/>
      <c r="G99" s="267"/>
      <c r="H99" s="267"/>
      <c r="I99" s="267"/>
      <c r="J99" s="267"/>
      <c r="K99" s="267"/>
      <c r="L99" s="267"/>
      <c r="M99" s="267"/>
      <c r="N99" s="267"/>
      <c r="O99" s="267"/>
      <c r="P99" s="267"/>
      <c r="Q99" s="267"/>
    </row>
    <row r="100" spans="2:17" ht="14">
      <c r="B100" s="1"/>
      <c r="C100" s="1"/>
      <c r="E100" s="170"/>
      <c r="F100" s="170"/>
      <c r="G100" s="170"/>
      <c r="H100" s="170"/>
      <c r="I100" s="170"/>
      <c r="J100" s="170"/>
      <c r="K100" s="170"/>
      <c r="L100" s="170"/>
      <c r="M100" s="170"/>
      <c r="N100" s="170"/>
      <c r="O100" s="170"/>
      <c r="P100" s="170"/>
      <c r="Q100" s="170"/>
    </row>
    <row r="101" spans="2:17">
      <c r="B101" s="90" t="s">
        <v>167</v>
      </c>
      <c r="C101" s="184">
        <f>XIRR(E87:P87,$E$17:$P$17)</f>
        <v>0.1804398834705353</v>
      </c>
      <c r="D101" s="246">
        <f>C97-C101</f>
        <v>1.2106573581695534E-2</v>
      </c>
      <c r="E101" s="170"/>
      <c r="F101" s="170"/>
      <c r="G101" s="170"/>
      <c r="H101" s="170"/>
      <c r="I101" s="170"/>
      <c r="J101" s="170"/>
      <c r="K101" s="170"/>
      <c r="L101" s="170"/>
      <c r="M101" s="170"/>
      <c r="N101" s="170"/>
      <c r="O101" s="170"/>
      <c r="P101" s="170"/>
      <c r="Q101" s="170"/>
    </row>
    <row r="102" spans="2:17">
      <c r="B102" s="90" t="s">
        <v>166</v>
      </c>
      <c r="C102" s="95">
        <f>-SUMIF(E87:P87,"&gt;0")/SUMIF(E87:P87,"&lt;0")</f>
        <v>2.0073415673944357</v>
      </c>
      <c r="D102" s="247">
        <f>C98-C102</f>
        <v>9.6377391390200629E-2</v>
      </c>
      <c r="E102" s="170"/>
      <c r="F102" s="170"/>
      <c r="G102" s="170"/>
      <c r="H102" s="170"/>
      <c r="I102" s="170"/>
      <c r="J102" s="170"/>
      <c r="K102" s="170"/>
      <c r="L102" s="170"/>
      <c r="M102" s="170"/>
      <c r="N102" s="170"/>
      <c r="O102" s="170"/>
      <c r="P102" s="170"/>
      <c r="Q102" s="170"/>
    </row>
    <row r="103" spans="2:17">
      <c r="E103" s="170"/>
      <c r="F103" s="170"/>
      <c r="G103" s="170"/>
      <c r="H103" s="170"/>
      <c r="I103" s="170"/>
      <c r="J103" s="170"/>
      <c r="K103" s="170"/>
      <c r="L103" s="170"/>
      <c r="M103" s="170"/>
      <c r="N103" s="170"/>
      <c r="O103" s="170"/>
      <c r="P103" s="170"/>
      <c r="Q103" s="170"/>
    </row>
    <row r="104" spans="2:17">
      <c r="E104" s="170"/>
      <c r="F104" s="170"/>
      <c r="G104" s="170"/>
      <c r="H104" s="170"/>
      <c r="I104" s="170"/>
      <c r="J104" s="170"/>
      <c r="K104" s="170"/>
      <c r="L104" s="170"/>
      <c r="M104" s="170"/>
      <c r="N104" s="170"/>
      <c r="O104" s="170"/>
      <c r="P104" s="170"/>
      <c r="Q104" s="170"/>
    </row>
    <row r="105" spans="2:17">
      <c r="E105" s="170"/>
      <c r="F105" s="170"/>
      <c r="G105" s="170"/>
      <c r="H105" s="170"/>
      <c r="I105" s="170"/>
      <c r="J105" s="170"/>
      <c r="K105" s="170"/>
      <c r="L105" s="170"/>
      <c r="M105" s="170"/>
      <c r="N105" s="170"/>
      <c r="O105" s="170"/>
      <c r="P105" s="170"/>
      <c r="Q105" s="170"/>
    </row>
    <row r="106" spans="2:17" s="137" customFormat="1" ht="14" thickBot="1"/>
    <row r="107" spans="2:17">
      <c r="E107" s="170"/>
      <c r="F107" s="170"/>
      <c r="G107" s="170"/>
      <c r="H107" s="170"/>
      <c r="I107" s="170"/>
      <c r="J107" s="170"/>
      <c r="K107" s="170"/>
      <c r="L107" s="170"/>
      <c r="M107" s="170"/>
      <c r="N107" s="170"/>
      <c r="O107" s="170"/>
      <c r="P107" s="170"/>
      <c r="Q107" s="170"/>
    </row>
    <row r="108" spans="2:17">
      <c r="E108" s="170"/>
      <c r="F108" s="170"/>
      <c r="G108" s="170"/>
      <c r="H108" s="170"/>
      <c r="I108" s="170"/>
      <c r="J108" s="170"/>
      <c r="K108" s="170"/>
      <c r="L108" s="170"/>
      <c r="M108" s="170"/>
      <c r="N108" s="170"/>
      <c r="O108" s="170"/>
      <c r="P108" s="170"/>
      <c r="Q108" s="170"/>
    </row>
    <row r="109" spans="2:17">
      <c r="E109" s="170"/>
      <c r="F109" s="170"/>
      <c r="G109" s="170"/>
      <c r="H109" s="170"/>
      <c r="I109" s="170"/>
      <c r="J109" s="170"/>
      <c r="K109" s="170"/>
      <c r="L109" s="170"/>
      <c r="M109" s="170"/>
      <c r="N109" s="170"/>
      <c r="O109" s="170"/>
      <c r="P109" s="170"/>
      <c r="Q109" s="170"/>
    </row>
    <row r="110" spans="2:17">
      <c r="B110" s="240" t="str">
        <f>a!H6</f>
        <v>First Hurdle</v>
      </c>
      <c r="C110" s="241"/>
      <c r="D110" s="242">
        <f>a!J6</f>
        <v>0.08</v>
      </c>
      <c r="E110" s="170"/>
      <c r="F110" s="170"/>
      <c r="G110" s="170"/>
      <c r="H110" s="170"/>
      <c r="I110" s="170"/>
      <c r="J110" s="170"/>
      <c r="K110" s="170"/>
      <c r="L110" s="170"/>
      <c r="M110" s="170"/>
      <c r="N110" s="170"/>
      <c r="O110" s="170"/>
      <c r="P110" s="170"/>
      <c r="Q110" s="170"/>
    </row>
    <row r="111" spans="2:17" ht="14" thickBot="1">
      <c r="B111" s="243" t="str">
        <f>a!H8</f>
        <v>First Promote</v>
      </c>
      <c r="C111" s="244"/>
      <c r="D111" s="245">
        <f>a!J8</f>
        <v>0.2</v>
      </c>
      <c r="E111" s="170"/>
      <c r="F111" s="170"/>
      <c r="G111" s="170"/>
      <c r="H111" s="170"/>
      <c r="I111" s="170"/>
      <c r="J111" s="170"/>
      <c r="K111" s="170"/>
      <c r="L111" s="170"/>
      <c r="M111" s="170"/>
      <c r="N111" s="170"/>
      <c r="O111" s="170"/>
      <c r="P111" s="170"/>
      <c r="Q111" s="170"/>
    </row>
    <row r="112" spans="2:17" ht="15" thickTop="1">
      <c r="B112" s="236"/>
      <c r="E112" s="170"/>
      <c r="F112" s="170"/>
      <c r="G112" s="170"/>
      <c r="H112" s="170"/>
      <c r="I112" s="170"/>
      <c r="J112" s="170"/>
      <c r="K112" s="170"/>
      <c r="L112" s="170"/>
      <c r="M112" s="113"/>
      <c r="N112" s="113"/>
      <c r="O112" s="113"/>
      <c r="P112" s="113"/>
      <c r="Q112" s="113"/>
    </row>
    <row r="113" spans="2:17" collapsed="1">
      <c r="B113" s="81" t="s">
        <v>143</v>
      </c>
      <c r="C113" s="47"/>
      <c r="D113" s="48"/>
      <c r="E113" s="91"/>
      <c r="F113" s="91">
        <f>E117</f>
        <v>11571000.015225001</v>
      </c>
      <c r="G113" s="91">
        <f t="shared" ref="G113:K113" si="106">F117</f>
        <v>30117784.62154818</v>
      </c>
      <c r="H113" s="91">
        <f t="shared" si="106"/>
        <v>51721714.683551833</v>
      </c>
      <c r="I113" s="91">
        <f t="shared" si="106"/>
        <v>75704463.312690869</v>
      </c>
      <c r="J113" s="91">
        <f t="shared" si="106"/>
        <v>58333758.953739226</v>
      </c>
      <c r="K113" s="91">
        <f t="shared" si="106"/>
        <v>63503481.598591365</v>
      </c>
      <c r="L113" s="91">
        <f>K117</f>
        <v>0</v>
      </c>
      <c r="M113" s="77"/>
      <c r="N113" s="77"/>
      <c r="O113" s="77"/>
      <c r="P113" s="77"/>
      <c r="Q113" s="77"/>
    </row>
    <row r="114" spans="2:17" collapsed="1">
      <c r="B114" s="81" t="s">
        <v>144</v>
      </c>
      <c r="C114" s="47"/>
      <c r="D114" s="48"/>
      <c r="E114" s="91"/>
      <c r="F114" s="91">
        <f t="shared" ref="F114:L114" si="107">F113*((1+$D$110)^((F17-E17)/365)-1)</f>
        <v>928315.23109817854</v>
      </c>
      <c r="G114" s="91">
        <f t="shared" si="107"/>
        <v>2409422.7697238564</v>
      </c>
      <c r="H114" s="91">
        <f t="shared" si="107"/>
        <v>4137737.1746841501</v>
      </c>
      <c r="I114" s="91">
        <f t="shared" si="107"/>
        <v>6056357.065015275</v>
      </c>
      <c r="J114" s="91">
        <f t="shared" si="107"/>
        <v>4679985.9003295377</v>
      </c>
      <c r="K114" s="91">
        <f t="shared" si="107"/>
        <v>5080278.5278873136</v>
      </c>
      <c r="L114" s="91">
        <f t="shared" si="107"/>
        <v>0</v>
      </c>
      <c r="M114" s="77"/>
      <c r="N114" s="77"/>
      <c r="O114" s="77"/>
      <c r="P114" s="77"/>
      <c r="Q114" s="77"/>
    </row>
    <row r="115" spans="2:17" collapsed="1">
      <c r="B115" s="35" t="s">
        <v>145</v>
      </c>
      <c r="C115" s="36"/>
      <c r="D115" s="37"/>
      <c r="E115" s="121">
        <f t="shared" ref="E115:L115" si="108">-MIN(0,E87)</f>
        <v>11571000.015225001</v>
      </c>
      <c r="F115" s="121">
        <f t="shared" si="108"/>
        <v>17618469.375225</v>
      </c>
      <c r="G115" s="121">
        <f t="shared" si="108"/>
        <v>19194507.292279795</v>
      </c>
      <c r="H115" s="121">
        <f t="shared" si="108"/>
        <v>19845011.45445488</v>
      </c>
      <c r="I115" s="121">
        <f t="shared" si="108"/>
        <v>0</v>
      </c>
      <c r="J115" s="121">
        <f t="shared" si="108"/>
        <v>489736.74452260206</v>
      </c>
      <c r="K115" s="121">
        <f t="shared" si="108"/>
        <v>0</v>
      </c>
      <c r="L115" s="121">
        <f t="shared" si="108"/>
        <v>0</v>
      </c>
      <c r="M115" s="77"/>
      <c r="N115" s="77"/>
      <c r="O115" s="77"/>
      <c r="P115" s="77"/>
      <c r="Q115" s="77"/>
    </row>
    <row r="116" spans="2:17" collapsed="1">
      <c r="B116" s="81" t="s">
        <v>146</v>
      </c>
      <c r="C116" s="47"/>
      <c r="D116" s="48"/>
      <c r="E116" s="91">
        <f t="shared" ref="E116:L116" si="109">-MAX(0,MIN(E87,E113+E114))</f>
        <v>0</v>
      </c>
      <c r="F116" s="91">
        <f t="shared" si="109"/>
        <v>0</v>
      </c>
      <c r="G116" s="91">
        <f t="shared" si="109"/>
        <v>0</v>
      </c>
      <c r="H116" s="91">
        <f t="shared" si="109"/>
        <v>0</v>
      </c>
      <c r="I116" s="91">
        <f t="shared" si="109"/>
        <v>-23427061.423966914</v>
      </c>
      <c r="J116" s="91">
        <f t="shared" si="109"/>
        <v>0</v>
      </c>
      <c r="K116" s="91">
        <f t="shared" si="109"/>
        <v>-68583760.126478672</v>
      </c>
      <c r="L116" s="91">
        <f t="shared" si="109"/>
        <v>0</v>
      </c>
      <c r="M116" s="77"/>
      <c r="N116" s="77"/>
      <c r="O116" s="77"/>
      <c r="P116" s="77"/>
      <c r="Q116" s="77"/>
    </row>
    <row r="117" spans="2:17" collapsed="1">
      <c r="B117" s="42" t="s">
        <v>147</v>
      </c>
      <c r="C117" s="43"/>
      <c r="D117" s="174"/>
      <c r="E117" s="177">
        <f>SUM(E113:E116)</f>
        <v>11571000.015225001</v>
      </c>
      <c r="F117" s="177">
        <f>SUM(F113:F116)</f>
        <v>30117784.62154818</v>
      </c>
      <c r="G117" s="177">
        <f t="shared" ref="G117:L117" si="110">SUM(G113:G116)</f>
        <v>51721714.683551833</v>
      </c>
      <c r="H117" s="177">
        <f t="shared" si="110"/>
        <v>75704463.312690869</v>
      </c>
      <c r="I117" s="177">
        <f t="shared" si="110"/>
        <v>58333758.953739226</v>
      </c>
      <c r="J117" s="177">
        <f t="shared" si="110"/>
        <v>63503481.598591365</v>
      </c>
      <c r="K117" s="177">
        <f t="shared" si="110"/>
        <v>0</v>
      </c>
      <c r="L117" s="177">
        <f t="shared" si="110"/>
        <v>0</v>
      </c>
      <c r="M117" s="77"/>
      <c r="N117" s="77"/>
      <c r="O117" s="77"/>
      <c r="P117" s="77"/>
      <c r="Q117" s="77"/>
    </row>
    <row r="118" spans="2:17">
      <c r="B118" s="36"/>
      <c r="E118" s="170"/>
      <c r="F118" s="170"/>
      <c r="G118" s="170"/>
      <c r="H118" s="170"/>
      <c r="I118" s="170"/>
      <c r="J118" s="170"/>
      <c r="K118" s="170"/>
      <c r="L118" s="170"/>
      <c r="M118" s="113"/>
      <c r="N118" s="113"/>
      <c r="O118" s="113"/>
      <c r="P118" s="113"/>
      <c r="Q118" s="113"/>
    </row>
    <row r="119" spans="2:17">
      <c r="B119" s="81" t="s">
        <v>148</v>
      </c>
      <c r="C119" s="47"/>
      <c r="D119" s="47"/>
      <c r="E119" s="237">
        <f t="shared" ref="E119:L119" si="111">E87+E115+E116</f>
        <v>0</v>
      </c>
      <c r="F119" s="237">
        <f t="shared" si="111"/>
        <v>0</v>
      </c>
      <c r="G119" s="237">
        <f t="shared" si="111"/>
        <v>0</v>
      </c>
      <c r="H119" s="237">
        <f t="shared" si="111"/>
        <v>0</v>
      </c>
      <c r="I119" s="237">
        <f t="shared" si="111"/>
        <v>0</v>
      </c>
      <c r="J119" s="237">
        <f t="shared" si="111"/>
        <v>0</v>
      </c>
      <c r="K119" s="237">
        <f t="shared" si="111"/>
        <v>13764939.915268004</v>
      </c>
      <c r="L119" s="238">
        <f t="shared" si="111"/>
        <v>32166191.447679706</v>
      </c>
      <c r="M119" s="113"/>
      <c r="N119" s="113"/>
      <c r="O119" s="113"/>
      <c r="P119" s="113"/>
      <c r="Q119" s="113"/>
    </row>
    <row r="120" spans="2:17">
      <c r="B120" s="81" t="s">
        <v>149</v>
      </c>
      <c r="C120" s="47"/>
      <c r="D120" s="47"/>
      <c r="E120" s="237">
        <f t="shared" ref="E120:L120" si="112">E87-E119</f>
        <v>-11571000.015225001</v>
      </c>
      <c r="F120" s="237">
        <f t="shared" si="112"/>
        <v>-17618469.375225</v>
      </c>
      <c r="G120" s="237">
        <f t="shared" si="112"/>
        <v>-19194507.292279795</v>
      </c>
      <c r="H120" s="237">
        <f t="shared" si="112"/>
        <v>-19845011.45445488</v>
      </c>
      <c r="I120" s="237">
        <f t="shared" si="112"/>
        <v>23427061.423966914</v>
      </c>
      <c r="J120" s="237">
        <f t="shared" si="112"/>
        <v>-489736.74452260206</v>
      </c>
      <c r="K120" s="237">
        <f t="shared" si="112"/>
        <v>68583760.126478672</v>
      </c>
      <c r="L120" s="238">
        <f t="shared" si="112"/>
        <v>0</v>
      </c>
      <c r="M120" s="170"/>
      <c r="N120" s="170"/>
      <c r="O120" s="170"/>
      <c r="P120" s="170"/>
      <c r="Q120" s="170"/>
    </row>
    <row r="121" spans="2:17">
      <c r="B121" s="265">
        <f>XIRR(E120:L120,E17:L17)</f>
        <v>7.9999998211860726E-2</v>
      </c>
      <c r="E121" s="170"/>
      <c r="F121" s="170"/>
      <c r="G121" s="170"/>
      <c r="H121" s="170"/>
      <c r="I121" s="170"/>
      <c r="J121" s="170"/>
      <c r="K121" s="170"/>
      <c r="L121" s="170"/>
      <c r="M121" s="170"/>
      <c r="N121" s="170"/>
      <c r="O121" s="170"/>
      <c r="P121" s="170"/>
      <c r="Q121" s="170"/>
    </row>
    <row r="122" spans="2:17">
      <c r="B122" s="81" t="s">
        <v>150</v>
      </c>
      <c r="C122" s="47"/>
      <c r="D122" s="47"/>
      <c r="E122" s="187">
        <f t="shared" ref="E122:L122" si="113">E135/(1-$D$111)*$D$111</f>
        <v>0</v>
      </c>
      <c r="F122" s="187">
        <f t="shared" si="113"/>
        <v>0</v>
      </c>
      <c r="G122" s="187">
        <f t="shared" si="113"/>
        <v>0</v>
      </c>
      <c r="H122" s="187">
        <f t="shared" si="113"/>
        <v>0</v>
      </c>
      <c r="I122" s="187">
        <f t="shared" si="113"/>
        <v>0</v>
      </c>
      <c r="J122" s="187">
        <f t="shared" si="113"/>
        <v>0</v>
      </c>
      <c r="K122" s="187">
        <f t="shared" si="113"/>
        <v>-2752987.9830536009</v>
      </c>
      <c r="L122" s="239">
        <f t="shared" si="113"/>
        <v>-999945.57775809511</v>
      </c>
      <c r="M122" s="170"/>
      <c r="N122" s="170"/>
      <c r="O122" s="170"/>
      <c r="P122" s="170"/>
      <c r="Q122" s="170"/>
    </row>
    <row r="123" spans="2:17">
      <c r="B123" s="81" t="s">
        <v>151</v>
      </c>
      <c r="C123" s="47"/>
      <c r="D123" s="47"/>
      <c r="E123" s="187">
        <f t="shared" ref="E123:L123" si="114">E122+E87</f>
        <v>-11571000.015225001</v>
      </c>
      <c r="F123" s="187">
        <f t="shared" si="114"/>
        <v>-17618469.375225</v>
      </c>
      <c r="G123" s="187">
        <f t="shared" si="114"/>
        <v>-19194507.292279795</v>
      </c>
      <c r="H123" s="187">
        <f t="shared" si="114"/>
        <v>-19845011.45445488</v>
      </c>
      <c r="I123" s="187">
        <f t="shared" si="114"/>
        <v>23427061.423966914</v>
      </c>
      <c r="J123" s="187">
        <f t="shared" si="114"/>
        <v>-489736.74452260206</v>
      </c>
      <c r="K123" s="187">
        <f t="shared" si="114"/>
        <v>79595712.058693081</v>
      </c>
      <c r="L123" s="239">
        <f t="shared" si="114"/>
        <v>31166245.86992161</v>
      </c>
    </row>
    <row r="124" spans="2:17" ht="12" customHeight="1">
      <c r="B124" s="36"/>
    </row>
    <row r="125" spans="2:17">
      <c r="B125" s="36"/>
    </row>
    <row r="126" spans="2:17">
      <c r="B126" s="240" t="str">
        <f>a!H10</f>
        <v>Second Hurdle</v>
      </c>
      <c r="C126" s="241"/>
      <c r="D126" s="242">
        <f>a!J10</f>
        <v>0.12</v>
      </c>
    </row>
    <row r="127" spans="2:17" ht="14" thickBot="1">
      <c r="B127" s="243" t="str">
        <f>a!H12</f>
        <v>Second Promote</v>
      </c>
      <c r="C127" s="244"/>
      <c r="D127" s="245">
        <f>a!J12</f>
        <v>0.4</v>
      </c>
    </row>
    <row r="128" spans="2:17" ht="14" thickTop="1">
      <c r="B128" s="36"/>
    </row>
    <row r="129" spans="2:17">
      <c r="B129" s="36"/>
    </row>
    <row r="130" spans="2:17">
      <c r="B130" s="36"/>
    </row>
    <row r="131" spans="2:17" collapsed="1">
      <c r="B131" s="81" t="s">
        <v>154</v>
      </c>
      <c r="C131" s="47"/>
      <c r="D131" s="48"/>
      <c r="E131" s="91"/>
      <c r="F131" s="91">
        <f>E136</f>
        <v>11571000.015225001</v>
      </c>
      <c r="G131" s="91">
        <f t="shared" ref="G131:L131" si="115">F136</f>
        <v>30582013.812537469</v>
      </c>
      <c r="H131" s="91">
        <f t="shared" si="115"/>
        <v>53446362.762321763</v>
      </c>
      <c r="I131" s="91">
        <f t="shared" si="115"/>
        <v>79704937.748255268</v>
      </c>
      <c r="J131" s="91">
        <f t="shared" si="115"/>
        <v>65842468.854078993</v>
      </c>
      <c r="K131" s="91">
        <f t="shared" si="115"/>
        <v>74256202.022296414</v>
      </c>
      <c r="L131" s="91">
        <f t="shared" si="115"/>
        <v>3571234.2062789109</v>
      </c>
      <c r="M131" s="77"/>
      <c r="N131" s="77"/>
      <c r="O131" s="77"/>
      <c r="P131" s="77"/>
      <c r="Q131" s="77"/>
    </row>
    <row r="132" spans="2:17">
      <c r="B132" s="81" t="s">
        <v>155</v>
      </c>
      <c r="C132" s="47"/>
      <c r="D132" s="48"/>
      <c r="E132" s="91"/>
      <c r="F132" s="91">
        <f t="shared" ref="F132:L132" si="116">F131*((1+$D$126)^((F17-E17)/365)-1)</f>
        <v>1392544.4220874689</v>
      </c>
      <c r="G132" s="91">
        <f t="shared" si="116"/>
        <v>3669841.6575044994</v>
      </c>
      <c r="H132" s="91">
        <f t="shared" si="116"/>
        <v>6413563.5314786173</v>
      </c>
      <c r="I132" s="91">
        <f t="shared" si="116"/>
        <v>9564592.5297906399</v>
      </c>
      <c r="J132" s="91">
        <f t="shared" si="116"/>
        <v>7923996.4236948183</v>
      </c>
      <c r="K132" s="91">
        <f t="shared" si="116"/>
        <v>8910744.2426755782</v>
      </c>
      <c r="L132" s="91">
        <f t="shared" si="116"/>
        <v>428548.1047534697</v>
      </c>
    </row>
    <row r="133" spans="2:17">
      <c r="B133" s="35" t="s">
        <v>156</v>
      </c>
      <c r="C133" s="36"/>
      <c r="D133" s="37"/>
      <c r="E133" s="121">
        <f t="shared" ref="E133:L134" si="117">E115</f>
        <v>11571000.015225001</v>
      </c>
      <c r="F133" s="121">
        <f t="shared" si="117"/>
        <v>17618469.375225</v>
      </c>
      <c r="G133" s="121">
        <f t="shared" si="117"/>
        <v>19194507.292279795</v>
      </c>
      <c r="H133" s="121">
        <f t="shared" si="117"/>
        <v>19845011.45445488</v>
      </c>
      <c r="I133" s="121">
        <f t="shared" si="117"/>
        <v>0</v>
      </c>
      <c r="J133" s="121">
        <f t="shared" si="117"/>
        <v>489736.74452260206</v>
      </c>
      <c r="K133" s="121">
        <f t="shared" si="117"/>
        <v>0</v>
      </c>
      <c r="L133" s="121">
        <f t="shared" si="117"/>
        <v>0</v>
      </c>
    </row>
    <row r="134" spans="2:17">
      <c r="B134" s="81" t="s">
        <v>157</v>
      </c>
      <c r="C134" s="47"/>
      <c r="D134" s="48"/>
      <c r="E134" s="91">
        <f t="shared" si="117"/>
        <v>0</v>
      </c>
      <c r="F134" s="91">
        <f t="shared" si="117"/>
        <v>0</v>
      </c>
      <c r="G134" s="91">
        <f t="shared" si="117"/>
        <v>0</v>
      </c>
      <c r="H134" s="91">
        <f t="shared" si="117"/>
        <v>0</v>
      </c>
      <c r="I134" s="91">
        <f t="shared" si="117"/>
        <v>-23427061.423966914</v>
      </c>
      <c r="J134" s="91">
        <f t="shared" si="117"/>
        <v>0</v>
      </c>
      <c r="K134" s="91">
        <f t="shared" si="117"/>
        <v>-68583760.126478672</v>
      </c>
      <c r="L134" s="91">
        <f t="shared" si="117"/>
        <v>0</v>
      </c>
    </row>
    <row r="135" spans="2:17">
      <c r="B135" s="42" t="s">
        <v>158</v>
      </c>
      <c r="C135" s="43"/>
      <c r="D135" s="174"/>
      <c r="E135" s="177">
        <f t="shared" ref="E135:L135" si="118">-MAX(0,MIN(E119*(1-$D$111),E133+E132+E131))</f>
        <v>0</v>
      </c>
      <c r="F135" s="177">
        <f t="shared" si="118"/>
        <v>0</v>
      </c>
      <c r="G135" s="177">
        <f t="shared" si="118"/>
        <v>0</v>
      </c>
      <c r="H135" s="177">
        <f t="shared" si="118"/>
        <v>0</v>
      </c>
      <c r="I135" s="177">
        <f t="shared" si="118"/>
        <v>0</v>
      </c>
      <c r="J135" s="177">
        <f t="shared" si="118"/>
        <v>0</v>
      </c>
      <c r="K135" s="177">
        <f t="shared" si="118"/>
        <v>-11011951.932214404</v>
      </c>
      <c r="L135" s="177">
        <f t="shared" si="118"/>
        <v>-3999782.3110323804</v>
      </c>
    </row>
    <row r="136" spans="2:17">
      <c r="B136" s="42" t="s">
        <v>159</v>
      </c>
      <c r="C136" s="43"/>
      <c r="D136" s="174"/>
      <c r="E136" s="177">
        <f>SUM(E131:E135)</f>
        <v>11571000.015225001</v>
      </c>
      <c r="F136" s="177">
        <f>SUM(F131:F135)</f>
        <v>30582013.812537469</v>
      </c>
      <c r="G136" s="177">
        <f t="shared" ref="G136:L136" si="119">SUM(G131:G135)</f>
        <v>53446362.762321763</v>
      </c>
      <c r="H136" s="177">
        <f t="shared" si="119"/>
        <v>79704937.748255268</v>
      </c>
      <c r="I136" s="177">
        <f t="shared" si="119"/>
        <v>65842468.854078993</v>
      </c>
      <c r="J136" s="177">
        <f t="shared" si="119"/>
        <v>74256202.022296414</v>
      </c>
      <c r="K136" s="177">
        <f>SUM(K131:K135)</f>
        <v>3571234.2062789109</v>
      </c>
      <c r="L136" s="177">
        <f t="shared" si="119"/>
        <v>0</v>
      </c>
    </row>
    <row r="137" spans="2:17" ht="15">
      <c r="B137" s="263"/>
    </row>
    <row r="138" spans="2:17">
      <c r="B138" s="81" t="s">
        <v>160</v>
      </c>
      <c r="C138" s="47"/>
      <c r="D138" s="48"/>
      <c r="E138" s="91">
        <f t="shared" ref="E138:L138" si="120">E119+E122+E135</f>
        <v>0</v>
      </c>
      <c r="F138" s="91">
        <f t="shared" si="120"/>
        <v>0</v>
      </c>
      <c r="G138" s="91">
        <f t="shared" si="120"/>
        <v>0</v>
      </c>
      <c r="H138" s="91">
        <f t="shared" si="120"/>
        <v>0</v>
      </c>
      <c r="I138" s="91">
        <f t="shared" si="120"/>
        <v>0</v>
      </c>
      <c r="J138" s="91">
        <f t="shared" si="120"/>
        <v>0</v>
      </c>
      <c r="K138" s="91">
        <f t="shared" si="120"/>
        <v>0</v>
      </c>
      <c r="L138" s="91">
        <f t="shared" si="120"/>
        <v>27166463.558889229</v>
      </c>
    </row>
    <row r="139" spans="2:17">
      <c r="B139" s="42" t="s">
        <v>149</v>
      </c>
      <c r="C139" s="43"/>
      <c r="D139" s="174"/>
      <c r="E139" s="177">
        <f t="shared" ref="E139:L139" si="121">E87-E138+E122</f>
        <v>-11571000.015225001</v>
      </c>
      <c r="F139" s="177">
        <f t="shared" si="121"/>
        <v>-17618469.375225</v>
      </c>
      <c r="G139" s="177">
        <f t="shared" si="121"/>
        <v>-19194507.292279795</v>
      </c>
      <c r="H139" s="177">
        <f t="shared" si="121"/>
        <v>-19845011.45445488</v>
      </c>
      <c r="I139" s="177">
        <f t="shared" si="121"/>
        <v>23427061.423966914</v>
      </c>
      <c r="J139" s="177">
        <f t="shared" si="121"/>
        <v>-489736.74452260206</v>
      </c>
      <c r="K139" s="177">
        <f t="shared" si="121"/>
        <v>79595712.058693081</v>
      </c>
      <c r="L139" s="177">
        <f t="shared" si="121"/>
        <v>3999782.3110323818</v>
      </c>
    </row>
    <row r="140" spans="2:17">
      <c r="B140" s="265">
        <f>XIRR(E139:L139,E17:L17)</f>
        <v>0.11999999880790704</v>
      </c>
      <c r="C140" s="43"/>
      <c r="D140" s="43"/>
      <c r="E140" s="43"/>
      <c r="F140" s="43"/>
      <c r="G140" s="43"/>
      <c r="H140" s="43"/>
      <c r="I140" s="43"/>
      <c r="J140" s="43"/>
      <c r="K140" s="43"/>
      <c r="L140" s="43"/>
    </row>
    <row r="141" spans="2:17">
      <c r="B141" s="42" t="s">
        <v>161</v>
      </c>
      <c r="C141" s="43"/>
      <c r="D141" s="174"/>
      <c r="E141" s="177">
        <f t="shared" ref="E141:L141" si="122">-E138*$D$127</f>
        <v>0</v>
      </c>
      <c r="F141" s="177">
        <f t="shared" si="122"/>
        <v>0</v>
      </c>
      <c r="G141" s="177">
        <f t="shared" si="122"/>
        <v>0</v>
      </c>
      <c r="H141" s="177">
        <f t="shared" si="122"/>
        <v>0</v>
      </c>
      <c r="I141" s="177">
        <f t="shared" si="122"/>
        <v>0</v>
      </c>
      <c r="J141" s="177">
        <f t="shared" si="122"/>
        <v>0</v>
      </c>
      <c r="K141" s="177">
        <f t="shared" si="122"/>
        <v>0</v>
      </c>
      <c r="L141" s="177">
        <f t="shared" si="122"/>
        <v>-10866585.423555693</v>
      </c>
    </row>
    <row r="142" spans="2:17">
      <c r="B142" s="81" t="s">
        <v>151</v>
      </c>
      <c r="C142" s="47"/>
      <c r="D142" s="47"/>
      <c r="E142" s="177">
        <f t="shared" ref="E142:L142" si="123">E87+E122+E141</f>
        <v>-11571000.015225001</v>
      </c>
      <c r="F142" s="177">
        <f t="shared" si="123"/>
        <v>-17618469.375225</v>
      </c>
      <c r="G142" s="177">
        <f t="shared" si="123"/>
        <v>-19194507.292279795</v>
      </c>
      <c r="H142" s="177">
        <f t="shared" si="123"/>
        <v>-19845011.45445488</v>
      </c>
      <c r="I142" s="177">
        <f t="shared" si="123"/>
        <v>23427061.423966914</v>
      </c>
      <c r="J142" s="177">
        <f t="shared" si="123"/>
        <v>-489736.74452260206</v>
      </c>
      <c r="K142" s="177">
        <f t="shared" si="123"/>
        <v>79595712.058693081</v>
      </c>
      <c r="L142" s="177">
        <f t="shared" si="123"/>
        <v>20299660.446365915</v>
      </c>
      <c r="M142" s="135"/>
    </row>
    <row r="143" spans="2:17">
      <c r="B143" s="36"/>
    </row>
    <row r="144" spans="2:17">
      <c r="B144" s="36"/>
    </row>
    <row r="145" spans="2:7">
      <c r="B145" s="90" t="s">
        <v>170</v>
      </c>
      <c r="C145" s="184">
        <f>XIRR(E142:P142,$E$17:$P$17)</f>
        <v>0.15366470217704775</v>
      </c>
      <c r="D145" s="246">
        <f>C145-C101</f>
        <v>-2.6775181293487549E-2</v>
      </c>
    </row>
    <row r="146" spans="2:7">
      <c r="B146" s="90" t="s">
        <v>171</v>
      </c>
      <c r="C146" s="95">
        <f>-SUMIF(E142:P142,"&gt;0")/SUMIF(E142:P142,"&lt;0")</f>
        <v>1.7945972388357569</v>
      </c>
      <c r="D146" s="247">
        <f>C146-C102</f>
        <v>-0.21274432855867875</v>
      </c>
      <c r="F146" s="135"/>
      <c r="G146" s="135"/>
    </row>
    <row r="147" spans="2:7" s="137" customFormat="1" ht="14" thickBot="1"/>
  </sheetData>
  <mergeCells count="1">
    <mergeCell ref="A1:R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F367"/>
  <sheetViews>
    <sheetView showGridLines="0" topLeftCell="A22" zoomScale="143" zoomScaleNormal="85" workbookViewId="0">
      <selection activeCell="C84" sqref="C84"/>
    </sheetView>
  </sheetViews>
  <sheetFormatPr baseColWidth="10" defaultColWidth="11.5" defaultRowHeight="14" outlineLevelRow="1"/>
  <cols>
    <col min="1" max="1" width="4.1640625" style="1" customWidth="1"/>
    <col min="2" max="2" width="30.1640625" style="1" customWidth="1"/>
    <col min="3" max="3" width="27.33203125" style="1" bestFit="1" customWidth="1"/>
    <col min="4" max="4" width="8.33203125" style="1" customWidth="1"/>
    <col min="5" max="5" width="14.83203125" style="1" bestFit="1" customWidth="1"/>
    <col min="6" max="6" width="16.33203125" style="1" customWidth="1"/>
    <col min="7" max="7" width="15.6640625" style="1" customWidth="1"/>
    <col min="8" max="8" width="17.5" style="1" customWidth="1"/>
    <col min="9" max="9" width="14.5" style="1" bestFit="1" customWidth="1"/>
    <col min="10" max="10" width="17.5" style="1" customWidth="1"/>
    <col min="11" max="11" width="15.6640625" style="1" customWidth="1"/>
    <col min="12" max="12" width="17.6640625" style="1" bestFit="1" customWidth="1"/>
    <col min="13" max="13" width="18.83203125" style="1" bestFit="1" customWidth="1"/>
    <col min="14" max="16" width="15.6640625" style="1" customWidth="1"/>
    <col min="17" max="19" width="20.6640625" style="1" customWidth="1"/>
    <col min="20" max="25" width="11.5" style="1"/>
    <col min="26" max="26" width="17.5" style="1" bestFit="1" customWidth="1"/>
    <col min="27" max="27" width="11.5" style="1"/>
    <col min="28" max="28" width="14.5" style="1" bestFit="1" customWidth="1"/>
    <col min="29" max="29" width="16.33203125" style="1" bestFit="1" customWidth="1"/>
    <col min="30" max="38" width="14.5" style="1" bestFit="1" customWidth="1"/>
    <col min="39" max="16384" width="11.5" style="1"/>
  </cols>
  <sheetData>
    <row r="1" spans="2:58" hidden="1" outlineLevel="1">
      <c r="B1" s="5" t="s">
        <v>68</v>
      </c>
      <c r="C1" s="58">
        <f>EDATE($F$33,C15)</f>
        <v>43830</v>
      </c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</row>
    <row r="2" spans="2:58" hidden="1" outlineLevel="1">
      <c r="B2" s="5" t="s">
        <v>69</v>
      </c>
      <c r="C2" s="58">
        <f>EDATE(C1,C19+C24)</f>
        <v>44561</v>
      </c>
      <c r="W2" s="5"/>
      <c r="X2" s="5"/>
      <c r="Y2" s="5"/>
      <c r="Z2" s="46" t="s">
        <v>42</v>
      </c>
      <c r="AA2" s="47"/>
      <c r="AB2" s="47">
        <v>0</v>
      </c>
      <c r="AC2" s="47">
        <v>1</v>
      </c>
      <c r="AD2" s="47">
        <v>2</v>
      </c>
      <c r="AE2" s="47">
        <v>3</v>
      </c>
      <c r="AF2" s="47">
        <v>4</v>
      </c>
      <c r="AG2" s="47">
        <v>5</v>
      </c>
      <c r="AH2" s="47">
        <v>6</v>
      </c>
      <c r="AI2" s="47">
        <v>7</v>
      </c>
      <c r="AJ2" s="47">
        <v>8</v>
      </c>
      <c r="AK2" s="47">
        <v>9</v>
      </c>
      <c r="AL2" s="48">
        <v>10</v>
      </c>
      <c r="AM2" s="48">
        <v>11</v>
      </c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</row>
    <row r="3" spans="2:58" ht="15" hidden="1" outlineLevel="1" thickBot="1">
      <c r="B3" s="5" t="s">
        <v>70</v>
      </c>
      <c r="C3" s="58">
        <f>EDATE(C2,C25)</f>
        <v>44926</v>
      </c>
      <c r="W3" s="5"/>
      <c r="X3" s="5"/>
      <c r="Y3" s="5"/>
      <c r="Z3" s="35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7"/>
      <c r="AM3" s="37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</row>
    <row r="4" spans="2:58" ht="20" customHeight="1" collapsed="1">
      <c r="F4" s="272" t="s">
        <v>87</v>
      </c>
      <c r="G4" s="273"/>
      <c r="H4" s="273"/>
      <c r="I4" s="273"/>
      <c r="J4" s="273"/>
      <c r="K4" s="273"/>
      <c r="L4" s="274"/>
      <c r="W4" s="5"/>
      <c r="X4" s="5"/>
      <c r="Y4" s="5"/>
      <c r="Z4" s="49" t="s">
        <v>46</v>
      </c>
      <c r="AA4" s="38"/>
      <c r="AB4" s="50">
        <f>H15</f>
        <v>2500000</v>
      </c>
      <c r="AC4" s="38"/>
      <c r="AD4" s="38"/>
      <c r="AE4" s="38"/>
      <c r="AF4" s="38"/>
      <c r="AG4" s="38"/>
      <c r="AH4" s="38"/>
      <c r="AI4" s="38"/>
      <c r="AJ4" s="38"/>
      <c r="AK4" s="38"/>
      <c r="AL4" s="39"/>
      <c r="AM4" s="39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</row>
    <row r="5" spans="2:58" ht="20" customHeight="1">
      <c r="B5" s="219"/>
      <c r="C5" s="219"/>
      <c r="D5" s="219"/>
      <c r="E5" s="280"/>
      <c r="F5" s="281"/>
      <c r="G5" s="281"/>
      <c r="H5" s="281"/>
      <c r="I5" s="281"/>
      <c r="J5" s="281"/>
      <c r="K5" s="281"/>
      <c r="L5" s="281"/>
      <c r="M5" s="282"/>
      <c r="N5" s="219"/>
      <c r="O5" s="219"/>
      <c r="P5" s="219"/>
      <c r="Q5" s="219"/>
      <c r="R5" s="219"/>
      <c r="W5" s="5"/>
      <c r="X5" s="5"/>
      <c r="Y5" s="5"/>
      <c r="Z5" s="35"/>
      <c r="AA5" s="36"/>
      <c r="AB5" s="40"/>
      <c r="AC5" s="36"/>
      <c r="AD5" s="36"/>
      <c r="AE5" s="36"/>
      <c r="AF5" s="36"/>
      <c r="AG5" s="36"/>
      <c r="AH5" s="36"/>
      <c r="AI5" s="36"/>
      <c r="AJ5" s="36"/>
      <c r="AK5" s="36"/>
      <c r="AL5" s="37"/>
      <c r="AM5" s="37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</row>
    <row r="6" spans="2:58" ht="20" customHeight="1" thickBot="1">
      <c r="B6" s="219"/>
      <c r="C6" s="219"/>
      <c r="D6" s="219"/>
      <c r="E6" s="220"/>
      <c r="F6" s="220"/>
      <c r="G6" s="220"/>
      <c r="H6" s="220"/>
      <c r="I6" s="220"/>
      <c r="J6" s="220"/>
      <c r="K6" s="220"/>
      <c r="L6" s="220"/>
      <c r="M6" s="220"/>
      <c r="N6" s="221"/>
      <c r="O6" s="219"/>
      <c r="P6" s="219"/>
      <c r="Q6" s="219"/>
      <c r="R6" s="219"/>
      <c r="W6" s="5"/>
      <c r="X6" s="5"/>
      <c r="Y6" s="5"/>
      <c r="Z6" s="35"/>
      <c r="AA6" s="36"/>
      <c r="AB6" s="40"/>
      <c r="AC6" s="36"/>
      <c r="AD6" s="36"/>
      <c r="AE6" s="36"/>
      <c r="AF6" s="36"/>
      <c r="AG6" s="36"/>
      <c r="AH6" s="36"/>
      <c r="AI6" s="36"/>
      <c r="AJ6" s="36"/>
      <c r="AK6" s="36"/>
      <c r="AL6" s="37"/>
      <c r="AM6" s="37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</row>
    <row r="7" spans="2:58" ht="20" customHeight="1" thickBot="1">
      <c r="F7" s="100"/>
      <c r="G7" s="275" t="s">
        <v>88</v>
      </c>
      <c r="H7" s="276"/>
      <c r="I7" s="276"/>
      <c r="J7" s="277">
        <f>(K41)/H25</f>
        <v>0.13340635284928939</v>
      </c>
      <c r="K7" s="278"/>
      <c r="L7" s="100"/>
      <c r="M7" s="139"/>
      <c r="W7" s="5"/>
      <c r="X7" s="5"/>
      <c r="Y7" s="5"/>
      <c r="Z7" s="35"/>
      <c r="AA7" s="36"/>
      <c r="AB7" s="40"/>
      <c r="AC7" s="36"/>
      <c r="AD7" s="36"/>
      <c r="AE7" s="36"/>
      <c r="AF7" s="36"/>
      <c r="AG7" s="36"/>
      <c r="AH7" s="36"/>
      <c r="AI7" s="36"/>
      <c r="AJ7" s="36"/>
      <c r="AK7" s="36"/>
      <c r="AL7" s="37"/>
      <c r="AM7" s="37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</row>
    <row r="8" spans="2:58" ht="15" thickBot="1">
      <c r="G8" s="161" t="s">
        <v>107</v>
      </c>
      <c r="H8" s="162"/>
      <c r="I8" s="163">
        <f>H25/C11</f>
        <v>906.00000060000002</v>
      </c>
      <c r="J8" s="162" t="s">
        <v>108</v>
      </c>
      <c r="K8" s="164">
        <f>MAX(F73,G73,H73,I73,J73,K73,L73,M73,N73,O73,P73)/$C$11</f>
        <v>1841.0686330769231</v>
      </c>
      <c r="W8" s="5"/>
      <c r="X8" s="5"/>
      <c r="Y8" s="5"/>
      <c r="Z8" s="35" t="s">
        <v>47</v>
      </c>
      <c r="AA8" s="36"/>
      <c r="AB8" s="36"/>
      <c r="AC8" s="40">
        <f t="shared" ref="AC8:AM8" si="0">AB4+AB8-AB10</f>
        <v>2500000</v>
      </c>
      <c r="AD8" s="40">
        <f t="shared" si="0"/>
        <v>2500000</v>
      </c>
      <c r="AE8" s="40">
        <f t="shared" si="0"/>
        <v>2500000</v>
      </c>
      <c r="AF8" s="40">
        <f t="shared" si="0"/>
        <v>2500000</v>
      </c>
      <c r="AG8" s="40">
        <f t="shared" si="0"/>
        <v>2500000</v>
      </c>
      <c r="AH8" s="40">
        <f t="shared" si="0"/>
        <v>0</v>
      </c>
      <c r="AI8" s="40">
        <f t="shared" si="0"/>
        <v>0</v>
      </c>
      <c r="AJ8" s="40">
        <f t="shared" si="0"/>
        <v>0</v>
      </c>
      <c r="AK8" s="40">
        <f t="shared" si="0"/>
        <v>0</v>
      </c>
      <c r="AL8" s="41">
        <f t="shared" si="0"/>
        <v>0</v>
      </c>
      <c r="AM8" s="41">
        <f t="shared" si="0"/>
        <v>0</v>
      </c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</row>
    <row r="9" spans="2:58" ht="16">
      <c r="B9" s="270" t="s">
        <v>15</v>
      </c>
      <c r="C9" s="271"/>
      <c r="F9" s="279" t="s">
        <v>38</v>
      </c>
      <c r="G9" s="279"/>
      <c r="H9" s="279"/>
      <c r="I9" s="279"/>
      <c r="J9" s="279"/>
      <c r="K9" s="279"/>
      <c r="L9" s="279"/>
      <c r="O9" s="270" t="s">
        <v>39</v>
      </c>
      <c r="P9" s="271"/>
      <c r="W9" s="5"/>
      <c r="X9" s="5"/>
      <c r="Y9" s="5"/>
      <c r="Z9" s="35" t="s">
        <v>48</v>
      </c>
      <c r="AA9" s="36"/>
      <c r="AB9" s="36"/>
      <c r="AC9" s="40">
        <f>$P$13*AC8</f>
        <v>68750</v>
      </c>
      <c r="AD9" s="40">
        <f>$P$13*AD8</f>
        <v>68750</v>
      </c>
      <c r="AE9" s="40">
        <f t="shared" ref="AE9:AL9" si="1">$P$13*AE8</f>
        <v>68750</v>
      </c>
      <c r="AF9" s="40">
        <f t="shared" si="1"/>
        <v>68750</v>
      </c>
      <c r="AG9" s="40">
        <f t="shared" si="1"/>
        <v>68750</v>
      </c>
      <c r="AH9" s="40">
        <f t="shared" si="1"/>
        <v>0</v>
      </c>
      <c r="AI9" s="40">
        <f t="shared" si="1"/>
        <v>0</v>
      </c>
      <c r="AJ9" s="40">
        <f t="shared" si="1"/>
        <v>0</v>
      </c>
      <c r="AK9" s="40">
        <f t="shared" si="1"/>
        <v>0</v>
      </c>
      <c r="AL9" s="41">
        <f t="shared" si="1"/>
        <v>0</v>
      </c>
      <c r="AM9" s="41">
        <f>$P$13*AM8</f>
        <v>0</v>
      </c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</row>
    <row r="10" spans="2:58" ht="15" thickBot="1">
      <c r="B10" s="108" t="s">
        <v>96</v>
      </c>
      <c r="C10" s="141">
        <v>43830</v>
      </c>
      <c r="F10" s="4"/>
      <c r="G10" s="2"/>
      <c r="H10" s="2"/>
      <c r="I10" s="2"/>
      <c r="J10" s="2"/>
      <c r="K10" s="2"/>
      <c r="L10" s="3"/>
      <c r="O10" s="11"/>
      <c r="P10" s="210"/>
      <c r="W10" s="5"/>
      <c r="X10" s="5"/>
      <c r="Y10" s="5"/>
      <c r="Z10" s="35" t="s">
        <v>49</v>
      </c>
      <c r="AA10" s="36"/>
      <c r="AB10" s="36"/>
      <c r="AC10" s="40">
        <f t="shared" ref="AC10:AM10" si="2">IF($P$15&gt;AC2,AC8*$P$14,IF($P$15=AC2,AC8,0))</f>
        <v>0</v>
      </c>
      <c r="AD10" s="40">
        <f t="shared" si="2"/>
        <v>0</v>
      </c>
      <c r="AE10" s="40">
        <f t="shared" si="2"/>
        <v>0</v>
      </c>
      <c r="AF10" s="40">
        <f t="shared" si="2"/>
        <v>0</v>
      </c>
      <c r="AG10" s="40">
        <f t="shared" si="2"/>
        <v>2500000</v>
      </c>
      <c r="AH10" s="40">
        <f t="shared" si="2"/>
        <v>0</v>
      </c>
      <c r="AI10" s="40">
        <f t="shared" si="2"/>
        <v>0</v>
      </c>
      <c r="AJ10" s="40">
        <f t="shared" si="2"/>
        <v>0</v>
      </c>
      <c r="AK10" s="40">
        <f t="shared" si="2"/>
        <v>0</v>
      </c>
      <c r="AL10" s="41">
        <f t="shared" si="2"/>
        <v>0</v>
      </c>
      <c r="AM10" s="41">
        <f t="shared" si="2"/>
        <v>0</v>
      </c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</row>
    <row r="11" spans="2:58" ht="15" thickTop="1">
      <c r="B11" s="12" t="s">
        <v>16</v>
      </c>
      <c r="C11" s="14">
        <f>25000</f>
        <v>25000</v>
      </c>
      <c r="F11" s="4"/>
      <c r="G11" s="52"/>
      <c r="H11" s="2"/>
      <c r="I11" s="2"/>
      <c r="J11" s="2"/>
      <c r="K11" s="2"/>
      <c r="L11" s="3"/>
      <c r="O11" s="4"/>
      <c r="P11" s="3"/>
      <c r="W11" s="5"/>
      <c r="X11" s="5"/>
      <c r="Y11" s="5"/>
      <c r="Z11" s="42" t="s">
        <v>50</v>
      </c>
      <c r="AA11" s="43"/>
      <c r="AB11" s="43"/>
      <c r="AC11" s="44">
        <f>AC10+AC9</f>
        <v>68750</v>
      </c>
      <c r="AD11" s="44">
        <f>AD10+AD9</f>
        <v>68750</v>
      </c>
      <c r="AE11" s="44">
        <f t="shared" ref="AE11:AL11" si="3">AE10+AE9</f>
        <v>68750</v>
      </c>
      <c r="AF11" s="44">
        <f t="shared" si="3"/>
        <v>68750</v>
      </c>
      <c r="AG11" s="44">
        <f t="shared" si="3"/>
        <v>2568750</v>
      </c>
      <c r="AH11" s="44">
        <f t="shared" si="3"/>
        <v>0</v>
      </c>
      <c r="AI11" s="44">
        <f t="shared" si="3"/>
        <v>0</v>
      </c>
      <c r="AJ11" s="44">
        <f t="shared" si="3"/>
        <v>0</v>
      </c>
      <c r="AK11" s="44">
        <f t="shared" si="3"/>
        <v>0</v>
      </c>
      <c r="AL11" s="45">
        <f t="shared" si="3"/>
        <v>0</v>
      </c>
      <c r="AM11" s="45">
        <f t="shared" ref="AM11" si="4">AM10+AM9</f>
        <v>0</v>
      </c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</row>
    <row r="12" spans="2:58" ht="15" thickBot="1">
      <c r="B12" s="12" t="s">
        <v>17</v>
      </c>
      <c r="C12" s="15">
        <v>0</v>
      </c>
      <c r="F12" s="108" t="s">
        <v>35</v>
      </c>
      <c r="G12" s="98"/>
      <c r="H12" s="110"/>
      <c r="I12" s="98"/>
      <c r="J12" s="108" t="s">
        <v>30</v>
      </c>
      <c r="K12" s="109"/>
      <c r="L12" s="110"/>
      <c r="O12" s="26" t="s">
        <v>42</v>
      </c>
      <c r="P12" s="3"/>
      <c r="W12" s="5"/>
      <c r="X12" s="5"/>
      <c r="Y12" s="5"/>
      <c r="Z12" s="4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7"/>
      <c r="AM12" s="37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</row>
    <row r="13" spans="2:58" ht="15" thickTop="1">
      <c r="B13" s="12" t="s">
        <v>18</v>
      </c>
      <c r="C13" s="16">
        <v>0</v>
      </c>
      <c r="F13" s="26" t="s">
        <v>141</v>
      </c>
      <c r="G13" s="160">
        <f>a!O8</f>
        <v>0.95</v>
      </c>
      <c r="H13" s="24">
        <f>($L$25-$H$15-H16)*G13</f>
        <v>10830000.014250001</v>
      </c>
      <c r="I13" s="2"/>
      <c r="J13" s="26" t="s">
        <v>31</v>
      </c>
      <c r="K13" s="53"/>
      <c r="L13" s="114">
        <f>5000000</f>
        <v>5000000</v>
      </c>
      <c r="M13" s="21"/>
      <c r="O13" s="31" t="s">
        <v>43</v>
      </c>
      <c r="P13" s="32">
        <v>2.75E-2</v>
      </c>
      <c r="W13" s="5"/>
      <c r="X13" s="5"/>
      <c r="Y13" s="5"/>
      <c r="Z13" s="35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7"/>
      <c r="AM13" s="37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</row>
    <row r="14" spans="2:58">
      <c r="B14" s="13" t="s">
        <v>19</v>
      </c>
      <c r="C14" s="16">
        <v>0</v>
      </c>
      <c r="F14" s="26" t="s">
        <v>36</v>
      </c>
      <c r="G14" s="160">
        <f>a!O9</f>
        <v>5.0000000000000044E-2</v>
      </c>
      <c r="H14" s="24">
        <f>($L$25-$H$15-H16)*G14</f>
        <v>570000.00075000059</v>
      </c>
      <c r="I14" s="2"/>
      <c r="J14" s="26" t="s">
        <v>40</v>
      </c>
      <c r="K14" s="52"/>
      <c r="L14" s="115">
        <f>C18*C11</f>
        <v>17500000</v>
      </c>
      <c r="O14" s="31" t="s">
        <v>44</v>
      </c>
      <c r="P14" s="32">
        <v>0</v>
      </c>
      <c r="W14" s="5"/>
      <c r="X14" s="5"/>
      <c r="Y14" s="5"/>
      <c r="Z14" s="35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7"/>
      <c r="AM14" s="37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</row>
    <row r="15" spans="2:58">
      <c r="B15" s="12" t="s">
        <v>20</v>
      </c>
      <c r="C15" s="17">
        <v>0</v>
      </c>
      <c r="F15" s="26" t="s">
        <v>42</v>
      </c>
      <c r="G15" s="218">
        <v>0.5</v>
      </c>
      <c r="H15" s="24">
        <f>G15*L13</f>
        <v>2500000</v>
      </c>
      <c r="I15" s="2"/>
      <c r="J15" s="26" t="s">
        <v>32</v>
      </c>
      <c r="K15" s="54">
        <v>2.5000000000000001E-2</v>
      </c>
      <c r="L15" s="116">
        <f>L13*K15</f>
        <v>125000</v>
      </c>
      <c r="O15" s="31" t="s">
        <v>45</v>
      </c>
      <c r="P15" s="33">
        <v>5</v>
      </c>
      <c r="W15" s="5"/>
      <c r="X15" s="5"/>
      <c r="Y15" s="5"/>
      <c r="Z15" s="4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7"/>
      <c r="AM15" s="37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</row>
    <row r="16" spans="2:58">
      <c r="B16" s="12" t="s">
        <v>21</v>
      </c>
      <c r="C16" s="16">
        <v>10</v>
      </c>
      <c r="F16" s="26" t="s">
        <v>41</v>
      </c>
      <c r="G16" s="6">
        <f>C20</f>
        <v>0.5</v>
      </c>
      <c r="H16" s="24">
        <f>L14*G16</f>
        <v>8750000</v>
      </c>
      <c r="I16" s="2"/>
      <c r="J16" s="26" t="s">
        <v>33</v>
      </c>
      <c r="K16" s="54">
        <v>0.01</v>
      </c>
      <c r="L16" s="116">
        <f>K16*H15</f>
        <v>25000</v>
      </c>
      <c r="O16" s="31"/>
      <c r="P16" s="34"/>
      <c r="W16" s="5"/>
      <c r="X16" s="5"/>
      <c r="Y16" s="5"/>
      <c r="Z16" s="35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7"/>
      <c r="AM16" s="37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</row>
    <row r="17" spans="1:58">
      <c r="B17" s="12" t="s">
        <v>97</v>
      </c>
      <c r="C17" s="18">
        <v>0.01</v>
      </c>
      <c r="F17" s="30"/>
      <c r="G17" s="28"/>
      <c r="H17" s="29"/>
      <c r="I17" s="20"/>
      <c r="J17" s="30" t="s">
        <v>3</v>
      </c>
      <c r="K17" s="55"/>
      <c r="L17" s="159">
        <f>a!E7</f>
        <v>1.4999999999999999E-2</v>
      </c>
      <c r="M17" s="21"/>
      <c r="O17" s="26" t="s">
        <v>24</v>
      </c>
      <c r="P17" s="34"/>
      <c r="W17" s="5"/>
      <c r="X17" s="5"/>
      <c r="Y17" s="5"/>
      <c r="Z17" s="35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7"/>
      <c r="AM17" s="37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</row>
    <row r="18" spans="1:58">
      <c r="B18" s="12" t="s">
        <v>22</v>
      </c>
      <c r="C18" s="16">
        <v>700</v>
      </c>
      <c r="F18" s="4"/>
      <c r="G18" s="2"/>
      <c r="H18" s="2"/>
      <c r="I18" s="156"/>
      <c r="J18" s="36"/>
      <c r="K18" s="102"/>
      <c r="L18" s="24"/>
      <c r="O18" s="31" t="s">
        <v>43</v>
      </c>
      <c r="P18" s="32">
        <v>2.75E-2</v>
      </c>
      <c r="W18" s="5"/>
      <c r="X18" s="5"/>
      <c r="Y18" s="5"/>
      <c r="Z18" s="46" t="s">
        <v>53</v>
      </c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8"/>
      <c r="AM18" s="48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</row>
    <row r="19" spans="1:58">
      <c r="B19" s="13" t="s">
        <v>23</v>
      </c>
      <c r="C19" s="17">
        <v>18</v>
      </c>
      <c r="F19" s="4"/>
      <c r="G19" s="2"/>
      <c r="H19" s="2"/>
      <c r="I19" s="59"/>
      <c r="J19" s="2"/>
      <c r="K19" s="2"/>
      <c r="L19" s="3"/>
      <c r="O19" s="31" t="s">
        <v>44</v>
      </c>
      <c r="P19" s="32">
        <v>0</v>
      </c>
      <c r="W19" s="5"/>
      <c r="X19" s="5"/>
      <c r="Y19" s="5"/>
      <c r="Z19" s="35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7"/>
      <c r="AM19" s="37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</row>
    <row r="20" spans="1:58">
      <c r="B20" s="13" t="s">
        <v>24</v>
      </c>
      <c r="C20" s="18">
        <v>0.5</v>
      </c>
      <c r="F20" s="4"/>
      <c r="G20" s="2"/>
      <c r="H20" s="2"/>
      <c r="I20" s="59"/>
      <c r="J20" s="2"/>
      <c r="K20" s="2"/>
      <c r="L20" s="3"/>
      <c r="O20" s="31" t="s">
        <v>45</v>
      </c>
      <c r="P20" s="33">
        <v>5</v>
      </c>
      <c r="W20" s="5"/>
      <c r="X20" s="5"/>
      <c r="Y20" s="5"/>
      <c r="Z20" s="49" t="s">
        <v>46</v>
      </c>
      <c r="AA20" s="38"/>
      <c r="AB20" s="50">
        <f>H16</f>
        <v>8750000</v>
      </c>
      <c r="AC20" s="38"/>
      <c r="AD20" s="38"/>
      <c r="AE20" s="38"/>
      <c r="AF20" s="38"/>
      <c r="AG20" s="38"/>
      <c r="AH20" s="38"/>
      <c r="AI20" s="38"/>
      <c r="AJ20" s="38"/>
      <c r="AK20" s="38"/>
      <c r="AL20" s="39"/>
      <c r="AM20" s="39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</row>
    <row r="21" spans="1:58">
      <c r="B21" s="13" t="s">
        <v>25</v>
      </c>
      <c r="C21" s="18">
        <v>1</v>
      </c>
      <c r="F21" s="4"/>
      <c r="G21" s="2"/>
      <c r="H21" s="2"/>
      <c r="I21" s="59"/>
      <c r="J21" s="2"/>
      <c r="K21" s="2"/>
      <c r="L21" s="3"/>
      <c r="O21" s="26"/>
      <c r="P21" s="3"/>
      <c r="W21" s="5"/>
      <c r="X21" s="5"/>
      <c r="Y21" s="5"/>
      <c r="Z21" s="35" t="s">
        <v>47</v>
      </c>
      <c r="AA21" s="36"/>
      <c r="AB21" s="36"/>
      <c r="AC21" s="40">
        <f>AB20+AB21-AB23</f>
        <v>8750000</v>
      </c>
      <c r="AD21" s="40">
        <f t="shared" ref="AD21:AM21" si="5">AC20+AC21-AC23</f>
        <v>8750000</v>
      </c>
      <c r="AE21" s="40">
        <f t="shared" si="5"/>
        <v>8750000</v>
      </c>
      <c r="AF21" s="40">
        <f t="shared" si="5"/>
        <v>8750000</v>
      </c>
      <c r="AG21" s="40">
        <f t="shared" si="5"/>
        <v>8750000</v>
      </c>
      <c r="AH21" s="40">
        <f t="shared" si="5"/>
        <v>0</v>
      </c>
      <c r="AI21" s="40">
        <f t="shared" si="5"/>
        <v>0</v>
      </c>
      <c r="AJ21" s="40">
        <f t="shared" si="5"/>
        <v>0</v>
      </c>
      <c r="AK21" s="40">
        <f t="shared" si="5"/>
        <v>0</v>
      </c>
      <c r="AL21" s="41">
        <f t="shared" si="5"/>
        <v>0</v>
      </c>
      <c r="AM21" s="41">
        <f t="shared" si="5"/>
        <v>0</v>
      </c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</row>
    <row r="22" spans="1:58">
      <c r="B22" s="13" t="s">
        <v>26</v>
      </c>
      <c r="C22" s="18">
        <v>0.01</v>
      </c>
      <c r="F22" s="4"/>
      <c r="G22" s="2"/>
      <c r="H22" s="2"/>
      <c r="I22" s="59"/>
      <c r="J22" s="2"/>
      <c r="K22" s="2"/>
      <c r="L22" s="3"/>
      <c r="O22" s="26"/>
      <c r="P22" s="3"/>
      <c r="W22" s="5"/>
      <c r="X22" s="5"/>
      <c r="Y22" s="5"/>
      <c r="Z22" s="35" t="s">
        <v>48</v>
      </c>
      <c r="AA22" s="36"/>
      <c r="AB22" s="36"/>
      <c r="AC22" s="40">
        <f>$P$18*AC21</f>
        <v>240625</v>
      </c>
      <c r="AD22" s="40">
        <f t="shared" ref="AD22:AL22" si="6">$P$18*AD21</f>
        <v>240625</v>
      </c>
      <c r="AE22" s="40">
        <f t="shared" si="6"/>
        <v>240625</v>
      </c>
      <c r="AF22" s="40">
        <f t="shared" si="6"/>
        <v>240625</v>
      </c>
      <c r="AG22" s="40">
        <f t="shared" si="6"/>
        <v>240625</v>
      </c>
      <c r="AH22" s="40">
        <f t="shared" si="6"/>
        <v>0</v>
      </c>
      <c r="AI22" s="40">
        <f t="shared" si="6"/>
        <v>0</v>
      </c>
      <c r="AJ22" s="40">
        <f t="shared" si="6"/>
        <v>0</v>
      </c>
      <c r="AK22" s="40">
        <f t="shared" si="6"/>
        <v>0</v>
      </c>
      <c r="AL22" s="41">
        <f t="shared" si="6"/>
        <v>0</v>
      </c>
      <c r="AM22" s="41">
        <f t="shared" ref="AM22" si="7">$P$18*AM21</f>
        <v>0</v>
      </c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</row>
    <row r="23" spans="1:58">
      <c r="B23" s="12" t="s">
        <v>95</v>
      </c>
      <c r="C23" s="16">
        <v>115</v>
      </c>
      <c r="F23" s="4"/>
      <c r="G23" s="2"/>
      <c r="H23" s="2"/>
      <c r="I23" s="59"/>
      <c r="J23" s="2"/>
      <c r="K23" s="2"/>
      <c r="L23" s="3"/>
      <c r="O23" s="26"/>
      <c r="P23" s="3"/>
      <c r="W23" s="5"/>
      <c r="X23" s="5"/>
      <c r="Y23" s="5"/>
      <c r="Z23" s="35" t="s">
        <v>49</v>
      </c>
      <c r="AA23" s="36"/>
      <c r="AB23" s="36"/>
      <c r="AC23" s="40">
        <f t="shared" ref="AC23:AM23" si="8">IF($P$20&gt;AC2,AC21*$P$19,IF($P$20=AC2,AC21,0))</f>
        <v>0</v>
      </c>
      <c r="AD23" s="40">
        <f t="shared" si="8"/>
        <v>0</v>
      </c>
      <c r="AE23" s="40">
        <f t="shared" si="8"/>
        <v>0</v>
      </c>
      <c r="AF23" s="40">
        <f t="shared" si="8"/>
        <v>0</v>
      </c>
      <c r="AG23" s="40">
        <f t="shared" si="8"/>
        <v>8750000</v>
      </c>
      <c r="AH23" s="40">
        <f t="shared" si="8"/>
        <v>0</v>
      </c>
      <c r="AI23" s="40">
        <f t="shared" si="8"/>
        <v>0</v>
      </c>
      <c r="AJ23" s="40">
        <f t="shared" si="8"/>
        <v>0</v>
      </c>
      <c r="AK23" s="40">
        <f t="shared" si="8"/>
        <v>0</v>
      </c>
      <c r="AL23" s="41">
        <f t="shared" si="8"/>
        <v>0</v>
      </c>
      <c r="AM23" s="41">
        <f t="shared" si="8"/>
        <v>0</v>
      </c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</row>
    <row r="24" spans="1:58" ht="15" thickBot="1">
      <c r="B24" s="12" t="s">
        <v>27</v>
      </c>
      <c r="C24" s="17">
        <v>6</v>
      </c>
      <c r="F24" s="122"/>
      <c r="G24" s="23"/>
      <c r="H24" s="23"/>
      <c r="I24" s="157"/>
      <c r="J24" s="155"/>
      <c r="K24" s="123"/>
      <c r="L24" s="25"/>
      <c r="O24" s="26"/>
      <c r="P24" s="3"/>
      <c r="W24" s="5"/>
      <c r="X24" s="5"/>
      <c r="Y24" s="5"/>
      <c r="Z24" s="42" t="s">
        <v>50</v>
      </c>
      <c r="AA24" s="43"/>
      <c r="AB24" s="43"/>
      <c r="AC24" s="44">
        <f>AC23+AC22</f>
        <v>240625</v>
      </c>
      <c r="AD24" s="44">
        <f>AD23+AD22</f>
        <v>240625</v>
      </c>
      <c r="AE24" s="44">
        <f t="shared" ref="AE24" si="9">AE23+AE22</f>
        <v>240625</v>
      </c>
      <c r="AF24" s="44">
        <f t="shared" ref="AF24" si="10">AF23+AF22</f>
        <v>240625</v>
      </c>
      <c r="AG24" s="44">
        <f t="shared" ref="AG24" si="11">AG23+AG22</f>
        <v>8990625</v>
      </c>
      <c r="AH24" s="44">
        <f t="shared" ref="AH24" si="12">AH23+AH22</f>
        <v>0</v>
      </c>
      <c r="AI24" s="44">
        <f t="shared" ref="AI24" si="13">AI23+AI22</f>
        <v>0</v>
      </c>
      <c r="AJ24" s="44">
        <f t="shared" ref="AJ24" si="14">AJ23+AJ22</f>
        <v>0</v>
      </c>
      <c r="AK24" s="44">
        <f t="shared" ref="AK24" si="15">AK23+AK22</f>
        <v>0</v>
      </c>
      <c r="AL24" s="45">
        <f t="shared" ref="AL24:AM24" si="16">AL23+AL22</f>
        <v>0</v>
      </c>
      <c r="AM24" s="45">
        <f t="shared" si="16"/>
        <v>0</v>
      </c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</row>
    <row r="25" spans="1:58" ht="16" thickTop="1" thickBot="1">
      <c r="A25" s="5"/>
      <c r="B25" s="12" t="s">
        <v>28</v>
      </c>
      <c r="C25" s="17">
        <v>12</v>
      </c>
      <c r="D25" s="5"/>
      <c r="E25" s="5"/>
      <c r="F25" s="27" t="s">
        <v>37</v>
      </c>
      <c r="G25" s="117"/>
      <c r="H25" s="118">
        <f>SUM(H13:H18)</f>
        <v>22650000.015000001</v>
      </c>
      <c r="I25" s="117"/>
      <c r="J25" s="27" t="s">
        <v>34</v>
      </c>
      <c r="K25" s="22"/>
      <c r="L25" s="118">
        <f>SUM(L13:L18)</f>
        <v>22650000.015000001</v>
      </c>
      <c r="M25" s="5"/>
      <c r="N25" s="5"/>
      <c r="O25" s="30"/>
      <c r="P25" s="174"/>
      <c r="Q25" s="5"/>
      <c r="R25" s="5"/>
      <c r="S25" s="5"/>
      <c r="T25" s="5"/>
      <c r="U25" s="5"/>
      <c r="V25" s="5"/>
      <c r="W25" s="5"/>
      <c r="X25" s="5"/>
      <c r="Y25" s="5"/>
      <c r="Z25" s="35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7"/>
      <c r="AM25" s="37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</row>
    <row r="26" spans="1:58" ht="15" thickTop="1">
      <c r="A26" s="5"/>
      <c r="B26" s="12" t="s">
        <v>29</v>
      </c>
      <c r="C26" s="15">
        <v>6.5000000000000002E-2</v>
      </c>
      <c r="D26" s="5"/>
      <c r="E26" s="5"/>
      <c r="I26" s="5"/>
      <c r="J26" s="5"/>
      <c r="K26" s="5"/>
      <c r="L26" s="5"/>
      <c r="M26" s="5"/>
      <c r="N26" s="5"/>
      <c r="O26" s="19"/>
      <c r="P26" s="5"/>
      <c r="Q26" s="5"/>
      <c r="R26" s="5"/>
      <c r="S26" s="5"/>
      <c r="T26" s="5"/>
      <c r="U26" s="5"/>
      <c r="V26" s="5"/>
      <c r="W26" s="5"/>
      <c r="X26" s="5"/>
      <c r="Y26" s="5"/>
      <c r="Z26" s="35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7"/>
      <c r="AM26" s="37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</row>
    <row r="27" spans="1:58">
      <c r="A27" s="5"/>
      <c r="B27" s="12" t="s">
        <v>120</v>
      </c>
      <c r="C27" s="167">
        <v>4</v>
      </c>
      <c r="D27" s="5"/>
      <c r="E27" s="5"/>
      <c r="I27" s="5"/>
      <c r="J27" s="5"/>
      <c r="K27" s="5"/>
      <c r="L27" s="5"/>
      <c r="M27" s="5"/>
      <c r="N27" s="5"/>
      <c r="O27" s="19"/>
      <c r="P27" s="5"/>
      <c r="Q27" s="5"/>
      <c r="R27" s="5"/>
      <c r="S27" s="5"/>
      <c r="T27" s="5"/>
      <c r="U27" s="5"/>
      <c r="V27" s="5"/>
      <c r="W27" s="5"/>
      <c r="X27" s="5"/>
      <c r="Y27" s="5"/>
      <c r="Z27" s="35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7"/>
      <c r="AM27" s="37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</row>
    <row r="28" spans="1:58" ht="17.25" customHeight="1">
      <c r="A28" s="5"/>
      <c r="B28" s="12" t="s">
        <v>121</v>
      </c>
      <c r="C28" s="169">
        <f>IF(C27=F35,F36,IF(C27=G35,G36,IF(C27=H35,H36,IF(C27=I35,I36,IF(C27=J35,J36,IF(K35=C27,K36,IF(C27=L35,L36,IF(C27=M35,M36,IF(N35=C27,N36,IF(C27=O35,O36,IF(C27=P35,P36,0)))))))))))</f>
        <v>4</v>
      </c>
      <c r="D28" s="5"/>
      <c r="E28" s="5"/>
      <c r="I28" s="5"/>
      <c r="J28" s="5"/>
      <c r="K28" s="5"/>
      <c r="L28" s="5"/>
      <c r="M28" s="5"/>
      <c r="N28" s="5"/>
      <c r="O28" s="19"/>
      <c r="P28" s="5"/>
      <c r="Q28" s="5"/>
      <c r="R28" s="5"/>
      <c r="S28" s="5"/>
      <c r="T28" s="5"/>
      <c r="U28" s="5"/>
      <c r="V28" s="5"/>
      <c r="W28" s="5"/>
      <c r="X28" s="5"/>
      <c r="Y28" s="5"/>
      <c r="Z28" s="35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7"/>
      <c r="AM28" s="37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</row>
    <row r="29" spans="1:58">
      <c r="A29" s="5"/>
      <c r="B29" s="154" t="s">
        <v>136</v>
      </c>
      <c r="C29" s="168">
        <f>IF(C27=F35,F41,IF(C27=G35,G41,IF(C27=H35,H41,IF(C27=I35,I41,IF(C27=J35,J41,IF(K35=C27,K41,IF(C27=L35,L41,IF(C27=M35,M41,IF(N35=C27,N41,IF(C27=O35,O41,IF(C27=P35,P41,0)))))))))))</f>
        <v>2962115.375</v>
      </c>
      <c r="D29" s="5"/>
      <c r="E29" s="5"/>
      <c r="Q29" s="5"/>
      <c r="R29" s="5"/>
      <c r="S29" s="5"/>
      <c r="T29" s="5"/>
      <c r="U29" s="5"/>
      <c r="V29" s="5"/>
      <c r="W29" s="5"/>
      <c r="X29" s="5"/>
      <c r="Y29" s="5"/>
      <c r="Z29" s="35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7"/>
      <c r="AM29" s="37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</row>
    <row r="30" spans="1:58">
      <c r="A30" s="5"/>
      <c r="D30" s="5"/>
      <c r="E30" s="5"/>
      <c r="F30" s="138"/>
      <c r="G30" s="138"/>
      <c r="H30" s="138"/>
      <c r="I30" s="138"/>
      <c r="J30" s="138"/>
      <c r="K30" s="138"/>
      <c r="L30" s="138"/>
      <c r="M30" s="138"/>
      <c r="N30" s="138"/>
      <c r="O30" s="138"/>
      <c r="P30" s="138"/>
      <c r="Q30" s="138"/>
      <c r="R30" s="5"/>
      <c r="S30" s="5"/>
      <c r="T30" s="5"/>
      <c r="U30" s="5"/>
      <c r="V30" s="5"/>
      <c r="W30" s="5"/>
      <c r="X30" s="5"/>
      <c r="Y30" s="5"/>
      <c r="Z30" s="49" t="s">
        <v>51</v>
      </c>
      <c r="AA30" s="38"/>
      <c r="AB30" s="38"/>
      <c r="AC30" s="50">
        <f>AC9+AC22</f>
        <v>309375</v>
      </c>
      <c r="AD30" s="50">
        <f t="shared" ref="AD30:AL30" si="17">AD9+AD22</f>
        <v>309375</v>
      </c>
      <c r="AE30" s="50">
        <f t="shared" si="17"/>
        <v>309375</v>
      </c>
      <c r="AF30" s="50">
        <f t="shared" si="17"/>
        <v>309375</v>
      </c>
      <c r="AG30" s="50">
        <f t="shared" si="17"/>
        <v>309375</v>
      </c>
      <c r="AH30" s="50">
        <f t="shared" si="17"/>
        <v>0</v>
      </c>
      <c r="AI30" s="50">
        <f t="shared" si="17"/>
        <v>0</v>
      </c>
      <c r="AJ30" s="50">
        <f t="shared" si="17"/>
        <v>0</v>
      </c>
      <c r="AK30" s="50">
        <f t="shared" si="17"/>
        <v>0</v>
      </c>
      <c r="AL30" s="51">
        <f t="shared" si="17"/>
        <v>0</v>
      </c>
      <c r="AM30" s="51">
        <f t="shared" ref="AM30" si="18">AM9+AM22</f>
        <v>0</v>
      </c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</row>
    <row r="31" spans="1:58">
      <c r="A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35" t="s">
        <v>52</v>
      </c>
      <c r="AA31" s="36"/>
      <c r="AB31" s="36"/>
      <c r="AC31" s="40">
        <f>AC10+AC23</f>
        <v>0</v>
      </c>
      <c r="AD31" s="40">
        <f t="shared" ref="AD31:AL31" si="19">AD10+AD23</f>
        <v>0</v>
      </c>
      <c r="AE31" s="40">
        <f t="shared" si="19"/>
        <v>0</v>
      </c>
      <c r="AF31" s="40">
        <f t="shared" si="19"/>
        <v>0</v>
      </c>
      <c r="AG31" s="40">
        <f t="shared" si="19"/>
        <v>11250000</v>
      </c>
      <c r="AH31" s="40">
        <f t="shared" si="19"/>
        <v>0</v>
      </c>
      <c r="AI31" s="40">
        <f t="shared" si="19"/>
        <v>0</v>
      </c>
      <c r="AJ31" s="40">
        <f t="shared" si="19"/>
        <v>0</v>
      </c>
      <c r="AK31" s="40">
        <f t="shared" si="19"/>
        <v>0</v>
      </c>
      <c r="AL31" s="41">
        <f t="shared" si="19"/>
        <v>0</v>
      </c>
      <c r="AM31" s="41">
        <f t="shared" ref="AM31" si="20">AM10+AM23</f>
        <v>0</v>
      </c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</row>
    <row r="32" spans="1:58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42" t="s">
        <v>50</v>
      </c>
      <c r="AA32" s="43"/>
      <c r="AB32" s="43"/>
      <c r="AC32" s="44">
        <f>AC30+AC31</f>
        <v>309375</v>
      </c>
      <c r="AD32" s="44">
        <f t="shared" ref="AD32:AL32" si="21">AD30+AD31</f>
        <v>309375</v>
      </c>
      <c r="AE32" s="44">
        <f t="shared" si="21"/>
        <v>309375</v>
      </c>
      <c r="AF32" s="44">
        <f t="shared" si="21"/>
        <v>309375</v>
      </c>
      <c r="AG32" s="44">
        <f t="shared" si="21"/>
        <v>11559375</v>
      </c>
      <c r="AH32" s="44">
        <f t="shared" si="21"/>
        <v>0</v>
      </c>
      <c r="AI32" s="44">
        <f t="shared" si="21"/>
        <v>0</v>
      </c>
      <c r="AJ32" s="44">
        <f t="shared" si="21"/>
        <v>0</v>
      </c>
      <c r="AK32" s="44">
        <f t="shared" si="21"/>
        <v>0</v>
      </c>
      <c r="AL32" s="45">
        <f t="shared" si="21"/>
        <v>0</v>
      </c>
      <c r="AM32" s="45">
        <f t="shared" ref="AM32" si="22">AM30+AM31</f>
        <v>0</v>
      </c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</row>
    <row r="33" spans="1:58">
      <c r="A33" s="5"/>
      <c r="B33" s="81" t="s">
        <v>79</v>
      </c>
      <c r="C33" s="47"/>
      <c r="D33" s="47"/>
      <c r="E33" s="84" t="s">
        <v>98</v>
      </c>
      <c r="F33" s="82">
        <f>C10</f>
        <v>43830</v>
      </c>
      <c r="G33" s="82">
        <f>EDATE(F33,12)</f>
        <v>44196</v>
      </c>
      <c r="H33" s="82">
        <f t="shared" ref="H33:P33" si="23">EDATE(G33,12)</f>
        <v>44561</v>
      </c>
      <c r="I33" s="82">
        <f t="shared" si="23"/>
        <v>44926</v>
      </c>
      <c r="J33" s="82">
        <f t="shared" si="23"/>
        <v>45291</v>
      </c>
      <c r="K33" s="82">
        <f t="shared" si="23"/>
        <v>45657</v>
      </c>
      <c r="L33" s="82">
        <f t="shared" si="23"/>
        <v>46022</v>
      </c>
      <c r="M33" s="82">
        <f t="shared" si="23"/>
        <v>46387</v>
      </c>
      <c r="N33" s="82">
        <f t="shared" si="23"/>
        <v>46752</v>
      </c>
      <c r="O33" s="82">
        <f t="shared" si="23"/>
        <v>47118</v>
      </c>
      <c r="P33" s="83">
        <f t="shared" si="23"/>
        <v>47483</v>
      </c>
      <c r="Q33" s="83" t="s">
        <v>80</v>
      </c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</row>
    <row r="34" spans="1:58" outlineLevel="1">
      <c r="A34" s="5"/>
      <c r="B34" s="81"/>
      <c r="C34" s="47"/>
      <c r="D34" s="47"/>
      <c r="E34" s="147">
        <f>F33</f>
        <v>43830</v>
      </c>
      <c r="F34" s="82">
        <f>EDATE(F33,12)-1</f>
        <v>44195</v>
      </c>
      <c r="G34" s="82">
        <f t="shared" ref="G34:P34" si="24">EDATE(G33,12)-1</f>
        <v>44560</v>
      </c>
      <c r="H34" s="82">
        <f t="shared" si="24"/>
        <v>44925</v>
      </c>
      <c r="I34" s="82">
        <f t="shared" si="24"/>
        <v>45290</v>
      </c>
      <c r="J34" s="82">
        <f t="shared" si="24"/>
        <v>45656</v>
      </c>
      <c r="K34" s="82">
        <f t="shared" si="24"/>
        <v>46021</v>
      </c>
      <c r="L34" s="82">
        <f t="shared" si="24"/>
        <v>46386</v>
      </c>
      <c r="M34" s="82">
        <f t="shared" si="24"/>
        <v>46751</v>
      </c>
      <c r="N34" s="82">
        <f t="shared" si="24"/>
        <v>47117</v>
      </c>
      <c r="O34" s="82">
        <f t="shared" si="24"/>
        <v>47482</v>
      </c>
      <c r="P34" s="83">
        <f t="shared" si="24"/>
        <v>47847</v>
      </c>
      <c r="Q34" s="83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</row>
    <row r="35" spans="1:58">
      <c r="A35" s="5"/>
      <c r="B35" s="81" t="s">
        <v>83</v>
      </c>
      <c r="C35" s="47"/>
      <c r="D35" s="47"/>
      <c r="E35" s="88">
        <v>0</v>
      </c>
      <c r="F35" s="142">
        <v>1</v>
      </c>
      <c r="G35" s="85">
        <v>2</v>
      </c>
      <c r="H35" s="85">
        <v>3</v>
      </c>
      <c r="I35" s="85">
        <v>4</v>
      </c>
      <c r="J35" s="85">
        <v>5</v>
      </c>
      <c r="K35" s="85">
        <v>6</v>
      </c>
      <c r="L35" s="85">
        <v>7</v>
      </c>
      <c r="M35" s="85">
        <v>8</v>
      </c>
      <c r="N35" s="85">
        <v>9</v>
      </c>
      <c r="O35" s="85">
        <v>10</v>
      </c>
      <c r="P35" s="85">
        <v>11</v>
      </c>
      <c r="Q35" s="84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</row>
    <row r="36" spans="1:58">
      <c r="A36" s="5"/>
      <c r="B36" s="35" t="s">
        <v>84</v>
      </c>
      <c r="C36" s="36"/>
      <c r="D36" s="36"/>
      <c r="E36" s="61">
        <v>0</v>
      </c>
      <c r="F36" s="144">
        <f>a!H23</f>
        <v>0</v>
      </c>
      <c r="G36" s="145">
        <v>2</v>
      </c>
      <c r="H36" s="145">
        <v>3</v>
      </c>
      <c r="I36" s="145">
        <v>4</v>
      </c>
      <c r="J36" s="145">
        <v>5</v>
      </c>
      <c r="K36" s="145">
        <v>6</v>
      </c>
      <c r="L36" s="145">
        <v>7</v>
      </c>
      <c r="M36" s="145">
        <v>8</v>
      </c>
      <c r="N36" s="145">
        <v>9</v>
      </c>
      <c r="O36" s="145">
        <v>10</v>
      </c>
      <c r="P36" s="145">
        <v>11</v>
      </c>
      <c r="Q36" s="59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</row>
    <row r="37" spans="1:58">
      <c r="A37" s="5"/>
      <c r="B37" s="81" t="s">
        <v>73</v>
      </c>
      <c r="C37" s="47"/>
      <c r="D37" s="47"/>
      <c r="E37" s="81"/>
      <c r="F37" s="146">
        <f>IF(F38&lt;&gt;0,$C$12*(F38/$C$13),IF(F39&lt;&gt;0,F39/(($C$23*(((1+$C$22)^E35)))*$C$11),0))</f>
        <v>0</v>
      </c>
      <c r="G37" s="101">
        <f t="shared" ref="G37:P37" si="25">IF(G38&lt;&gt;0,$C$12*(G38/$C$13),IF(G39&lt;&gt;0,G39/(($C$23*(((1+$C$22)^F35)))*$C$11),0))</f>
        <v>0</v>
      </c>
      <c r="H37" s="101">
        <f t="shared" si="25"/>
        <v>0.99726027397260286</v>
      </c>
      <c r="I37" s="101">
        <f t="shared" si="25"/>
        <v>1</v>
      </c>
      <c r="J37" s="101">
        <f t="shared" si="25"/>
        <v>1</v>
      </c>
      <c r="K37" s="101">
        <f t="shared" si="25"/>
        <v>1</v>
      </c>
      <c r="L37" s="101">
        <f t="shared" si="25"/>
        <v>1</v>
      </c>
      <c r="M37" s="101">
        <f t="shared" si="25"/>
        <v>1</v>
      </c>
      <c r="N37" s="101">
        <f t="shared" si="25"/>
        <v>1</v>
      </c>
      <c r="O37" s="101">
        <f t="shared" si="25"/>
        <v>1</v>
      </c>
      <c r="P37" s="166">
        <f t="shared" si="25"/>
        <v>1</v>
      </c>
      <c r="Q37" s="165"/>
      <c r="R37" s="5"/>
      <c r="S37" s="5"/>
      <c r="T37" s="5"/>
      <c r="U37" s="5"/>
      <c r="V37" s="5"/>
      <c r="W37" s="5"/>
      <c r="X37" s="5"/>
      <c r="Y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</row>
    <row r="38" spans="1:58" hidden="1" outlineLevel="1">
      <c r="A38" s="5"/>
      <c r="B38" s="35"/>
      <c r="C38" s="75" t="s">
        <v>72</v>
      </c>
      <c r="D38" s="36"/>
      <c r="E38" s="61"/>
      <c r="F38" s="143">
        <f t="shared" ref="F38:P38" si="26">IF($C$1&gt;F$34,$C$11*$C$12*($C$14*(((1+$C$22)^E35))),IF(AND(F$33&lt;=$C$1,$C$1&lt;=F$34),($C$11*$C$12*($C$14*(((1+$C$22)^E35))))*($C$1-F33)/365,0))</f>
        <v>0</v>
      </c>
      <c r="G38" s="76">
        <f t="shared" si="26"/>
        <v>0</v>
      </c>
      <c r="H38" s="76">
        <f t="shared" si="26"/>
        <v>0</v>
      </c>
      <c r="I38" s="76">
        <f t="shared" si="26"/>
        <v>0</v>
      </c>
      <c r="J38" s="76">
        <f t="shared" si="26"/>
        <v>0</v>
      </c>
      <c r="K38" s="76">
        <f t="shared" si="26"/>
        <v>0</v>
      </c>
      <c r="L38" s="76">
        <f t="shared" si="26"/>
        <v>0</v>
      </c>
      <c r="M38" s="76">
        <f t="shared" si="26"/>
        <v>0</v>
      </c>
      <c r="N38" s="76">
        <f t="shared" si="26"/>
        <v>0</v>
      </c>
      <c r="O38" s="76">
        <f t="shared" si="26"/>
        <v>0</v>
      </c>
      <c r="P38" s="76">
        <f t="shared" si="26"/>
        <v>0</v>
      </c>
      <c r="Q38" s="59"/>
      <c r="R38" s="5"/>
      <c r="S38" s="5"/>
      <c r="T38" s="5"/>
      <c r="U38" s="5"/>
      <c r="V38" s="5"/>
      <c r="W38" s="5"/>
      <c r="X38" s="5"/>
      <c r="Y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</row>
    <row r="39" spans="1:58" s="57" customFormat="1" hidden="1" outlineLevel="1">
      <c r="A39" s="56"/>
      <c r="B39" s="74"/>
      <c r="C39" s="75" t="s">
        <v>71</v>
      </c>
      <c r="D39" s="75"/>
      <c r="E39" s="148"/>
      <c r="F39" s="143">
        <f t="shared" ref="F39:P39" si="27">IF($C$2&lt;F$33,($C$23*(((1+$C$22)^E35)))*$C$11*$C$21,IF(AND(F$33&lt;=$C$2,$C$2&lt;=F$34),(($C$23*(((1+$C$22)^E35)))*$C$11*$C$21)*((F$34-$C$2)/365),0))</f>
        <v>0</v>
      </c>
      <c r="G39" s="76">
        <f t="shared" si="27"/>
        <v>0</v>
      </c>
      <c r="H39" s="76">
        <f t="shared" si="27"/>
        <v>2924752.4657534249</v>
      </c>
      <c r="I39" s="76">
        <f t="shared" si="27"/>
        <v>2962115.375</v>
      </c>
      <c r="J39" s="76">
        <f t="shared" si="27"/>
        <v>2991736.5287500001</v>
      </c>
      <c r="K39" s="76">
        <f t="shared" si="27"/>
        <v>3021653.8940375</v>
      </c>
      <c r="L39" s="76">
        <f t="shared" si="27"/>
        <v>3051870.4329778752</v>
      </c>
      <c r="M39" s="76">
        <f t="shared" si="27"/>
        <v>3082389.1373076532</v>
      </c>
      <c r="N39" s="76">
        <f t="shared" si="27"/>
        <v>3113213.0286807306</v>
      </c>
      <c r="O39" s="76">
        <f t="shared" si="27"/>
        <v>3144345.1589675383</v>
      </c>
      <c r="P39" s="76">
        <f t="shared" si="27"/>
        <v>3175788.6105572139</v>
      </c>
      <c r="Q39" s="60"/>
      <c r="R39" s="56"/>
      <c r="S39" s="56"/>
      <c r="T39" s="56"/>
      <c r="U39" s="56"/>
      <c r="V39" s="56"/>
      <c r="W39" s="56"/>
      <c r="X39" s="56"/>
      <c r="Y39" s="56"/>
      <c r="AB39" s="56"/>
      <c r="AC39" s="56"/>
      <c r="AD39" s="56"/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6"/>
      <c r="BC39" s="56"/>
      <c r="BD39" s="56"/>
      <c r="BE39" s="56"/>
      <c r="BF39" s="56"/>
    </row>
    <row r="40" spans="1:58" s="57" customFormat="1" collapsed="1">
      <c r="A40" s="56"/>
      <c r="B40" s="140"/>
      <c r="C40" s="75"/>
      <c r="D40" s="75"/>
      <c r="E40" s="148"/>
      <c r="F40" s="149"/>
      <c r="G40" s="150"/>
      <c r="H40" s="150"/>
      <c r="I40" s="150"/>
      <c r="J40" s="150"/>
      <c r="K40" s="150"/>
      <c r="L40" s="150"/>
      <c r="M40" s="150"/>
      <c r="N40" s="150"/>
      <c r="O40" s="150"/>
      <c r="P40" s="150"/>
      <c r="Q40" s="152"/>
      <c r="R40" s="56"/>
      <c r="S40" s="56"/>
      <c r="T40" s="56"/>
      <c r="U40" s="56"/>
      <c r="V40" s="56"/>
      <c r="W40" s="56"/>
      <c r="X40" s="56"/>
      <c r="Y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  <c r="AY40" s="56"/>
      <c r="AZ40" s="56"/>
      <c r="BA40" s="56"/>
      <c r="BB40" s="56"/>
      <c r="BC40" s="56"/>
      <c r="BD40" s="56"/>
      <c r="BE40" s="56"/>
      <c r="BF40" s="56"/>
    </row>
    <row r="41" spans="1:58">
      <c r="A41" s="5"/>
      <c r="B41" s="86" t="s">
        <v>54</v>
      </c>
      <c r="C41" s="47"/>
      <c r="D41" s="47"/>
      <c r="E41" s="88"/>
      <c r="F41" s="87">
        <f>SUM(F38:F39)</f>
        <v>0</v>
      </c>
      <c r="G41" s="87">
        <f t="shared" ref="G41:P41" si="28">SUM(G38:G39)</f>
        <v>0</v>
      </c>
      <c r="H41" s="87">
        <f t="shared" si="28"/>
        <v>2924752.4657534249</v>
      </c>
      <c r="I41" s="87">
        <f t="shared" si="28"/>
        <v>2962115.375</v>
      </c>
      <c r="J41" s="87">
        <f t="shared" si="28"/>
        <v>2991736.5287500001</v>
      </c>
      <c r="K41" s="87">
        <f t="shared" si="28"/>
        <v>3021653.8940375</v>
      </c>
      <c r="L41" s="87">
        <f t="shared" si="28"/>
        <v>3051870.4329778752</v>
      </c>
      <c r="M41" s="87">
        <f t="shared" si="28"/>
        <v>3082389.1373076532</v>
      </c>
      <c r="N41" s="87">
        <f t="shared" si="28"/>
        <v>3113213.0286807306</v>
      </c>
      <c r="O41" s="87">
        <f t="shared" si="28"/>
        <v>3144345.1589675383</v>
      </c>
      <c r="P41" s="87">
        <f t="shared" si="28"/>
        <v>3175788.6105572139</v>
      </c>
      <c r="Q41" s="153">
        <f>SUM(G41:P41)</f>
        <v>27467864.632031936</v>
      </c>
      <c r="R41" s="5"/>
      <c r="S41" s="5"/>
      <c r="T41" s="5"/>
      <c r="U41" s="5"/>
      <c r="V41" s="5"/>
      <c r="W41" s="5"/>
      <c r="X41" s="5"/>
      <c r="Y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</row>
    <row r="42" spans="1:58" hidden="1" outlineLevel="1">
      <c r="A42" s="5"/>
      <c r="B42" s="35" t="s">
        <v>102</v>
      </c>
      <c r="C42" s="36"/>
      <c r="D42" s="36"/>
      <c r="E42" s="61"/>
      <c r="F42" s="77">
        <f>IF(AND(F33&lt;=$C$2,$C$2&lt;=F34),-F41*$C$25/12,0)</f>
        <v>0</v>
      </c>
      <c r="G42" s="77">
        <f t="shared" ref="G42:P42" si="29">IF(AND(G33&lt;=$C$2,$C$2&lt;=G34),-H41*$C$25/12,0)</f>
        <v>0</v>
      </c>
      <c r="H42" s="77">
        <f t="shared" si="29"/>
        <v>-2962115.375</v>
      </c>
      <c r="I42" s="77">
        <f t="shared" si="29"/>
        <v>0</v>
      </c>
      <c r="J42" s="77">
        <f t="shared" si="29"/>
        <v>0</v>
      </c>
      <c r="K42" s="77">
        <f t="shared" si="29"/>
        <v>0</v>
      </c>
      <c r="L42" s="77">
        <f t="shared" si="29"/>
        <v>0</v>
      </c>
      <c r="M42" s="77">
        <f t="shared" si="29"/>
        <v>0</v>
      </c>
      <c r="N42" s="77">
        <f t="shared" si="29"/>
        <v>0</v>
      </c>
      <c r="O42" s="77">
        <f t="shared" si="29"/>
        <v>0</v>
      </c>
      <c r="P42" s="77">
        <f t="shared" si="29"/>
        <v>0</v>
      </c>
      <c r="Q42" s="121"/>
      <c r="R42" s="5"/>
      <c r="S42" s="5"/>
      <c r="T42" s="5"/>
      <c r="U42" s="5"/>
      <c r="V42" s="5"/>
      <c r="W42" s="5"/>
      <c r="X42" s="5"/>
      <c r="Y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</row>
    <row r="43" spans="1:58" hidden="1" outlineLevel="1">
      <c r="A43" s="5"/>
      <c r="B43" s="35"/>
      <c r="C43" s="36" t="s">
        <v>103</v>
      </c>
      <c r="D43" s="36"/>
      <c r="E43" s="61"/>
      <c r="F43" s="77">
        <f t="shared" ref="F43:P43" si="30">IF(-F42&lt;=F41,F42,IF(-F42&gt;F41,-F41,0))</f>
        <v>0</v>
      </c>
      <c r="G43" s="77">
        <f t="shared" si="30"/>
        <v>0</v>
      </c>
      <c r="H43" s="77">
        <f t="shared" si="30"/>
        <v>-2924752.4657534249</v>
      </c>
      <c r="I43" s="77">
        <f t="shared" si="30"/>
        <v>0</v>
      </c>
      <c r="J43" s="77">
        <f t="shared" si="30"/>
        <v>0</v>
      </c>
      <c r="K43" s="77">
        <f t="shared" si="30"/>
        <v>0</v>
      </c>
      <c r="L43" s="77">
        <f t="shared" si="30"/>
        <v>0</v>
      </c>
      <c r="M43" s="77">
        <f t="shared" si="30"/>
        <v>0</v>
      </c>
      <c r="N43" s="77">
        <f t="shared" si="30"/>
        <v>0</v>
      </c>
      <c r="O43" s="77">
        <f t="shared" si="30"/>
        <v>0</v>
      </c>
      <c r="P43" s="77">
        <f t="shared" si="30"/>
        <v>0</v>
      </c>
      <c r="Q43" s="121"/>
      <c r="R43" s="5"/>
      <c r="S43" s="5"/>
      <c r="T43" s="5"/>
      <c r="U43" s="5"/>
      <c r="V43" s="5"/>
      <c r="W43" s="5"/>
      <c r="X43" s="5"/>
      <c r="Y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</row>
    <row r="44" spans="1:58" hidden="1" outlineLevel="1">
      <c r="A44" s="5"/>
      <c r="B44" s="35"/>
      <c r="C44" s="36" t="s">
        <v>104</v>
      </c>
      <c r="D44" s="36"/>
      <c r="E44" s="61"/>
      <c r="F44" s="77">
        <f t="shared" ref="F44:P44" si="31">IF((-E42+E43)&lt;F41,E42-E43,IF((-E42+E43)&gt;=F41,-F41))</f>
        <v>0</v>
      </c>
      <c r="G44" s="77">
        <f t="shared" si="31"/>
        <v>0</v>
      </c>
      <c r="H44" s="77">
        <f t="shared" si="31"/>
        <v>0</v>
      </c>
      <c r="I44" s="77">
        <f t="shared" si="31"/>
        <v>-37362.909246575087</v>
      </c>
      <c r="J44" s="77">
        <f t="shared" si="31"/>
        <v>0</v>
      </c>
      <c r="K44" s="77">
        <f t="shared" si="31"/>
        <v>0</v>
      </c>
      <c r="L44" s="77">
        <f t="shared" si="31"/>
        <v>0</v>
      </c>
      <c r="M44" s="77">
        <f t="shared" si="31"/>
        <v>0</v>
      </c>
      <c r="N44" s="77">
        <f t="shared" si="31"/>
        <v>0</v>
      </c>
      <c r="O44" s="77">
        <f t="shared" si="31"/>
        <v>0</v>
      </c>
      <c r="P44" s="77">
        <f t="shared" si="31"/>
        <v>0</v>
      </c>
      <c r="Q44" s="121"/>
      <c r="R44" s="5"/>
      <c r="S44" s="5"/>
      <c r="T44" s="5"/>
      <c r="U44" s="5"/>
      <c r="V44" s="5"/>
      <c r="W44" s="5"/>
      <c r="X44" s="5"/>
      <c r="Y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</row>
    <row r="45" spans="1:58" hidden="1" outlineLevel="1">
      <c r="A45" s="5"/>
      <c r="B45" s="35"/>
      <c r="C45" s="36" t="s">
        <v>105</v>
      </c>
      <c r="D45" s="36"/>
      <c r="E45" s="61"/>
      <c r="F45" s="77">
        <f t="shared" ref="F45:I45" si="32">-(-D42+D43+E44)</f>
        <v>0</v>
      </c>
      <c r="G45" s="77">
        <f t="shared" si="32"/>
        <v>0</v>
      </c>
      <c r="H45" s="77">
        <f t="shared" si="32"/>
        <v>0</v>
      </c>
      <c r="I45" s="77">
        <f t="shared" si="32"/>
        <v>0</v>
      </c>
      <c r="J45" s="77">
        <f>-(-H42+H43+I44)</f>
        <v>0</v>
      </c>
      <c r="K45" s="77">
        <f t="shared" ref="K45:P45" si="33">-(-I42+I43+J44)</f>
        <v>0</v>
      </c>
      <c r="L45" s="77">
        <f t="shared" si="33"/>
        <v>0</v>
      </c>
      <c r="M45" s="77">
        <f t="shared" si="33"/>
        <v>0</v>
      </c>
      <c r="N45" s="77">
        <f t="shared" si="33"/>
        <v>0</v>
      </c>
      <c r="O45" s="77">
        <f t="shared" si="33"/>
        <v>0</v>
      </c>
      <c r="P45" s="77">
        <f t="shared" si="33"/>
        <v>0</v>
      </c>
      <c r="Q45" s="121"/>
      <c r="R45" s="5"/>
      <c r="S45" s="5"/>
      <c r="T45" s="5"/>
      <c r="U45" s="5"/>
      <c r="V45" s="5"/>
      <c r="W45" s="5"/>
      <c r="X45" s="5"/>
      <c r="Y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</row>
    <row r="46" spans="1:58" collapsed="1">
      <c r="A46" s="5"/>
      <c r="B46" s="35" t="s">
        <v>101</v>
      </c>
      <c r="C46" s="36"/>
      <c r="D46" s="36"/>
      <c r="E46" s="61"/>
      <c r="F46" s="77">
        <f>SUM(F43+F44+F45)</f>
        <v>0</v>
      </c>
      <c r="G46" s="77">
        <f t="shared" ref="G46:P46" si="34">SUM(G43+G44+G45)</f>
        <v>0</v>
      </c>
      <c r="H46" s="77">
        <f t="shared" si="34"/>
        <v>-2924752.4657534249</v>
      </c>
      <c r="I46" s="77">
        <f t="shared" si="34"/>
        <v>-37362.909246575087</v>
      </c>
      <c r="J46" s="77">
        <f t="shared" si="34"/>
        <v>0</v>
      </c>
      <c r="K46" s="77">
        <f t="shared" si="34"/>
        <v>0</v>
      </c>
      <c r="L46" s="77">
        <f t="shared" si="34"/>
        <v>0</v>
      </c>
      <c r="M46" s="77">
        <f t="shared" si="34"/>
        <v>0</v>
      </c>
      <c r="N46" s="77">
        <f t="shared" si="34"/>
        <v>0</v>
      </c>
      <c r="O46" s="77">
        <f t="shared" si="34"/>
        <v>0</v>
      </c>
      <c r="P46" s="77">
        <f t="shared" si="34"/>
        <v>0</v>
      </c>
      <c r="Q46" s="121"/>
      <c r="R46" s="5"/>
      <c r="S46" s="5"/>
      <c r="T46" s="5"/>
      <c r="U46" s="5"/>
      <c r="V46" s="5"/>
      <c r="W46" s="5"/>
      <c r="X46" s="5"/>
      <c r="Y46" s="5"/>
      <c r="Z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</row>
    <row r="47" spans="1:58">
      <c r="A47" s="5"/>
      <c r="B47" s="35" t="s">
        <v>55</v>
      </c>
      <c r="C47" s="36"/>
      <c r="D47" s="36"/>
      <c r="E47" s="61"/>
      <c r="F47" s="77">
        <f>-(1-F37)*($C$16*(((1+$C$22)^E35)))*$C$11</f>
        <v>-250000</v>
      </c>
      <c r="G47" s="77">
        <f t="shared" ref="G47:P47" si="35">-(1-G37)*($C$16*(((1+$C$22)^F35)))*$C$11</f>
        <v>-252500</v>
      </c>
      <c r="H47" s="77">
        <f t="shared" si="35"/>
        <v>-698.6986301369551</v>
      </c>
      <c r="I47" s="77">
        <f t="shared" si="35"/>
        <v>0</v>
      </c>
      <c r="J47" s="77">
        <f t="shared" si="35"/>
        <v>0</v>
      </c>
      <c r="K47" s="77">
        <f t="shared" si="35"/>
        <v>0</v>
      </c>
      <c r="L47" s="77">
        <f t="shared" si="35"/>
        <v>0</v>
      </c>
      <c r="M47" s="77">
        <f t="shared" si="35"/>
        <v>0</v>
      </c>
      <c r="N47" s="77">
        <f t="shared" si="35"/>
        <v>0</v>
      </c>
      <c r="O47" s="77">
        <f t="shared" si="35"/>
        <v>0</v>
      </c>
      <c r="P47" s="77">
        <f t="shared" si="35"/>
        <v>0</v>
      </c>
      <c r="Q47" s="121">
        <f>SUM(G47:P47)</f>
        <v>-253198.69863013696</v>
      </c>
      <c r="R47" s="5"/>
      <c r="S47" s="5"/>
      <c r="T47" s="5"/>
      <c r="U47" s="5"/>
      <c r="V47" s="5"/>
      <c r="W47" s="5"/>
      <c r="X47" s="5"/>
      <c r="Y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</row>
    <row r="48" spans="1:58">
      <c r="A48" s="5"/>
      <c r="B48" s="35"/>
      <c r="C48" s="36"/>
      <c r="D48" s="36"/>
      <c r="E48" s="61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121"/>
      <c r="R48" s="5"/>
      <c r="S48" s="5"/>
      <c r="T48" s="5"/>
      <c r="U48" s="5"/>
      <c r="V48" s="5"/>
      <c r="W48" s="5"/>
      <c r="X48" s="5"/>
      <c r="Y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</row>
    <row r="49" spans="1:58">
      <c r="A49" s="5"/>
      <c r="B49" s="81" t="s">
        <v>56</v>
      </c>
      <c r="C49" s="47"/>
      <c r="D49" s="47"/>
      <c r="E49" s="88"/>
      <c r="F49" s="89">
        <f>F41+F46+F47</f>
        <v>-250000</v>
      </c>
      <c r="G49" s="89">
        <f t="shared" ref="G49:P49" si="36">G41+G46+G47</f>
        <v>-252500</v>
      </c>
      <c r="H49" s="89">
        <f t="shared" si="36"/>
        <v>-698.6986301369551</v>
      </c>
      <c r="I49" s="89">
        <f t="shared" si="36"/>
        <v>2924752.4657534249</v>
      </c>
      <c r="J49" s="89">
        <f t="shared" si="36"/>
        <v>2991736.5287500001</v>
      </c>
      <c r="K49" s="89">
        <f t="shared" si="36"/>
        <v>3021653.8940375</v>
      </c>
      <c r="L49" s="89">
        <f t="shared" si="36"/>
        <v>3051870.4329778752</v>
      </c>
      <c r="M49" s="89">
        <f t="shared" si="36"/>
        <v>3082389.1373076532</v>
      </c>
      <c r="N49" s="89">
        <f t="shared" si="36"/>
        <v>3113213.0286807306</v>
      </c>
      <c r="O49" s="89">
        <f t="shared" si="36"/>
        <v>3144345.1589675383</v>
      </c>
      <c r="P49" s="89">
        <f t="shared" si="36"/>
        <v>3175788.6105572139</v>
      </c>
      <c r="Q49" s="91">
        <f>SUM(G49:P49)</f>
        <v>24252550.558401801</v>
      </c>
      <c r="R49" s="5"/>
      <c r="S49" s="5"/>
      <c r="T49" s="5"/>
      <c r="U49" s="5"/>
      <c r="V49" s="5"/>
      <c r="W49" s="5"/>
      <c r="X49" s="5"/>
      <c r="Y49" s="5"/>
      <c r="Z49" s="62" t="s">
        <v>75</v>
      </c>
      <c r="AA49" s="51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</row>
    <row r="50" spans="1:58">
      <c r="A50" s="5"/>
      <c r="B50" s="35"/>
      <c r="C50" s="36"/>
      <c r="D50" s="36"/>
      <c r="E50" s="61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121"/>
      <c r="R50" s="5"/>
      <c r="S50" s="5"/>
      <c r="T50" s="5"/>
      <c r="U50" s="5"/>
      <c r="V50" s="5"/>
      <c r="W50" s="5"/>
      <c r="X50" s="5"/>
      <c r="Y50" s="5"/>
      <c r="Z50" s="62" t="s">
        <v>76</v>
      </c>
      <c r="AA50" s="65">
        <v>50</v>
      </c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</row>
    <row r="51" spans="1:58">
      <c r="A51" s="5"/>
      <c r="B51" s="35" t="s">
        <v>57</v>
      </c>
      <c r="C51" s="36"/>
      <c r="D51" s="8">
        <v>0.3</v>
      </c>
      <c r="E51" s="61"/>
      <c r="F51" s="78">
        <f t="shared" ref="F51:G51" si="37">-IF(AND(F33&lt;=$C$2,$C$2&lt;=F34),$C$23*$C$21*$C$11*$D$51,0)</f>
        <v>0</v>
      </c>
      <c r="G51" s="78">
        <f t="shared" si="37"/>
        <v>0</v>
      </c>
      <c r="H51" s="78">
        <f>-IF(AND(H33&lt;=$C$2,$C$2&lt;=H34),$C$23*$C$21*$C$11*$D$51,0)</f>
        <v>-862500</v>
      </c>
      <c r="I51" s="78">
        <f t="shared" ref="I51:O51" si="38">-IF(AND(I33&lt;=$C$2,$C$2&lt;=I34),$C$23*$C$21*$C$11*$D$51,0)</f>
        <v>0</v>
      </c>
      <c r="J51" s="78">
        <f t="shared" si="38"/>
        <v>0</v>
      </c>
      <c r="K51" s="78">
        <f t="shared" si="38"/>
        <v>0</v>
      </c>
      <c r="L51" s="78">
        <f t="shared" si="38"/>
        <v>0</v>
      </c>
      <c r="M51" s="78">
        <f t="shared" si="38"/>
        <v>0</v>
      </c>
      <c r="N51" s="78">
        <f t="shared" si="38"/>
        <v>0</v>
      </c>
      <c r="O51" s="78">
        <f t="shared" si="38"/>
        <v>0</v>
      </c>
      <c r="P51" s="78">
        <f t="shared" ref="P51" si="39">-IF(AND(P33&lt;$C$2,$C$2&lt;P34),$C$23*$C$21*$C$11*$D$51,0)</f>
        <v>0</v>
      </c>
      <c r="Q51" s="121">
        <f>SUM(G51:P51)</f>
        <v>-862500</v>
      </c>
      <c r="R51" s="5"/>
      <c r="S51" s="5"/>
      <c r="T51" s="5"/>
      <c r="U51" s="5"/>
      <c r="V51" s="5"/>
      <c r="W51" s="5"/>
      <c r="X51" s="5"/>
      <c r="Y51" s="5"/>
      <c r="Z51" s="63" t="s">
        <v>77</v>
      </c>
      <c r="AA51" s="66">
        <f>1-AA52</f>
        <v>0.19999999999999996</v>
      </c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</row>
    <row r="52" spans="1:58">
      <c r="A52" s="5"/>
      <c r="B52" s="35"/>
      <c r="C52" s="36"/>
      <c r="D52" s="120"/>
      <c r="E52" s="61"/>
      <c r="F52" s="78"/>
      <c r="G52" s="78"/>
      <c r="H52" s="78"/>
      <c r="I52" s="78"/>
      <c r="J52" s="78"/>
      <c r="K52" s="78"/>
      <c r="L52" s="78"/>
      <c r="M52" s="78"/>
      <c r="N52" s="78"/>
      <c r="O52" s="78"/>
      <c r="P52" s="78"/>
      <c r="Q52" s="121"/>
      <c r="R52" s="5"/>
      <c r="S52" s="5"/>
      <c r="T52" s="5"/>
      <c r="U52" s="5"/>
      <c r="V52" s="5"/>
      <c r="W52" s="5"/>
      <c r="X52" s="5"/>
      <c r="Y52" s="5"/>
      <c r="Z52" s="64" t="s">
        <v>78</v>
      </c>
      <c r="AA52" s="67">
        <v>0.8</v>
      </c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</row>
    <row r="53" spans="1:58">
      <c r="A53" s="5"/>
      <c r="B53" s="35" t="s">
        <v>58</v>
      </c>
      <c r="C53" s="36"/>
      <c r="D53" s="119">
        <v>1.4999999999999999E-2</v>
      </c>
      <c r="E53" s="61"/>
      <c r="F53" s="77">
        <f t="shared" ref="F53:P53" si="40">-$D$53*F41</f>
        <v>0</v>
      </c>
      <c r="G53" s="77">
        <f t="shared" si="40"/>
        <v>0</v>
      </c>
      <c r="H53" s="77">
        <f>-$D$53*H41</f>
        <v>-43871.286986301369</v>
      </c>
      <c r="I53" s="77">
        <f t="shared" si="40"/>
        <v>-44431.730624999997</v>
      </c>
      <c r="J53" s="77">
        <f t="shared" si="40"/>
        <v>-44876.047931249996</v>
      </c>
      <c r="K53" s="77">
        <f t="shared" si="40"/>
        <v>-45324.808410562502</v>
      </c>
      <c r="L53" s="77">
        <f t="shared" si="40"/>
        <v>-45778.056494668126</v>
      </c>
      <c r="M53" s="77">
        <f t="shared" si="40"/>
        <v>-46235.837059614794</v>
      </c>
      <c r="N53" s="77">
        <f t="shared" si="40"/>
        <v>-46698.195430210959</v>
      </c>
      <c r="O53" s="77">
        <f t="shared" si="40"/>
        <v>-47165.177384513074</v>
      </c>
      <c r="P53" s="77">
        <f t="shared" si="40"/>
        <v>-47636.829158358203</v>
      </c>
      <c r="Q53" s="121">
        <f>SUM(G53:P53)</f>
        <v>-412017.96948047902</v>
      </c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</row>
    <row r="54" spans="1:58">
      <c r="A54" s="5"/>
      <c r="B54" s="4"/>
      <c r="C54" s="36"/>
      <c r="D54" s="36"/>
      <c r="E54" s="61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121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</row>
    <row r="55" spans="1:58">
      <c r="A55" s="5"/>
      <c r="B55" s="81" t="s">
        <v>59</v>
      </c>
      <c r="C55" s="47"/>
      <c r="D55" s="47"/>
      <c r="E55" s="88"/>
      <c r="F55" s="89">
        <f t="shared" ref="F55:P55" si="41">SUM(F49:F53)</f>
        <v>-250000</v>
      </c>
      <c r="G55" s="89">
        <f t="shared" si="41"/>
        <v>-252500</v>
      </c>
      <c r="H55" s="89">
        <f t="shared" si="41"/>
        <v>-907069.98561643832</v>
      </c>
      <c r="I55" s="89">
        <f t="shared" si="41"/>
        <v>2880320.7351284251</v>
      </c>
      <c r="J55" s="89">
        <f t="shared" si="41"/>
        <v>2946860.4808187499</v>
      </c>
      <c r="K55" s="89">
        <f t="shared" si="41"/>
        <v>2976329.0856269374</v>
      </c>
      <c r="L55" s="89">
        <f t="shared" si="41"/>
        <v>3006092.3764832071</v>
      </c>
      <c r="M55" s="89">
        <f t="shared" si="41"/>
        <v>3036153.3002480385</v>
      </c>
      <c r="N55" s="89">
        <f t="shared" si="41"/>
        <v>3066514.8332505198</v>
      </c>
      <c r="O55" s="89">
        <f t="shared" si="41"/>
        <v>3097179.9815830253</v>
      </c>
      <c r="P55" s="89">
        <f t="shared" si="41"/>
        <v>3128151.7813988556</v>
      </c>
      <c r="Q55" s="121">
        <f>SUM(G55:P55)</f>
        <v>22978032.58892132</v>
      </c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</row>
    <row r="56" spans="1:58">
      <c r="A56" s="5"/>
      <c r="B56" s="4"/>
      <c r="C56" s="36"/>
      <c r="D56" s="36"/>
      <c r="E56" s="61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121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</row>
    <row r="57" spans="1:58">
      <c r="A57" s="5"/>
      <c r="B57" s="35" t="s">
        <v>60</v>
      </c>
      <c r="C57" s="36"/>
      <c r="D57" s="36"/>
      <c r="E57" s="61"/>
      <c r="F57" s="77">
        <f t="shared" ref="F57:P57" si="42">IF(AND(F33&lt;=$C$1,$C$1&lt;=F34),-$L$14,0)</f>
        <v>-17500000</v>
      </c>
      <c r="G57" s="77">
        <f t="shared" si="42"/>
        <v>0</v>
      </c>
      <c r="H57" s="77">
        <f t="shared" si="42"/>
        <v>0</v>
      </c>
      <c r="I57" s="77">
        <f t="shared" si="42"/>
        <v>0</v>
      </c>
      <c r="J57" s="77">
        <f t="shared" si="42"/>
        <v>0</v>
      </c>
      <c r="K57" s="77">
        <f t="shared" si="42"/>
        <v>0</v>
      </c>
      <c r="L57" s="77">
        <f t="shared" si="42"/>
        <v>0</v>
      </c>
      <c r="M57" s="77">
        <f t="shared" si="42"/>
        <v>0</v>
      </c>
      <c r="N57" s="77">
        <f t="shared" si="42"/>
        <v>0</v>
      </c>
      <c r="O57" s="77">
        <f t="shared" si="42"/>
        <v>0</v>
      </c>
      <c r="P57" s="77">
        <f t="shared" si="42"/>
        <v>0</v>
      </c>
      <c r="Q57" s="121">
        <f>SUM(G57:P57)</f>
        <v>0</v>
      </c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</row>
    <row r="58" spans="1:58">
      <c r="A58" s="5"/>
      <c r="B58" s="35" t="s">
        <v>67</v>
      </c>
      <c r="C58" s="36"/>
      <c r="D58" s="36"/>
      <c r="E58" s="61"/>
      <c r="F58" s="77">
        <f>IF(F57&lt;&gt;0,$H$16,0)</f>
        <v>8750000</v>
      </c>
      <c r="G58" s="77">
        <f t="shared" ref="G58:P58" si="43">IF(G57&lt;&gt;0,$H$16,0)</f>
        <v>0</v>
      </c>
      <c r="H58" s="77">
        <f t="shared" si="43"/>
        <v>0</v>
      </c>
      <c r="I58" s="77">
        <f t="shared" si="43"/>
        <v>0</v>
      </c>
      <c r="J58" s="77">
        <f t="shared" si="43"/>
        <v>0</v>
      </c>
      <c r="K58" s="77">
        <f t="shared" si="43"/>
        <v>0</v>
      </c>
      <c r="L58" s="77">
        <f t="shared" si="43"/>
        <v>0</v>
      </c>
      <c r="M58" s="77">
        <f t="shared" si="43"/>
        <v>0</v>
      </c>
      <c r="N58" s="77">
        <f t="shared" si="43"/>
        <v>0</v>
      </c>
      <c r="O58" s="77">
        <f t="shared" si="43"/>
        <v>0</v>
      </c>
      <c r="P58" s="77">
        <f t="shared" si="43"/>
        <v>0</v>
      </c>
      <c r="Q58" s="121">
        <f>SUM(G58:P58)</f>
        <v>0</v>
      </c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</row>
    <row r="59" spans="1:58">
      <c r="A59" s="5"/>
      <c r="B59" s="35"/>
      <c r="C59" s="36"/>
      <c r="D59" s="36"/>
      <c r="E59" s="61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121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</row>
    <row r="60" spans="1:58" ht="15" thickBot="1">
      <c r="A60" s="5"/>
      <c r="B60" s="79" t="s">
        <v>61</v>
      </c>
      <c r="C60" s="68"/>
      <c r="D60" s="68"/>
      <c r="E60" s="70"/>
      <c r="F60" s="69">
        <f>SUM(F55:F58)</f>
        <v>-9000000</v>
      </c>
      <c r="G60" s="69">
        <f>SUM(G55:G58)</f>
        <v>-252500</v>
      </c>
      <c r="H60" s="69">
        <f t="shared" ref="H60:P60" si="44">SUM(H55:H58)</f>
        <v>-907069.98561643832</v>
      </c>
      <c r="I60" s="69">
        <f t="shared" si="44"/>
        <v>2880320.7351284251</v>
      </c>
      <c r="J60" s="69">
        <f t="shared" si="44"/>
        <v>2946860.4808187499</v>
      </c>
      <c r="K60" s="69">
        <f t="shared" si="44"/>
        <v>2976329.0856269374</v>
      </c>
      <c r="L60" s="69">
        <f t="shared" si="44"/>
        <v>3006092.3764832071</v>
      </c>
      <c r="M60" s="69">
        <f t="shared" si="44"/>
        <v>3036153.3002480385</v>
      </c>
      <c r="N60" s="69">
        <f t="shared" si="44"/>
        <v>3066514.8332505198</v>
      </c>
      <c r="O60" s="69">
        <f t="shared" si="44"/>
        <v>3097179.9815830253</v>
      </c>
      <c r="P60" s="69">
        <f t="shared" si="44"/>
        <v>3128151.7813988556</v>
      </c>
      <c r="Q60" s="121">
        <f>SUM(G60:P60)</f>
        <v>22978032.58892132</v>
      </c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</row>
    <row r="61" spans="1:58" ht="15" thickTop="1">
      <c r="A61" s="5"/>
      <c r="B61" s="35"/>
      <c r="C61" s="36"/>
      <c r="D61" s="36"/>
      <c r="E61" s="61"/>
      <c r="F61" s="77"/>
      <c r="G61" s="77"/>
      <c r="H61" s="77"/>
      <c r="I61" s="77"/>
      <c r="J61" s="77"/>
      <c r="K61" s="77"/>
      <c r="L61" s="77"/>
      <c r="M61" s="77"/>
      <c r="N61" s="77"/>
      <c r="O61" s="77"/>
      <c r="P61" s="77"/>
      <c r="Q61" s="121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</row>
    <row r="62" spans="1:58">
      <c r="A62" s="5"/>
      <c r="B62" s="35" t="s">
        <v>46</v>
      </c>
      <c r="C62" s="36"/>
      <c r="D62" s="36"/>
      <c r="E62" s="61"/>
      <c r="F62" s="77">
        <f>AB20+AB4</f>
        <v>11250000</v>
      </c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121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</row>
    <row r="63" spans="1:58">
      <c r="A63" s="5"/>
      <c r="B63" s="35" t="s">
        <v>62</v>
      </c>
      <c r="C63" s="36"/>
      <c r="D63" s="36"/>
      <c r="E63" s="61"/>
      <c r="F63" s="77">
        <f>-AC31</f>
        <v>0</v>
      </c>
      <c r="G63" s="77">
        <f t="shared" ref="G63:P63" si="45">-AD31</f>
        <v>0</v>
      </c>
      <c r="H63" s="77">
        <f t="shared" si="45"/>
        <v>0</v>
      </c>
      <c r="I63" s="77">
        <f t="shared" si="45"/>
        <v>0</v>
      </c>
      <c r="J63" s="77">
        <f t="shared" si="45"/>
        <v>-11250000</v>
      </c>
      <c r="K63" s="77">
        <f t="shared" si="45"/>
        <v>0</v>
      </c>
      <c r="L63" s="77">
        <f t="shared" si="45"/>
        <v>0</v>
      </c>
      <c r="M63" s="77">
        <f>-AJ31</f>
        <v>0</v>
      </c>
      <c r="N63" s="77">
        <f t="shared" si="45"/>
        <v>0</v>
      </c>
      <c r="O63" s="77">
        <f t="shared" si="45"/>
        <v>0</v>
      </c>
      <c r="P63" s="77">
        <f t="shared" si="45"/>
        <v>0</v>
      </c>
      <c r="Q63" s="121">
        <f>SUM(F63:P63)</f>
        <v>-11250000</v>
      </c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</row>
    <row r="64" spans="1:58">
      <c r="A64" s="5"/>
      <c r="B64" s="35" t="s">
        <v>63</v>
      </c>
      <c r="C64" s="36"/>
      <c r="D64" s="36"/>
      <c r="E64" s="61"/>
      <c r="F64" s="77">
        <f t="shared" ref="F64:P64" si="46">-AC30</f>
        <v>-309375</v>
      </c>
      <c r="G64" s="77">
        <f t="shared" si="46"/>
        <v>-309375</v>
      </c>
      <c r="H64" s="77">
        <f t="shared" si="46"/>
        <v>-309375</v>
      </c>
      <c r="I64" s="77">
        <f t="shared" si="46"/>
        <v>-309375</v>
      </c>
      <c r="J64" s="77">
        <f t="shared" si="46"/>
        <v>-309375</v>
      </c>
      <c r="K64" s="77">
        <f t="shared" si="46"/>
        <v>0</v>
      </c>
      <c r="L64" s="77">
        <f t="shared" si="46"/>
        <v>0</v>
      </c>
      <c r="M64" s="77">
        <f t="shared" si="46"/>
        <v>0</v>
      </c>
      <c r="N64" s="77">
        <f t="shared" si="46"/>
        <v>0</v>
      </c>
      <c r="O64" s="77">
        <f t="shared" si="46"/>
        <v>0</v>
      </c>
      <c r="P64" s="77">
        <f t="shared" si="46"/>
        <v>0</v>
      </c>
      <c r="Q64" s="121">
        <f>SUM(F64:P64)</f>
        <v>-1546875</v>
      </c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</row>
    <row r="65" spans="1:58">
      <c r="A65" s="5"/>
      <c r="B65" s="35"/>
      <c r="C65" s="36"/>
      <c r="D65" s="36"/>
      <c r="E65" s="61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121">
        <f>SUM(G65:P65)</f>
        <v>0</v>
      </c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</row>
    <row r="66" spans="1:58" ht="15" thickBot="1">
      <c r="A66" s="5"/>
      <c r="B66" s="79" t="s">
        <v>64</v>
      </c>
      <c r="C66" s="68"/>
      <c r="D66" s="68"/>
      <c r="E66" s="70"/>
      <c r="F66" s="69">
        <f>SUM(F63:F64)</f>
        <v>-309375</v>
      </c>
      <c r="G66" s="69">
        <f t="shared" ref="G66:P66" si="47">SUM(G63:G64)</f>
        <v>-309375</v>
      </c>
      <c r="H66" s="69">
        <f t="shared" si="47"/>
        <v>-309375</v>
      </c>
      <c r="I66" s="69">
        <f t="shared" si="47"/>
        <v>-309375</v>
      </c>
      <c r="J66" s="69">
        <f t="shared" si="47"/>
        <v>-11559375</v>
      </c>
      <c r="K66" s="69">
        <f t="shared" si="47"/>
        <v>0</v>
      </c>
      <c r="L66" s="69">
        <f t="shared" si="47"/>
        <v>0</v>
      </c>
      <c r="M66" s="69">
        <f t="shared" si="47"/>
        <v>0</v>
      </c>
      <c r="N66" s="69">
        <f t="shared" si="47"/>
        <v>0</v>
      </c>
      <c r="O66" s="69">
        <f t="shared" si="47"/>
        <v>0</v>
      </c>
      <c r="P66" s="69">
        <f t="shared" si="47"/>
        <v>0</v>
      </c>
      <c r="Q66" s="121">
        <f>SUM(G66:P66)</f>
        <v>-12487500</v>
      </c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</row>
    <row r="67" spans="1:58" ht="15" thickTop="1">
      <c r="A67" s="5"/>
      <c r="B67" s="4"/>
      <c r="C67" s="36"/>
      <c r="D67" s="36"/>
      <c r="E67" s="61"/>
      <c r="F67" s="77"/>
      <c r="G67" s="77"/>
      <c r="H67" s="77"/>
      <c r="I67" s="77"/>
      <c r="J67" s="77"/>
      <c r="K67" s="77"/>
      <c r="L67" s="77"/>
      <c r="M67" s="77"/>
      <c r="N67" s="77"/>
      <c r="O67" s="77"/>
      <c r="P67" s="77"/>
      <c r="Q67" s="121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</row>
    <row r="68" spans="1:58">
      <c r="A68" s="5"/>
      <c r="B68" s="4" t="s">
        <v>74</v>
      </c>
      <c r="C68" s="36"/>
      <c r="D68" s="36"/>
      <c r="E68" s="61"/>
      <c r="F68" s="77">
        <f t="shared" ref="F68:P68" si="48">-$L$13*$AA$52/$AA$50-(-F57)/$AA$50</f>
        <v>-430000</v>
      </c>
      <c r="G68" s="77">
        <f>-$L$13*$AA$52/$AA$50-(-G57)/$AA$50</f>
        <v>-80000</v>
      </c>
      <c r="H68" s="77">
        <f t="shared" si="48"/>
        <v>-80000</v>
      </c>
      <c r="I68" s="77">
        <f t="shared" si="48"/>
        <v>-80000</v>
      </c>
      <c r="J68" s="77">
        <f t="shared" si="48"/>
        <v>-80000</v>
      </c>
      <c r="K68" s="77">
        <f t="shared" si="48"/>
        <v>-80000</v>
      </c>
      <c r="L68" s="77">
        <f t="shared" si="48"/>
        <v>-80000</v>
      </c>
      <c r="M68" s="77">
        <f t="shared" si="48"/>
        <v>-80000</v>
      </c>
      <c r="N68" s="77">
        <f t="shared" si="48"/>
        <v>-80000</v>
      </c>
      <c r="O68" s="77">
        <f t="shared" si="48"/>
        <v>-80000</v>
      </c>
      <c r="P68" s="77">
        <f t="shared" si="48"/>
        <v>-80000</v>
      </c>
      <c r="Q68" s="121">
        <f>SUM(F68:P68)</f>
        <v>-1230000</v>
      </c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</row>
    <row r="69" spans="1:58" ht="15" thickBot="1">
      <c r="A69" s="5"/>
      <c r="B69" s="79" t="s">
        <v>65</v>
      </c>
      <c r="C69" s="68"/>
      <c r="D69" s="97">
        <v>0.25</v>
      </c>
      <c r="E69" s="70"/>
      <c r="F69" s="69">
        <f>IF((F60+F64+F68)&gt;0,(F60+F64+F68)*$D$69,0)</f>
        <v>0</v>
      </c>
      <c r="G69" s="69">
        <f t="shared" ref="G69:P69" si="49">IF((G60+G64+G68)&gt;0,(G60+G64+G68)*$D$69,0)</f>
        <v>0</v>
      </c>
      <c r="H69" s="69">
        <f t="shared" si="49"/>
        <v>0</v>
      </c>
      <c r="I69" s="69">
        <f t="shared" si="49"/>
        <v>622736.43378210627</v>
      </c>
      <c r="J69" s="69">
        <f t="shared" si="49"/>
        <v>639371.37020468747</v>
      </c>
      <c r="K69" s="69">
        <f t="shared" si="49"/>
        <v>724082.27140673436</v>
      </c>
      <c r="L69" s="69">
        <f t="shared" si="49"/>
        <v>731523.09412080178</v>
      </c>
      <c r="M69" s="69">
        <f t="shared" si="49"/>
        <v>739038.32506200962</v>
      </c>
      <c r="N69" s="69">
        <f t="shared" si="49"/>
        <v>746628.70831262995</v>
      </c>
      <c r="O69" s="69">
        <f t="shared" si="49"/>
        <v>754294.99539575633</v>
      </c>
      <c r="P69" s="69">
        <f t="shared" si="49"/>
        <v>762037.9453497139</v>
      </c>
      <c r="Q69" s="121">
        <f>SUM(G69:P69)</f>
        <v>5719713.1436344394</v>
      </c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</row>
    <row r="70" spans="1:58" ht="15" thickTop="1">
      <c r="A70" s="5"/>
      <c r="B70" s="35"/>
      <c r="C70" s="36"/>
      <c r="D70" s="36"/>
      <c r="E70" s="61"/>
      <c r="F70" s="77"/>
      <c r="G70" s="77"/>
      <c r="H70" s="77"/>
      <c r="I70" s="77"/>
      <c r="J70" s="77"/>
      <c r="K70" s="77"/>
      <c r="L70" s="77"/>
      <c r="M70" s="77"/>
      <c r="N70" s="77"/>
      <c r="O70" s="77"/>
      <c r="P70" s="77"/>
      <c r="Q70" s="121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</row>
    <row r="71" spans="1:58" ht="15" thickBot="1">
      <c r="A71" s="5"/>
      <c r="B71" s="80" t="s">
        <v>66</v>
      </c>
      <c r="C71" s="71"/>
      <c r="D71" s="71"/>
      <c r="E71" s="72"/>
      <c r="F71" s="73">
        <f>F60+F66+F69</f>
        <v>-9309375</v>
      </c>
      <c r="G71" s="73">
        <f t="shared" ref="G71:P71" si="50">G60+G66+G69</f>
        <v>-561875</v>
      </c>
      <c r="H71" s="73">
        <f t="shared" si="50"/>
        <v>-1216444.9856164383</v>
      </c>
      <c r="I71" s="73">
        <f t="shared" si="50"/>
        <v>3193682.1689105313</v>
      </c>
      <c r="J71" s="73">
        <f t="shared" si="50"/>
        <v>-7973143.1489765625</v>
      </c>
      <c r="K71" s="73">
        <f t="shared" si="50"/>
        <v>3700411.3570336718</v>
      </c>
      <c r="L71" s="73">
        <f t="shared" si="50"/>
        <v>3737615.470604009</v>
      </c>
      <c r="M71" s="73">
        <f t="shared" si="50"/>
        <v>3775191.625310048</v>
      </c>
      <c r="N71" s="73">
        <f t="shared" si="50"/>
        <v>3813143.5415631495</v>
      </c>
      <c r="O71" s="73">
        <f t="shared" si="50"/>
        <v>3851474.9769787816</v>
      </c>
      <c r="P71" s="73">
        <f t="shared" si="50"/>
        <v>3890189.7267485694</v>
      </c>
      <c r="Q71" s="93">
        <f>SUM(G71:P71)</f>
        <v>16210245.73255576</v>
      </c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</row>
    <row r="72" spans="1:58" ht="15" thickTop="1">
      <c r="A72" s="5"/>
      <c r="B72" s="35"/>
      <c r="C72" s="36"/>
      <c r="D72" s="36"/>
      <c r="E72" s="61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61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</row>
    <row r="73" spans="1:58">
      <c r="A73" s="5"/>
      <c r="B73" s="81" t="s">
        <v>81</v>
      </c>
      <c r="C73" s="47"/>
      <c r="D73" s="47"/>
      <c r="E73" s="88"/>
      <c r="F73" s="89"/>
      <c r="G73" s="89">
        <f>IF(G35=$C$27,(H41/$C$26)+SUM(H42:$P$42),0)</f>
        <v>0</v>
      </c>
      <c r="H73" s="89">
        <f>IF(H35=$C$27,(I41/$C$26)+SUM(I42:$P$42),0)</f>
        <v>0</v>
      </c>
      <c r="I73" s="89">
        <f>IF(I35=$C$27,(J41/$C$26)+SUM(J42:$P$42),0)</f>
        <v>46026715.82692308</v>
      </c>
      <c r="J73" s="89">
        <f>IF(J35=$C$27,(K41/$C$26)+SUM(K42:$P$42),0)</f>
        <v>0</v>
      </c>
      <c r="K73" s="89">
        <f>IF(K35=$C$27,(L41/$C$26)+SUM(L42:$P$42),0)</f>
        <v>0</v>
      </c>
      <c r="L73" s="89">
        <f>IF(L35=$C$27,(M41/$C$26)+SUM(M42:$P$42),0)</f>
        <v>0</v>
      </c>
      <c r="M73" s="89">
        <f>IF(M35=$C$27,(N41/$C$26)+SUM(N42:$P$42),0)</f>
        <v>0</v>
      </c>
      <c r="N73" s="89">
        <f>IF(N35=$C$27,(O41/$C$26)+SUM(O42:$P$42),0)</f>
        <v>0</v>
      </c>
      <c r="O73" s="89">
        <f>IF(O35=$C$27,(P41/$C$26)+SUM(P42:$P$42),0)</f>
        <v>0</v>
      </c>
      <c r="P73" s="89">
        <f>IF(P35=$C$27,(Q41/$C$26)+SUM($P42:Q$42),0)</f>
        <v>0</v>
      </c>
      <c r="Q73" s="91">
        <f>SUM(G73:P73)</f>
        <v>46026715.82692308</v>
      </c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</row>
    <row r="74" spans="1:58">
      <c r="A74" s="5"/>
      <c r="B74" s="35" t="s">
        <v>93</v>
      </c>
      <c r="C74" s="36"/>
      <c r="D74" s="96">
        <v>0.08</v>
      </c>
      <c r="E74" s="61"/>
      <c r="F74" s="77">
        <f>-$D$74*F73</f>
        <v>0</v>
      </c>
      <c r="G74" s="77">
        <f>-$D$74*G73</f>
        <v>0</v>
      </c>
      <c r="H74" s="77">
        <f t="shared" ref="H74:P74" si="51">-$D$74*H73</f>
        <v>0</v>
      </c>
      <c r="I74" s="77">
        <f t="shared" si="51"/>
        <v>-3682137.2661538464</v>
      </c>
      <c r="J74" s="77">
        <f t="shared" si="51"/>
        <v>0</v>
      </c>
      <c r="K74" s="77">
        <f t="shared" si="51"/>
        <v>0</v>
      </c>
      <c r="L74" s="77">
        <f t="shared" si="51"/>
        <v>0</v>
      </c>
      <c r="M74" s="77">
        <f t="shared" si="51"/>
        <v>0</v>
      </c>
      <c r="N74" s="77">
        <f t="shared" si="51"/>
        <v>0</v>
      </c>
      <c r="O74" s="77">
        <f t="shared" si="51"/>
        <v>0</v>
      </c>
      <c r="P74" s="77">
        <f t="shared" si="51"/>
        <v>0</v>
      </c>
      <c r="Q74" s="121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</row>
    <row r="75" spans="1:58">
      <c r="A75" s="5"/>
      <c r="B75" s="158" t="s">
        <v>99</v>
      </c>
      <c r="C75" s="36"/>
      <c r="D75" s="36"/>
      <c r="E75" s="61"/>
      <c r="F75" s="77">
        <f>L13+L14</f>
        <v>22500000</v>
      </c>
      <c r="G75" s="77">
        <f>F75+F68</f>
        <v>22070000</v>
      </c>
      <c r="H75" s="77">
        <f>G75+H68</f>
        <v>21990000</v>
      </c>
      <c r="I75" s="77">
        <f>H75+I68</f>
        <v>21910000</v>
      </c>
      <c r="J75" s="77">
        <f t="shared" ref="J75:P75" si="52">I75+J68</f>
        <v>21830000</v>
      </c>
      <c r="K75" s="77">
        <f t="shared" si="52"/>
        <v>21750000</v>
      </c>
      <c r="L75" s="77">
        <f t="shared" si="52"/>
        <v>21670000</v>
      </c>
      <c r="M75" s="77">
        <f>L75+M68</f>
        <v>21590000</v>
      </c>
      <c r="N75" s="77">
        <f t="shared" si="52"/>
        <v>21510000</v>
      </c>
      <c r="O75" s="77">
        <f t="shared" si="52"/>
        <v>21430000</v>
      </c>
      <c r="P75" s="77">
        <f t="shared" si="52"/>
        <v>21350000</v>
      </c>
      <c r="Q75" s="121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</row>
    <row r="76" spans="1:58">
      <c r="A76" s="5"/>
      <c r="B76" s="35" t="s">
        <v>94</v>
      </c>
      <c r="C76" s="36"/>
      <c r="D76" s="96">
        <v>0.25</v>
      </c>
      <c r="E76" s="61"/>
      <c r="F76" s="77">
        <f>IF(F73&lt;&gt;0,-$D$76*(F73+F74-F75),0)</f>
        <v>0</v>
      </c>
      <c r="G76" s="77">
        <f>IF(G73&lt;&gt;0,-$D$76*(G73+G74-G75),0)</f>
        <v>0</v>
      </c>
      <c r="H76" s="77">
        <f t="shared" ref="H76:P76" si="53">IF(H73&lt;&gt;0,-$D$76*(H73+H74-H75),0)</f>
        <v>0</v>
      </c>
      <c r="I76" s="77">
        <f t="shared" si="53"/>
        <v>-5108644.6401923075</v>
      </c>
      <c r="J76" s="77">
        <f>IF(J73&lt;&gt;0,-$D$76*(J73+J74-J75),0)</f>
        <v>0</v>
      </c>
      <c r="K76" s="77">
        <f t="shared" si="53"/>
        <v>0</v>
      </c>
      <c r="L76" s="77">
        <f t="shared" si="53"/>
        <v>0</v>
      </c>
      <c r="M76" s="77">
        <f>IF(M73&lt;&gt;0,-$D$76*(M73+M74-M75),0)</f>
        <v>0</v>
      </c>
      <c r="N76" s="77">
        <f t="shared" si="53"/>
        <v>0</v>
      </c>
      <c r="O76" s="77">
        <f t="shared" si="53"/>
        <v>0</v>
      </c>
      <c r="P76" s="77">
        <f t="shared" si="53"/>
        <v>0</v>
      </c>
      <c r="Q76" s="121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</row>
    <row r="77" spans="1:58">
      <c r="A77" s="5"/>
      <c r="B77" s="35"/>
      <c r="C77" s="36"/>
      <c r="D77" s="36"/>
      <c r="E77" s="61"/>
      <c r="F77" s="77"/>
      <c r="G77" s="77"/>
      <c r="H77" s="77"/>
      <c r="I77" s="77"/>
      <c r="J77" s="77"/>
      <c r="K77" s="77"/>
      <c r="L77" s="77"/>
      <c r="M77" s="77"/>
      <c r="N77" s="77"/>
      <c r="O77" s="77"/>
      <c r="P77" s="77"/>
      <c r="Q77" s="121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</row>
    <row r="78" spans="1:58">
      <c r="A78" s="5"/>
      <c r="B78" s="35"/>
      <c r="C78" s="36"/>
      <c r="D78" s="36"/>
      <c r="E78" s="61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111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</row>
    <row r="79" spans="1:58" ht="15" thickBot="1">
      <c r="A79" s="5"/>
      <c r="B79" s="80" t="s">
        <v>92</v>
      </c>
      <c r="C79" s="71"/>
      <c r="D79" s="71"/>
      <c r="E79" s="93">
        <f>-H13-H14</f>
        <v>-11400000.015000001</v>
      </c>
      <c r="F79" s="73">
        <f>F73+F71+F76+F74</f>
        <v>-9309375</v>
      </c>
      <c r="G79" s="73">
        <f>IF(F73&lt;&gt;0,0,IF(F79=0,0,G71+G73+G76+G74))</f>
        <v>-561875</v>
      </c>
      <c r="H79" s="73">
        <f t="shared" ref="H79:P79" si="54">IF(G73&lt;&gt;0,0,IF(G79=0,0,H71+H73+H76+H74))</f>
        <v>-1216444.9856164383</v>
      </c>
      <c r="I79" s="73">
        <f t="shared" si="54"/>
        <v>40429616.089487456</v>
      </c>
      <c r="J79" s="73">
        <f t="shared" si="54"/>
        <v>0</v>
      </c>
      <c r="K79" s="73">
        <f t="shared" si="54"/>
        <v>0</v>
      </c>
      <c r="L79" s="73">
        <f t="shared" si="54"/>
        <v>0</v>
      </c>
      <c r="M79" s="73">
        <f t="shared" si="54"/>
        <v>0</v>
      </c>
      <c r="N79" s="73">
        <f t="shared" si="54"/>
        <v>0</v>
      </c>
      <c r="O79" s="73">
        <f t="shared" si="54"/>
        <v>0</v>
      </c>
      <c r="P79" s="73">
        <f t="shared" si="54"/>
        <v>0</v>
      </c>
      <c r="Q79" s="93">
        <f>SUM(G79:P79)</f>
        <v>38651296.103871018</v>
      </c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</row>
    <row r="80" spans="1:58" ht="15" thickTop="1">
      <c r="A80" s="5"/>
      <c r="B80" s="81" t="s">
        <v>82</v>
      </c>
      <c r="C80" s="47"/>
      <c r="D80" s="47"/>
      <c r="E80" s="89">
        <f>E79</f>
        <v>-11400000.015000001</v>
      </c>
      <c r="F80" s="89">
        <f>F79+E80</f>
        <v>-20709375.015000001</v>
      </c>
      <c r="G80" s="89">
        <f>G79+F80</f>
        <v>-21271250.015000001</v>
      </c>
      <c r="H80" s="89">
        <f>H79+G80</f>
        <v>-22487695.000616439</v>
      </c>
      <c r="I80" s="89">
        <f>I79+H80</f>
        <v>17941921.088871017</v>
      </c>
      <c r="J80" s="89">
        <f>J79+I80</f>
        <v>17941921.088871017</v>
      </c>
      <c r="K80" s="89">
        <f t="shared" ref="K80:P80" si="55">K79+J80</f>
        <v>17941921.088871017</v>
      </c>
      <c r="L80" s="89">
        <f t="shared" si="55"/>
        <v>17941921.088871017</v>
      </c>
      <c r="M80" s="89">
        <f t="shared" si="55"/>
        <v>17941921.088871017</v>
      </c>
      <c r="N80" s="89">
        <f t="shared" si="55"/>
        <v>17941921.088871017</v>
      </c>
      <c r="O80" s="89">
        <f t="shared" si="55"/>
        <v>17941921.088871017</v>
      </c>
      <c r="P80" s="89">
        <f t="shared" si="55"/>
        <v>17941921.088871017</v>
      </c>
      <c r="Q80" s="91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</row>
    <row r="81" spans="1:58" ht="15" thickBo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</row>
    <row r="82" spans="1:58" ht="15" thickBot="1">
      <c r="A82" s="5"/>
      <c r="B82" s="136" t="s">
        <v>91</v>
      </c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</row>
    <row r="83" spans="1:58">
      <c r="A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</row>
    <row r="84" spans="1:58">
      <c r="A84" s="5"/>
      <c r="B84" s="90" t="s">
        <v>85</v>
      </c>
      <c r="C84" s="94">
        <f>XIRR(E79:P79,E34:P34)</f>
        <v>0.18694409728050229</v>
      </c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</row>
    <row r="85" spans="1:58">
      <c r="A85" s="5"/>
      <c r="B85" s="90" t="s">
        <v>86</v>
      </c>
      <c r="C85" s="95">
        <f>-SUMIF(E79:P79,"&gt;0")/SUMIF(E79:P79,"&lt;0")</f>
        <v>1.7978550531025608</v>
      </c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</row>
    <row r="86" spans="1:58">
      <c r="A86" s="5"/>
      <c r="D86" s="5"/>
      <c r="E86" s="5"/>
      <c r="F86" s="5"/>
      <c r="G86" s="5"/>
      <c r="H86" s="5"/>
      <c r="I86" s="5"/>
      <c r="J86" s="5"/>
      <c r="K86" s="13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</row>
    <row r="87" spans="1:58">
      <c r="A87" s="5"/>
      <c r="B87" s="36"/>
      <c r="C87" s="36"/>
      <c r="D87" s="36"/>
      <c r="E87" s="75"/>
      <c r="F87" s="36"/>
      <c r="G87" s="36"/>
      <c r="H87" s="36"/>
      <c r="I87" s="36"/>
      <c r="J87" s="36"/>
      <c r="K87" s="36"/>
      <c r="L87" s="36"/>
      <c r="M87" s="2"/>
      <c r="N87" s="36"/>
      <c r="O87" s="36"/>
      <c r="P87" s="36"/>
      <c r="Q87" s="36"/>
      <c r="R87" s="36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</row>
    <row r="88" spans="1:58">
      <c r="A88" s="5"/>
      <c r="B88" s="75"/>
      <c r="C88" s="75"/>
      <c r="D88" s="75"/>
      <c r="E88" s="75"/>
      <c r="F88" s="77"/>
      <c r="G88" s="77"/>
      <c r="H88" s="77"/>
      <c r="I88" s="77"/>
      <c r="J88" s="77"/>
      <c r="K88" s="77"/>
      <c r="L88" s="77"/>
      <c r="M88" s="77"/>
      <c r="N88" s="77"/>
      <c r="O88" s="77"/>
      <c r="P88" s="77"/>
      <c r="Q88" s="77"/>
      <c r="R88" s="36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</row>
    <row r="89" spans="1:58">
      <c r="A89" s="5"/>
      <c r="B89" s="124"/>
      <c r="C89" s="125"/>
      <c r="D89" s="125"/>
      <c r="E89" s="99"/>
      <c r="F89" s="2"/>
      <c r="G89" s="77"/>
      <c r="H89" s="77"/>
      <c r="I89" s="77"/>
      <c r="J89" s="77"/>
      <c r="K89" s="77"/>
      <c r="L89" s="77"/>
      <c r="M89" s="77"/>
      <c r="N89" s="77"/>
      <c r="O89" s="77"/>
      <c r="P89" s="77"/>
      <c r="Q89" s="2"/>
      <c r="R89" s="36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</row>
    <row r="90" spans="1:58">
      <c r="A90" s="5"/>
      <c r="B90" s="124"/>
      <c r="C90" s="125"/>
      <c r="D90" s="125"/>
      <c r="E90" s="126"/>
      <c r="F90" s="2"/>
      <c r="G90" s="77"/>
      <c r="H90" s="77"/>
      <c r="I90" s="77"/>
      <c r="J90" s="77"/>
      <c r="K90" s="77"/>
      <c r="L90" s="77"/>
      <c r="M90" s="77"/>
      <c r="N90" s="77"/>
      <c r="O90" s="77"/>
      <c r="P90" s="77"/>
      <c r="Q90" s="36"/>
      <c r="R90" s="36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</row>
    <row r="91" spans="1:58">
      <c r="A91" s="5"/>
      <c r="B91" s="75"/>
      <c r="C91" s="75"/>
      <c r="D91" s="75"/>
      <c r="E91" s="75"/>
      <c r="F91" s="77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</row>
    <row r="92" spans="1:58">
      <c r="A92" s="5"/>
      <c r="B92" s="75"/>
      <c r="C92" s="75"/>
      <c r="D92" s="75"/>
      <c r="E92" s="75"/>
      <c r="F92" s="77"/>
      <c r="G92" s="77"/>
      <c r="H92" s="77"/>
      <c r="I92" s="77"/>
      <c r="J92" s="77"/>
      <c r="K92" s="77"/>
      <c r="L92" s="77"/>
      <c r="M92" s="77"/>
      <c r="N92" s="77"/>
      <c r="O92" s="77"/>
      <c r="P92" s="77"/>
      <c r="Q92" s="77"/>
      <c r="R92" s="36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</row>
    <row r="93" spans="1:58">
      <c r="A93" s="5"/>
      <c r="B93" s="124"/>
      <c r="C93" s="75"/>
      <c r="D93" s="75"/>
      <c r="E93" s="99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</row>
    <row r="94" spans="1:58">
      <c r="A94" s="5"/>
      <c r="B94" s="124"/>
      <c r="C94" s="75"/>
      <c r="D94" s="75"/>
      <c r="E94" s="12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</row>
    <row r="95" spans="1:58">
      <c r="A95" s="5"/>
      <c r="B95" s="36"/>
      <c r="C95" s="36"/>
      <c r="D95" s="36"/>
      <c r="E95" s="75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</row>
    <row r="96" spans="1:58">
      <c r="A96" s="127"/>
      <c r="B96" s="127"/>
      <c r="C96" s="127"/>
      <c r="D96" s="127"/>
      <c r="E96" s="128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36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</row>
    <row r="97" spans="1:58">
      <c r="A97" s="127"/>
      <c r="B97" s="127"/>
      <c r="C97" s="127"/>
      <c r="D97" s="127"/>
      <c r="E97" s="128"/>
      <c r="F97" s="127"/>
      <c r="G97" s="127"/>
      <c r="H97" s="127"/>
      <c r="I97" s="127"/>
      <c r="J97" s="127"/>
      <c r="K97" s="127"/>
      <c r="L97" s="127"/>
      <c r="M97" s="129"/>
      <c r="N97" s="127"/>
      <c r="O97" s="127"/>
      <c r="P97" s="127"/>
      <c r="Q97" s="127"/>
      <c r="R97" s="36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</row>
    <row r="98" spans="1:58">
      <c r="A98" s="127"/>
      <c r="B98" s="128"/>
      <c r="C98" s="128"/>
      <c r="D98" s="128"/>
      <c r="E98" s="128"/>
      <c r="F98" s="130"/>
      <c r="G98" s="130"/>
      <c r="H98" s="130"/>
      <c r="I98" s="130"/>
      <c r="J98" s="130"/>
      <c r="K98" s="130"/>
      <c r="L98" s="130"/>
      <c r="M98" s="130"/>
      <c r="N98" s="130"/>
      <c r="O98" s="130"/>
      <c r="P98" s="130"/>
      <c r="Q98" s="130"/>
      <c r="R98" s="36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</row>
    <row r="99" spans="1:58">
      <c r="A99" s="127"/>
      <c r="B99" s="131"/>
      <c r="C99" s="132"/>
      <c r="D99" s="132"/>
      <c r="E99" s="133"/>
      <c r="F99" s="129"/>
      <c r="G99" s="130"/>
      <c r="H99" s="130"/>
      <c r="I99" s="130"/>
      <c r="J99" s="130"/>
      <c r="K99" s="130"/>
      <c r="L99" s="130"/>
      <c r="M99" s="130"/>
      <c r="N99" s="130"/>
      <c r="O99" s="130"/>
      <c r="P99" s="130"/>
      <c r="Q99" s="129"/>
      <c r="R99" s="36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</row>
    <row r="100" spans="1:58">
      <c r="A100" s="127"/>
      <c r="B100" s="131"/>
      <c r="C100" s="132"/>
      <c r="D100" s="132"/>
      <c r="E100" s="134"/>
      <c r="F100" s="129"/>
      <c r="G100" s="130"/>
      <c r="H100" s="130"/>
      <c r="I100" s="130"/>
      <c r="J100" s="130"/>
      <c r="K100" s="130"/>
      <c r="L100" s="130"/>
      <c r="M100" s="130"/>
      <c r="N100" s="130"/>
      <c r="O100" s="130"/>
      <c r="P100" s="130"/>
      <c r="Q100" s="127"/>
      <c r="R100" s="36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</row>
    <row r="101" spans="1:58">
      <c r="A101" s="127"/>
      <c r="B101" s="128"/>
      <c r="C101" s="128"/>
      <c r="D101" s="128"/>
      <c r="E101" s="128"/>
      <c r="F101" s="130"/>
      <c r="G101" s="127"/>
      <c r="H101" s="127"/>
      <c r="I101" s="127"/>
      <c r="J101" s="127"/>
      <c r="K101" s="127"/>
      <c r="L101" s="127"/>
      <c r="M101" s="127"/>
      <c r="N101" s="127"/>
      <c r="O101" s="127"/>
      <c r="P101" s="127"/>
      <c r="Q101" s="127"/>
      <c r="R101" s="36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</row>
    <row r="102" spans="1:58">
      <c r="A102" s="127"/>
      <c r="B102" s="128"/>
      <c r="C102" s="128"/>
      <c r="D102" s="128"/>
      <c r="E102" s="128"/>
      <c r="F102" s="130"/>
      <c r="G102" s="130"/>
      <c r="H102" s="130"/>
      <c r="I102" s="130"/>
      <c r="J102" s="130"/>
      <c r="K102" s="130"/>
      <c r="L102" s="130"/>
      <c r="M102" s="130"/>
      <c r="N102" s="130"/>
      <c r="O102" s="130"/>
      <c r="P102" s="130"/>
      <c r="Q102" s="130"/>
      <c r="R102" s="36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</row>
    <row r="103" spans="1:58">
      <c r="A103" s="127"/>
      <c r="B103" s="131"/>
      <c r="C103" s="128"/>
      <c r="D103" s="128"/>
      <c r="E103" s="133"/>
      <c r="F103" s="127"/>
      <c r="G103" s="127"/>
      <c r="H103" s="127"/>
      <c r="I103" s="127"/>
      <c r="J103" s="127"/>
      <c r="K103" s="127"/>
      <c r="L103" s="127"/>
      <c r="M103" s="127"/>
      <c r="N103" s="127"/>
      <c r="O103" s="127"/>
      <c r="P103" s="127"/>
      <c r="Q103" s="127"/>
      <c r="R103" s="36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</row>
    <row r="104" spans="1:58">
      <c r="A104" s="127"/>
      <c r="B104" s="131"/>
      <c r="C104" s="128"/>
      <c r="D104" s="128"/>
      <c r="E104" s="134"/>
      <c r="F104" s="127"/>
      <c r="G104" s="127"/>
      <c r="H104" s="127"/>
      <c r="I104" s="127"/>
      <c r="J104" s="127"/>
      <c r="K104" s="127"/>
      <c r="L104" s="127"/>
      <c r="M104" s="127"/>
      <c r="N104" s="127"/>
      <c r="O104" s="127"/>
      <c r="P104" s="127"/>
      <c r="Q104" s="127"/>
      <c r="R104" s="36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</row>
    <row r="105" spans="1:58">
      <c r="A105" s="127"/>
      <c r="B105" s="127"/>
      <c r="C105" s="127"/>
      <c r="D105" s="127"/>
      <c r="E105" s="128"/>
      <c r="F105" s="127"/>
      <c r="G105" s="127"/>
      <c r="H105" s="127"/>
      <c r="I105" s="127"/>
      <c r="J105" s="127"/>
      <c r="K105" s="127"/>
      <c r="L105" s="127"/>
      <c r="M105" s="127"/>
      <c r="N105" s="127"/>
      <c r="O105" s="127"/>
      <c r="P105" s="127"/>
      <c r="Q105" s="127"/>
      <c r="R105" s="36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</row>
    <row r="106" spans="1:58">
      <c r="A106" s="127"/>
      <c r="B106" s="127"/>
      <c r="C106" s="127"/>
      <c r="D106" s="127"/>
      <c r="E106" s="128"/>
      <c r="F106" s="127"/>
      <c r="G106" s="127"/>
      <c r="H106" s="127"/>
      <c r="I106" s="127"/>
      <c r="J106" s="127"/>
      <c r="K106" s="127"/>
      <c r="L106" s="127"/>
      <c r="M106" s="127"/>
      <c r="N106" s="127"/>
      <c r="O106" s="127"/>
      <c r="P106" s="127"/>
      <c r="Q106" s="127"/>
      <c r="R106" s="36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</row>
    <row r="107" spans="1:58">
      <c r="A107" s="127"/>
      <c r="B107" s="127"/>
      <c r="C107" s="127"/>
      <c r="D107" s="127"/>
      <c r="E107" s="128"/>
      <c r="F107" s="127"/>
      <c r="G107" s="127"/>
      <c r="H107" s="127"/>
      <c r="I107" s="127"/>
      <c r="J107" s="127"/>
      <c r="K107" s="127"/>
      <c r="L107" s="127"/>
      <c r="M107" s="127"/>
      <c r="N107" s="127"/>
      <c r="O107" s="127"/>
      <c r="P107" s="127"/>
      <c r="Q107" s="127"/>
      <c r="R107" s="36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</row>
    <row r="108" spans="1:58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9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</row>
    <row r="109" spans="1:58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9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</row>
    <row r="110" spans="1:58">
      <c r="A110" s="127"/>
      <c r="B110" s="127"/>
      <c r="C110" s="127"/>
      <c r="D110" s="127"/>
      <c r="E110" s="127"/>
      <c r="F110" s="127"/>
      <c r="G110" s="127"/>
      <c r="H110" s="127"/>
      <c r="I110" s="127"/>
      <c r="J110" s="127"/>
      <c r="K110" s="127"/>
      <c r="L110" s="127"/>
      <c r="M110" s="127"/>
      <c r="N110" s="127"/>
      <c r="O110" s="127"/>
      <c r="P110" s="127"/>
      <c r="Q110" s="127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</row>
    <row r="111" spans="1:58">
      <c r="A111" s="127"/>
      <c r="B111" s="127"/>
      <c r="C111" s="127"/>
      <c r="D111" s="127"/>
      <c r="E111" s="127"/>
      <c r="F111" s="127"/>
      <c r="G111" s="127"/>
      <c r="H111" s="127"/>
      <c r="I111" s="127"/>
      <c r="J111" s="127"/>
      <c r="K111" s="127"/>
      <c r="L111" s="127"/>
      <c r="M111" s="127"/>
      <c r="N111" s="127"/>
      <c r="O111" s="127"/>
      <c r="P111" s="127"/>
      <c r="Q111" s="127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</row>
    <row r="112" spans="1:58">
      <c r="A112" s="127"/>
      <c r="B112" s="127"/>
      <c r="C112" s="127"/>
      <c r="D112" s="127"/>
      <c r="E112" s="127"/>
      <c r="F112" s="127"/>
      <c r="G112" s="127"/>
      <c r="H112" s="127"/>
      <c r="I112" s="127"/>
      <c r="J112" s="127"/>
      <c r="K112" s="127"/>
      <c r="L112" s="127"/>
      <c r="M112" s="127"/>
      <c r="N112" s="127"/>
      <c r="O112" s="127"/>
      <c r="P112" s="127"/>
      <c r="Q112" s="127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</row>
    <row r="113" spans="1:58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</row>
    <row r="114" spans="1:58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</row>
    <row r="115" spans="1:58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</row>
    <row r="116" spans="1:58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</row>
    <row r="117" spans="1:58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</row>
    <row r="118" spans="1:58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</row>
    <row r="119" spans="1:58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</row>
    <row r="120" spans="1:58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</row>
    <row r="121" spans="1:58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</row>
    <row r="122" spans="1:58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</row>
    <row r="123" spans="1:58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</row>
    <row r="124" spans="1:58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</row>
    <row r="125" spans="1:58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</row>
    <row r="126" spans="1:58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</row>
    <row r="127" spans="1:58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</row>
    <row r="128" spans="1:58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</row>
    <row r="129" spans="1:58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</row>
    <row r="130" spans="1:58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</row>
    <row r="131" spans="1:58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</row>
    <row r="132" spans="1:58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</row>
    <row r="133" spans="1:58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</row>
    <row r="134" spans="1:58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</row>
    <row r="135" spans="1:58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</row>
    <row r="136" spans="1:58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</row>
    <row r="137" spans="1:58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</row>
    <row r="138" spans="1:58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</row>
    <row r="139" spans="1:58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</row>
    <row r="140" spans="1:58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</row>
    <row r="141" spans="1:58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</row>
    <row r="142" spans="1:58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</row>
    <row r="143" spans="1:58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</row>
    <row r="144" spans="1:58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</row>
    <row r="145" spans="1:58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</row>
    <row r="146" spans="1:58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</row>
    <row r="147" spans="1:58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</row>
    <row r="148" spans="1:58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</row>
    <row r="149" spans="1:58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</row>
    <row r="150" spans="1:58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</row>
    <row r="151" spans="1:58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</row>
    <row r="152" spans="1:58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</row>
    <row r="153" spans="1:58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</row>
    <row r="154" spans="1:58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</row>
    <row r="155" spans="1:58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</row>
    <row r="156" spans="1:58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</row>
    <row r="157" spans="1:58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</row>
    <row r="158" spans="1:58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</row>
    <row r="159" spans="1:58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</row>
    <row r="160" spans="1:58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</row>
    <row r="161" spans="1:58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</row>
    <row r="162" spans="1:58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</row>
    <row r="163" spans="1:58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</row>
    <row r="164" spans="1:58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</row>
    <row r="165" spans="1:58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</row>
    <row r="166" spans="1:58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</row>
    <row r="167" spans="1:58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</row>
    <row r="168" spans="1:58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</row>
    <row r="169" spans="1:58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</row>
    <row r="170" spans="1:58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</row>
    <row r="171" spans="1:58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</row>
    <row r="172" spans="1:58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</row>
    <row r="173" spans="1:58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</row>
    <row r="174" spans="1:58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</row>
    <row r="175" spans="1:58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</row>
    <row r="176" spans="1:58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</row>
    <row r="177" spans="1:58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</row>
    <row r="178" spans="1:58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</row>
    <row r="179" spans="1:58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</row>
    <row r="180" spans="1:58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</row>
    <row r="181" spans="1:58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</row>
    <row r="182" spans="1:58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</row>
    <row r="183" spans="1:58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</row>
    <row r="184" spans="1:58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</row>
    <row r="185" spans="1:58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</row>
    <row r="186" spans="1:58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</row>
    <row r="187" spans="1:58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</row>
    <row r="188" spans="1:58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</row>
    <row r="189" spans="1:58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</row>
    <row r="190" spans="1:58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</row>
    <row r="191" spans="1:58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</row>
    <row r="192" spans="1:58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</row>
    <row r="193" spans="1:58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</row>
    <row r="194" spans="1:58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</row>
    <row r="195" spans="1:58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</row>
    <row r="196" spans="1:58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</row>
    <row r="197" spans="1:58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</row>
    <row r="198" spans="1:58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</row>
    <row r="199" spans="1:58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</row>
    <row r="200" spans="1:58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</row>
    <row r="201" spans="1:58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</row>
    <row r="202" spans="1:58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</row>
    <row r="203" spans="1:58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</row>
    <row r="204" spans="1:58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</row>
    <row r="205" spans="1:58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</row>
    <row r="206" spans="1:58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</row>
    <row r="207" spans="1:58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</row>
    <row r="208" spans="1:58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</row>
    <row r="209" spans="1:58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</row>
    <row r="210" spans="1:58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</row>
    <row r="211" spans="1:58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</row>
    <row r="212" spans="1:58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</row>
    <row r="213" spans="1:58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</row>
    <row r="214" spans="1:58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</row>
    <row r="215" spans="1:58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</row>
    <row r="216" spans="1:58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</row>
    <row r="217" spans="1:58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</row>
    <row r="218" spans="1:58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</row>
    <row r="219" spans="1:58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</row>
    <row r="220" spans="1:58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</row>
    <row r="221" spans="1:58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</row>
    <row r="222" spans="1:58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</row>
    <row r="223" spans="1:58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</row>
    <row r="224" spans="1:58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</row>
    <row r="225" spans="1:58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</row>
    <row r="226" spans="1:58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</row>
    <row r="227" spans="1:58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</row>
    <row r="228" spans="1:58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</row>
    <row r="229" spans="1:58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</row>
    <row r="230" spans="1:58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</row>
    <row r="231" spans="1:58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</row>
    <row r="232" spans="1:58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</row>
    <row r="233" spans="1:58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</row>
    <row r="234" spans="1:58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</row>
    <row r="235" spans="1:58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</row>
    <row r="236" spans="1:58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</row>
    <row r="237" spans="1:58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</row>
    <row r="238" spans="1:58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</row>
    <row r="239" spans="1:58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</row>
    <row r="240" spans="1:58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</row>
    <row r="241" spans="1:58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</row>
    <row r="242" spans="1:58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</row>
    <row r="243" spans="1:58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</row>
    <row r="244" spans="1:58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</row>
    <row r="245" spans="1:58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</row>
    <row r="246" spans="1:58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</row>
    <row r="247" spans="1:58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</row>
    <row r="248" spans="1:58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</row>
    <row r="249" spans="1:58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</row>
    <row r="250" spans="1:58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</row>
    <row r="251" spans="1:58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</row>
    <row r="252" spans="1:58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</row>
    <row r="253" spans="1:58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</row>
    <row r="254" spans="1:58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</row>
    <row r="255" spans="1:58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</row>
    <row r="256" spans="1:58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</row>
    <row r="257" spans="1:58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</row>
    <row r="258" spans="1:58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</row>
    <row r="259" spans="1:58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</row>
    <row r="260" spans="1:58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</row>
    <row r="261" spans="1:58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</row>
    <row r="262" spans="1:58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</row>
    <row r="263" spans="1:58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</row>
    <row r="264" spans="1:58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</row>
    <row r="265" spans="1:58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</row>
    <row r="266" spans="1:58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</row>
    <row r="267" spans="1:58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</row>
    <row r="268" spans="1:58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</row>
    <row r="269" spans="1:58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</row>
    <row r="270" spans="1:58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</row>
    <row r="271" spans="1:58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</row>
    <row r="272" spans="1:58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</row>
    <row r="273" spans="1:58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</row>
    <row r="274" spans="1:58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</row>
    <row r="275" spans="1:58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</row>
    <row r="276" spans="1:58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</row>
    <row r="277" spans="1:58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</row>
    <row r="278" spans="1:58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</row>
    <row r="279" spans="1:58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</row>
    <row r="280" spans="1:58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</row>
    <row r="281" spans="1:58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</row>
    <row r="282" spans="1:58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</row>
    <row r="283" spans="1:58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</row>
    <row r="284" spans="1:58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</row>
    <row r="285" spans="1:58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</row>
    <row r="286" spans="1:58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</row>
    <row r="287" spans="1:58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</row>
    <row r="288" spans="1:58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</row>
    <row r="289" spans="1:58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</row>
    <row r="290" spans="1:58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</row>
    <row r="291" spans="1:58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</row>
    <row r="292" spans="1:58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</row>
    <row r="293" spans="1:58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</row>
    <row r="294" spans="1:58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</row>
    <row r="295" spans="1:58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</row>
    <row r="296" spans="1:58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</row>
    <row r="297" spans="1:58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</row>
    <row r="298" spans="1:58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</row>
    <row r="299" spans="1:58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</row>
    <row r="300" spans="1:58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</row>
    <row r="301" spans="1:58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</row>
    <row r="302" spans="1:58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</row>
    <row r="303" spans="1:58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</row>
    <row r="304" spans="1:58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</row>
    <row r="305" spans="1:58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</row>
    <row r="306" spans="1:58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</row>
    <row r="307" spans="1:58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</row>
    <row r="308" spans="1:58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</row>
    <row r="309" spans="1:58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  <c r="BE309" s="5"/>
      <c r="BF309" s="5"/>
    </row>
    <row r="310" spans="1:58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/>
      <c r="BD310" s="5"/>
      <c r="BE310" s="5"/>
      <c r="BF310" s="5"/>
    </row>
    <row r="311" spans="1:58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  <c r="BE311" s="5"/>
      <c r="BF311" s="5"/>
    </row>
    <row r="312" spans="1:58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  <c r="BE312" s="5"/>
      <c r="BF312" s="5"/>
    </row>
    <row r="313" spans="1:58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  <c r="BE313" s="5"/>
      <c r="BF313" s="5"/>
    </row>
    <row r="314" spans="1:58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  <c r="BE314" s="5"/>
      <c r="BF314" s="5"/>
    </row>
    <row r="315" spans="1:58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  <c r="BE315" s="5"/>
      <c r="BF315" s="5"/>
    </row>
    <row r="316" spans="1:58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  <c r="BE316" s="5"/>
      <c r="BF316" s="5"/>
    </row>
    <row r="317" spans="1:58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  <c r="BE317" s="5"/>
      <c r="BF317" s="5"/>
    </row>
    <row r="318" spans="1:58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B318" s="5"/>
      <c r="BC318" s="5"/>
      <c r="BD318" s="5"/>
      <c r="BE318" s="5"/>
      <c r="BF318" s="5"/>
    </row>
    <row r="319" spans="1:58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</row>
    <row r="320" spans="1:58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  <c r="BE320" s="5"/>
      <c r="BF320" s="5"/>
    </row>
    <row r="321" spans="1:58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  <c r="BE321" s="5"/>
      <c r="BF321" s="5"/>
    </row>
    <row r="322" spans="1:58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  <c r="BE322" s="5"/>
      <c r="BF322" s="5"/>
    </row>
    <row r="323" spans="1:58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  <c r="BE323" s="5"/>
      <c r="BF323" s="5"/>
    </row>
    <row r="324" spans="1:58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  <c r="BB324" s="5"/>
      <c r="BC324" s="5"/>
      <c r="BD324" s="5"/>
      <c r="BE324" s="5"/>
      <c r="BF324" s="5"/>
    </row>
    <row r="325" spans="1:58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  <c r="BE325" s="5"/>
      <c r="BF325" s="5"/>
    </row>
    <row r="326" spans="1:58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  <c r="BB326" s="5"/>
      <c r="BC326" s="5"/>
      <c r="BD326" s="5"/>
      <c r="BE326" s="5"/>
      <c r="BF326" s="5"/>
    </row>
    <row r="327" spans="1:58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  <c r="BE327" s="5"/>
      <c r="BF327" s="5"/>
    </row>
    <row r="328" spans="1:58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B328" s="5"/>
      <c r="BC328" s="5"/>
      <c r="BD328" s="5"/>
      <c r="BE328" s="5"/>
      <c r="BF328" s="5"/>
    </row>
    <row r="329" spans="1:58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  <c r="BE329" s="5"/>
      <c r="BF329" s="5"/>
    </row>
    <row r="330" spans="1:58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/>
      <c r="BD330" s="5"/>
      <c r="BE330" s="5"/>
      <c r="BF330" s="5"/>
    </row>
    <row r="331" spans="1:58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/>
      <c r="BD331" s="5"/>
      <c r="BE331" s="5"/>
      <c r="BF331" s="5"/>
    </row>
    <row r="332" spans="1:58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  <c r="BE332" s="5"/>
      <c r="BF332" s="5"/>
    </row>
    <row r="333" spans="1:58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  <c r="BE333" s="5"/>
      <c r="BF333" s="5"/>
    </row>
    <row r="334" spans="1:58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  <c r="BE334" s="5"/>
      <c r="BF334" s="5"/>
    </row>
    <row r="335" spans="1:58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  <c r="BE335" s="5"/>
      <c r="BF335" s="5"/>
    </row>
    <row r="336" spans="1:58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  <c r="BE336" s="5"/>
      <c r="BF336" s="5"/>
    </row>
    <row r="337" spans="1:58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B337" s="5"/>
      <c r="BC337" s="5"/>
      <c r="BD337" s="5"/>
      <c r="BE337" s="5"/>
      <c r="BF337" s="5"/>
    </row>
    <row r="338" spans="1:58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  <c r="BE338" s="5"/>
      <c r="BF338" s="5"/>
    </row>
    <row r="339" spans="1:58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  <c r="BE339" s="5"/>
      <c r="BF339" s="5"/>
    </row>
    <row r="340" spans="1:58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B340" s="5"/>
      <c r="BC340" s="5"/>
      <c r="BD340" s="5"/>
      <c r="BE340" s="5"/>
      <c r="BF340" s="5"/>
    </row>
    <row r="341" spans="1:58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  <c r="BB341" s="5"/>
      <c r="BC341" s="5"/>
      <c r="BD341" s="5"/>
      <c r="BE341" s="5"/>
      <c r="BF341" s="5"/>
    </row>
    <row r="342" spans="1:58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  <c r="BB342" s="5"/>
      <c r="BC342" s="5"/>
      <c r="BD342" s="5"/>
      <c r="BE342" s="5"/>
      <c r="BF342" s="5"/>
    </row>
    <row r="343" spans="1:58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  <c r="BB343" s="5"/>
      <c r="BC343" s="5"/>
      <c r="BD343" s="5"/>
      <c r="BE343" s="5"/>
      <c r="BF343" s="5"/>
    </row>
    <row r="344" spans="1:58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  <c r="BB344" s="5"/>
      <c r="BC344" s="5"/>
      <c r="BD344" s="5"/>
      <c r="BE344" s="5"/>
      <c r="BF344" s="5"/>
    </row>
    <row r="345" spans="1:58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  <c r="BB345" s="5"/>
      <c r="BC345" s="5"/>
      <c r="BD345" s="5"/>
      <c r="BE345" s="5"/>
      <c r="BF345" s="5"/>
    </row>
    <row r="346" spans="1:58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  <c r="BB346" s="5"/>
      <c r="BC346" s="5"/>
      <c r="BD346" s="5"/>
      <c r="BE346" s="5"/>
      <c r="BF346" s="5"/>
    </row>
    <row r="347" spans="1:58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  <c r="BB347" s="5"/>
      <c r="BC347" s="5"/>
      <c r="BD347" s="5"/>
      <c r="BE347" s="5"/>
      <c r="BF347" s="5"/>
    </row>
    <row r="348" spans="1:58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  <c r="BB348" s="5"/>
      <c r="BC348" s="5"/>
      <c r="BD348" s="5"/>
      <c r="BE348" s="5"/>
      <c r="BF348" s="5"/>
    </row>
    <row r="349" spans="1:58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</row>
    <row r="350" spans="1:58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  <c r="BB350" s="5"/>
      <c r="BC350" s="5"/>
      <c r="BD350" s="5"/>
      <c r="BE350" s="5"/>
      <c r="BF350" s="5"/>
    </row>
    <row r="351" spans="1:58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  <c r="BB351" s="5"/>
      <c r="BC351" s="5"/>
      <c r="BD351" s="5"/>
      <c r="BE351" s="5"/>
      <c r="BF351" s="5"/>
    </row>
    <row r="352" spans="1:58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B352" s="5"/>
      <c r="BC352" s="5"/>
      <c r="BD352" s="5"/>
      <c r="BE352" s="5"/>
      <c r="BF352" s="5"/>
    </row>
    <row r="353" spans="1:58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  <c r="BB353" s="5"/>
      <c r="BC353" s="5"/>
      <c r="BD353" s="5"/>
      <c r="BE353" s="5"/>
      <c r="BF353" s="5"/>
    </row>
    <row r="354" spans="1:58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  <c r="BB354" s="5"/>
      <c r="BC354" s="5"/>
      <c r="BD354" s="5"/>
      <c r="BE354" s="5"/>
      <c r="BF354" s="5"/>
    </row>
    <row r="355" spans="1:58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B355" s="5"/>
      <c r="BC355" s="5"/>
      <c r="BD355" s="5"/>
      <c r="BE355" s="5"/>
      <c r="BF355" s="5"/>
    </row>
    <row r="356" spans="1:58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  <c r="BB356" s="5"/>
      <c r="BC356" s="5"/>
      <c r="BD356" s="5"/>
      <c r="BE356" s="5"/>
      <c r="BF356" s="5"/>
    </row>
    <row r="357" spans="1:58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  <c r="BB357" s="5"/>
      <c r="BC357" s="5"/>
      <c r="BD357" s="5"/>
      <c r="BE357" s="5"/>
      <c r="BF357" s="5"/>
    </row>
    <row r="358" spans="1:58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  <c r="BB358" s="5"/>
      <c r="BC358" s="5"/>
      <c r="BD358" s="5"/>
      <c r="BE358" s="5"/>
      <c r="BF358" s="5"/>
    </row>
    <row r="359" spans="1:58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  <c r="BB359" s="5"/>
      <c r="BC359" s="5"/>
      <c r="BD359" s="5"/>
      <c r="BE359" s="5"/>
      <c r="BF359" s="5"/>
    </row>
    <row r="360" spans="1:58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  <c r="BB360" s="5"/>
      <c r="BC360" s="5"/>
      <c r="BD360" s="5"/>
      <c r="BE360" s="5"/>
      <c r="BF360" s="5"/>
    </row>
    <row r="361" spans="1:58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  <c r="BB361" s="5"/>
      <c r="BC361" s="5"/>
      <c r="BD361" s="5"/>
      <c r="BE361" s="5"/>
      <c r="BF361" s="5"/>
    </row>
    <row r="362" spans="1:58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  <c r="BB362" s="5"/>
      <c r="BC362" s="5"/>
      <c r="BD362" s="5"/>
      <c r="BE362" s="5"/>
      <c r="BF362" s="5"/>
    </row>
    <row r="363" spans="1:58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  <c r="BB363" s="5"/>
      <c r="BC363" s="5"/>
      <c r="BD363" s="5"/>
      <c r="BE363" s="5"/>
      <c r="BF363" s="5"/>
    </row>
    <row r="364" spans="1:58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  <c r="BB364" s="5"/>
      <c r="BC364" s="5"/>
      <c r="BD364" s="5"/>
      <c r="BE364" s="5"/>
      <c r="BF364" s="5"/>
    </row>
    <row r="365" spans="1:58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  <c r="BE365" s="5"/>
      <c r="BF365" s="5"/>
    </row>
    <row r="366" spans="1:58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  <c r="BB366" s="5"/>
      <c r="BC366" s="5"/>
      <c r="BD366" s="5"/>
      <c r="BE366" s="5"/>
      <c r="BF366" s="5"/>
    </row>
    <row r="367" spans="1:58"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  <c r="BB367" s="5"/>
      <c r="BC367" s="5"/>
      <c r="BD367" s="5"/>
      <c r="BE367" s="5"/>
      <c r="BF367" s="5"/>
    </row>
  </sheetData>
  <mergeCells count="7">
    <mergeCell ref="O9:P9"/>
    <mergeCell ref="F4:L4"/>
    <mergeCell ref="G7:I7"/>
    <mergeCell ref="J7:K7"/>
    <mergeCell ref="B9:C9"/>
    <mergeCell ref="F9:L9"/>
    <mergeCell ref="E5:M5"/>
  </mergeCells>
  <pageMargins left="0.7" right="0.7" top="0.75" bottom="0.75" header="0.3" footer="0.3"/>
  <pageSetup paperSize="9" scale="2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F340"/>
  <sheetViews>
    <sheetView showGridLines="0" topLeftCell="A53" zoomScale="85" zoomScaleNormal="85" workbookViewId="0">
      <selection activeCell="E6" sqref="E6"/>
    </sheetView>
  </sheetViews>
  <sheetFormatPr baseColWidth="10" defaultColWidth="11.5" defaultRowHeight="14" outlineLevelRow="1"/>
  <cols>
    <col min="1" max="1" width="4.1640625" style="1" customWidth="1"/>
    <col min="2" max="2" width="30.1640625" style="1" customWidth="1"/>
    <col min="3" max="3" width="27.33203125" style="1" bestFit="1" customWidth="1"/>
    <col min="4" max="4" width="11.83203125" style="1" customWidth="1"/>
    <col min="5" max="5" width="16.5" style="1" bestFit="1" customWidth="1"/>
    <col min="6" max="6" width="18.83203125" style="1" bestFit="1" customWidth="1"/>
    <col min="7" max="7" width="15.6640625" style="1" customWidth="1"/>
    <col min="8" max="8" width="19.6640625" style="1" customWidth="1"/>
    <col min="9" max="9" width="18.5" style="1" bestFit="1" customWidth="1"/>
    <col min="10" max="10" width="19.83203125" style="1" bestFit="1" customWidth="1"/>
    <col min="11" max="11" width="15.6640625" style="1" customWidth="1"/>
    <col min="12" max="12" width="20.5" style="1" customWidth="1"/>
    <col min="13" max="13" width="18.83203125" style="1" bestFit="1" customWidth="1"/>
    <col min="14" max="16" width="15.6640625" style="1" customWidth="1"/>
    <col min="17" max="19" width="20.6640625" style="1" customWidth="1"/>
    <col min="20" max="25" width="11.5" style="1"/>
    <col min="26" max="26" width="17.5" style="1" bestFit="1" customWidth="1"/>
    <col min="27" max="27" width="11.5" style="1"/>
    <col min="28" max="28" width="14.5" style="1" bestFit="1" customWidth="1"/>
    <col min="29" max="29" width="16.33203125" style="1" bestFit="1" customWidth="1"/>
    <col min="30" max="38" width="14.5" style="1" bestFit="1" customWidth="1"/>
    <col min="39" max="16384" width="11.5" style="1"/>
  </cols>
  <sheetData>
    <row r="1" spans="2:58" hidden="1" outlineLevel="1">
      <c r="B1" s="5" t="s">
        <v>68</v>
      </c>
      <c r="C1" s="58">
        <f>EDATE($F$33,C15)</f>
        <v>44196</v>
      </c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</row>
    <row r="2" spans="2:58" hidden="1" outlineLevel="1">
      <c r="B2" s="5" t="s">
        <v>69</v>
      </c>
      <c r="C2" s="58">
        <f>EDATE(C1,C19+C24)</f>
        <v>44469</v>
      </c>
      <c r="W2" s="5"/>
      <c r="X2" s="5"/>
      <c r="Y2" s="5"/>
      <c r="Z2" s="46" t="s">
        <v>42</v>
      </c>
      <c r="AA2" s="47"/>
      <c r="AB2" s="47">
        <v>0</v>
      </c>
      <c r="AC2" s="47">
        <v>1</v>
      </c>
      <c r="AD2" s="47">
        <v>2</v>
      </c>
      <c r="AE2" s="47">
        <v>3</v>
      </c>
      <c r="AF2" s="47">
        <v>4</v>
      </c>
      <c r="AG2" s="47">
        <v>5</v>
      </c>
      <c r="AH2" s="47">
        <v>6</v>
      </c>
      <c r="AI2" s="47">
        <v>7</v>
      </c>
      <c r="AJ2" s="47">
        <v>8</v>
      </c>
      <c r="AK2" s="47">
        <v>9</v>
      </c>
      <c r="AL2" s="48">
        <v>10</v>
      </c>
      <c r="AM2" s="48">
        <v>11</v>
      </c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</row>
    <row r="3" spans="2:58" ht="15" hidden="1" outlineLevel="1" thickBot="1">
      <c r="B3" s="5" t="s">
        <v>70</v>
      </c>
      <c r="C3" s="58">
        <f>EDATE(C2,C25)</f>
        <v>45015</v>
      </c>
      <c r="W3" s="5"/>
      <c r="X3" s="5"/>
      <c r="Y3" s="5"/>
      <c r="Z3" s="35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7"/>
      <c r="AM3" s="37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</row>
    <row r="4" spans="2:58" ht="20" customHeight="1" collapsed="1" thickBot="1">
      <c r="F4" s="283" t="s">
        <v>100</v>
      </c>
      <c r="G4" s="284"/>
      <c r="H4" s="284"/>
      <c r="I4" s="284"/>
      <c r="J4" s="284"/>
      <c r="K4" s="284"/>
      <c r="L4" s="285"/>
      <c r="W4" s="5"/>
      <c r="X4" s="5"/>
      <c r="Y4" s="5"/>
      <c r="Z4" s="49" t="s">
        <v>46</v>
      </c>
      <c r="AA4" s="38"/>
      <c r="AB4" s="50">
        <f>H15</f>
        <v>5775000.0000000009</v>
      </c>
      <c r="AC4" s="38"/>
      <c r="AD4" s="38"/>
      <c r="AE4" s="38"/>
      <c r="AF4" s="38"/>
      <c r="AG4" s="38"/>
      <c r="AH4" s="38"/>
      <c r="AI4" s="38"/>
      <c r="AJ4" s="38"/>
      <c r="AK4" s="38"/>
      <c r="AL4" s="39"/>
      <c r="AM4" s="39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</row>
    <row r="5" spans="2:58" ht="20" customHeight="1">
      <c r="B5" s="219"/>
      <c r="C5" s="219"/>
      <c r="D5" s="219"/>
      <c r="E5" s="280"/>
      <c r="F5" s="281"/>
      <c r="G5" s="281"/>
      <c r="H5" s="281"/>
      <c r="I5" s="281"/>
      <c r="J5" s="281"/>
      <c r="K5" s="281"/>
      <c r="L5" s="281"/>
      <c r="M5" s="282"/>
      <c r="N5" s="219"/>
      <c r="O5" s="219"/>
      <c r="P5" s="219"/>
      <c r="Q5" s="219"/>
      <c r="R5" s="219"/>
      <c r="W5" s="5"/>
      <c r="X5" s="5"/>
      <c r="Y5" s="5"/>
      <c r="Z5" s="35"/>
      <c r="AA5" s="36"/>
      <c r="AB5" s="40"/>
      <c r="AC5" s="36"/>
      <c r="AD5" s="36"/>
      <c r="AE5" s="36"/>
      <c r="AF5" s="36"/>
      <c r="AG5" s="36"/>
      <c r="AH5" s="36"/>
      <c r="AI5" s="36"/>
      <c r="AJ5" s="36"/>
      <c r="AK5" s="36"/>
      <c r="AL5" s="37"/>
      <c r="AM5" s="37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</row>
    <row r="6" spans="2:58" s="222" customFormat="1" ht="20" customHeight="1" thickBot="1">
      <c r="B6" s="221"/>
      <c r="C6" s="221"/>
      <c r="D6" s="221"/>
      <c r="E6" s="220"/>
      <c r="F6" s="220"/>
      <c r="G6" s="220"/>
      <c r="H6" s="220"/>
      <c r="I6" s="220"/>
      <c r="J6" s="220"/>
      <c r="K6" s="220"/>
      <c r="L6" s="220"/>
      <c r="M6" s="220"/>
      <c r="N6" s="221"/>
      <c r="O6" s="221"/>
      <c r="P6" s="221"/>
      <c r="Q6" s="221"/>
      <c r="R6" s="221"/>
      <c r="W6" s="223"/>
      <c r="X6" s="223"/>
      <c r="Y6" s="223"/>
      <c r="Z6" s="224"/>
      <c r="AA6" s="225"/>
      <c r="AB6" s="226"/>
      <c r="AC6" s="225"/>
      <c r="AD6" s="225"/>
      <c r="AE6" s="225"/>
      <c r="AF6" s="225"/>
      <c r="AG6" s="225"/>
      <c r="AH6" s="225"/>
      <c r="AI6" s="225"/>
      <c r="AJ6" s="225"/>
      <c r="AK6" s="225"/>
      <c r="AL6" s="227"/>
      <c r="AM6" s="227"/>
      <c r="AN6" s="223"/>
      <c r="AO6" s="223"/>
      <c r="AP6" s="223"/>
      <c r="AQ6" s="223"/>
      <c r="AR6" s="223"/>
      <c r="AS6" s="223"/>
      <c r="AT6" s="223"/>
      <c r="AU6" s="223"/>
      <c r="AV6" s="223"/>
      <c r="AW6" s="223"/>
      <c r="AX6" s="223"/>
      <c r="AY6" s="223"/>
      <c r="AZ6" s="223"/>
      <c r="BA6" s="223"/>
      <c r="BB6" s="223"/>
      <c r="BC6" s="223"/>
      <c r="BD6" s="223"/>
      <c r="BE6" s="223"/>
      <c r="BF6" s="223"/>
    </row>
    <row r="7" spans="2:58" ht="20" customHeight="1" thickBot="1">
      <c r="F7" s="100"/>
      <c r="G7" s="275" t="s">
        <v>88</v>
      </c>
      <c r="H7" s="276"/>
      <c r="I7" s="276"/>
      <c r="J7" s="277">
        <f>(K41)/H25</f>
        <v>0.11547435955889077</v>
      </c>
      <c r="K7" s="278"/>
      <c r="L7" s="100"/>
      <c r="M7" s="139"/>
      <c r="W7" s="5"/>
      <c r="X7" s="5"/>
      <c r="Y7" s="5"/>
      <c r="Z7" s="35"/>
      <c r="AA7" s="36"/>
      <c r="AB7" s="40"/>
      <c r="AC7" s="36"/>
      <c r="AD7" s="36"/>
      <c r="AE7" s="36"/>
      <c r="AF7" s="36"/>
      <c r="AG7" s="36"/>
      <c r="AH7" s="36"/>
      <c r="AI7" s="36"/>
      <c r="AJ7" s="36"/>
      <c r="AK7" s="36"/>
      <c r="AL7" s="37"/>
      <c r="AM7" s="37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</row>
    <row r="8" spans="2:58" ht="15" thickBot="1">
      <c r="G8" s="161" t="s">
        <v>107</v>
      </c>
      <c r="H8" s="162"/>
      <c r="I8" s="163">
        <f>H25/C11</f>
        <v>951.125</v>
      </c>
      <c r="J8" s="162" t="s">
        <v>108</v>
      </c>
      <c r="K8" s="164">
        <f>MAX(F73,G73,H73,I73,J73,K73,L73,M73,N73,O73,P73)/$C$11</f>
        <v>1627.119262747407</v>
      </c>
      <c r="W8" s="5"/>
      <c r="X8" s="5"/>
      <c r="Y8" s="5"/>
      <c r="Z8" s="35" t="s">
        <v>47</v>
      </c>
      <c r="AA8" s="36"/>
      <c r="AB8" s="36"/>
      <c r="AC8" s="40">
        <f>AB4+AB8-AB10</f>
        <v>5775000.0000000009</v>
      </c>
      <c r="AD8" s="40">
        <f t="shared" ref="AD8:AL8" si="0">AC4+AC8-AC10</f>
        <v>5746125.0000000009</v>
      </c>
      <c r="AE8" s="40">
        <f t="shared" si="0"/>
        <v>5717394.3750000009</v>
      </c>
      <c r="AF8" s="40">
        <f t="shared" si="0"/>
        <v>5688807.4031250011</v>
      </c>
      <c r="AG8" s="40">
        <f t="shared" si="0"/>
        <v>5660363.3661093758</v>
      </c>
      <c r="AH8" s="40">
        <f>AG4+AG8-AG10</f>
        <v>0</v>
      </c>
      <c r="AI8" s="40">
        <f t="shared" si="0"/>
        <v>0</v>
      </c>
      <c r="AJ8" s="40">
        <f t="shared" si="0"/>
        <v>0</v>
      </c>
      <c r="AK8" s="40">
        <f t="shared" si="0"/>
        <v>0</v>
      </c>
      <c r="AL8" s="41">
        <f t="shared" si="0"/>
        <v>0</v>
      </c>
      <c r="AM8" s="41">
        <f>AL4+AL8-AL10</f>
        <v>0</v>
      </c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</row>
    <row r="9" spans="2:58" ht="16">
      <c r="B9" s="270" t="s">
        <v>15</v>
      </c>
      <c r="C9" s="271"/>
      <c r="F9" s="279" t="s">
        <v>38</v>
      </c>
      <c r="G9" s="279"/>
      <c r="H9" s="279"/>
      <c r="I9" s="279"/>
      <c r="J9" s="279"/>
      <c r="K9" s="279"/>
      <c r="L9" s="279"/>
      <c r="O9" s="270" t="s">
        <v>39</v>
      </c>
      <c r="P9" s="271"/>
      <c r="W9" s="5"/>
      <c r="X9" s="5"/>
      <c r="Y9" s="5"/>
      <c r="Z9" s="35" t="s">
        <v>48</v>
      </c>
      <c r="AA9" s="36"/>
      <c r="AB9" s="36"/>
      <c r="AC9" s="40">
        <f>$P$13*AC8</f>
        <v>144375.00000000003</v>
      </c>
      <c r="AD9" s="40">
        <f>$P$13*AD8</f>
        <v>143653.12500000003</v>
      </c>
      <c r="AE9" s="40">
        <f t="shared" ref="AE9:AL9" si="1">$P$13*AE8</f>
        <v>142934.85937500003</v>
      </c>
      <c r="AF9" s="40">
        <f t="shared" si="1"/>
        <v>142220.18507812504</v>
      </c>
      <c r="AG9" s="40">
        <f t="shared" si="1"/>
        <v>141509.0841527344</v>
      </c>
      <c r="AH9" s="40">
        <f t="shared" si="1"/>
        <v>0</v>
      </c>
      <c r="AI9" s="40">
        <f t="shared" si="1"/>
        <v>0</v>
      </c>
      <c r="AJ9" s="40">
        <f t="shared" si="1"/>
        <v>0</v>
      </c>
      <c r="AK9" s="40">
        <f t="shared" si="1"/>
        <v>0</v>
      </c>
      <c r="AL9" s="41">
        <f t="shared" si="1"/>
        <v>0</v>
      </c>
      <c r="AM9" s="41">
        <f>$P$13*AM8</f>
        <v>0</v>
      </c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</row>
    <row r="10" spans="2:58" ht="15" thickBot="1">
      <c r="B10" s="108" t="s">
        <v>96</v>
      </c>
      <c r="C10" s="141">
        <v>44196</v>
      </c>
      <c r="F10" s="4"/>
      <c r="G10" s="2"/>
      <c r="H10" s="2"/>
      <c r="I10" s="2"/>
      <c r="J10" s="2"/>
      <c r="K10" s="2"/>
      <c r="L10" s="3"/>
      <c r="O10" s="4"/>
      <c r="P10" s="3"/>
      <c r="W10" s="5"/>
      <c r="X10" s="5"/>
      <c r="Y10" s="5"/>
      <c r="Z10" s="35" t="s">
        <v>49</v>
      </c>
      <c r="AA10" s="36"/>
      <c r="AB10" s="36"/>
      <c r="AC10" s="40">
        <f>IF($P$15&gt;AC2,AC8*$P$14,IF($P$15=AC2,AC8,0))</f>
        <v>28875.000000000004</v>
      </c>
      <c r="AD10" s="40">
        <f t="shared" ref="AD10:AM10" si="2">IF($P$15&gt;AD2,AD8*$P$14,IF($P$15=AD2,AD8,0))</f>
        <v>28730.625000000004</v>
      </c>
      <c r="AE10" s="40">
        <f t="shared" si="2"/>
        <v>28586.971875000007</v>
      </c>
      <c r="AF10" s="40">
        <f t="shared" si="2"/>
        <v>28444.037015625006</v>
      </c>
      <c r="AG10" s="40">
        <f t="shared" si="2"/>
        <v>5660363.3661093758</v>
      </c>
      <c r="AH10" s="40">
        <f t="shared" si="2"/>
        <v>0</v>
      </c>
      <c r="AI10" s="40">
        <f t="shared" si="2"/>
        <v>0</v>
      </c>
      <c r="AJ10" s="40">
        <f t="shared" si="2"/>
        <v>0</v>
      </c>
      <c r="AK10" s="40">
        <f t="shared" si="2"/>
        <v>0</v>
      </c>
      <c r="AL10" s="41">
        <f t="shared" si="2"/>
        <v>0</v>
      </c>
      <c r="AM10" s="41">
        <f t="shared" si="2"/>
        <v>0</v>
      </c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</row>
    <row r="11" spans="2:58" ht="15" thickTop="1">
      <c r="B11" s="12" t="s">
        <v>16</v>
      </c>
      <c r="C11" s="14">
        <f>12000*1.5</f>
        <v>18000</v>
      </c>
      <c r="E11" s="21"/>
      <c r="F11" s="4"/>
      <c r="G11" s="52"/>
      <c r="H11" s="2"/>
      <c r="I11" s="2"/>
      <c r="J11" s="2"/>
      <c r="K11" s="2"/>
      <c r="L11" s="3"/>
      <c r="O11" s="4"/>
      <c r="P11" s="3"/>
      <c r="W11" s="5"/>
      <c r="X11" s="5"/>
      <c r="Y11" s="5"/>
      <c r="Z11" s="42" t="s">
        <v>50</v>
      </c>
      <c r="AA11" s="43"/>
      <c r="AB11" s="43"/>
      <c r="AC11" s="44">
        <f>AC10+AC9</f>
        <v>173250.00000000003</v>
      </c>
      <c r="AD11" s="44">
        <f>AD10+AD9</f>
        <v>172383.75000000003</v>
      </c>
      <c r="AE11" s="44">
        <f t="shared" ref="AE11:AM11" si="3">AE10+AE9</f>
        <v>171521.83125000005</v>
      </c>
      <c r="AF11" s="44">
        <f t="shared" si="3"/>
        <v>170664.22209375005</v>
      </c>
      <c r="AG11" s="44">
        <f t="shared" si="3"/>
        <v>5801872.4502621107</v>
      </c>
      <c r="AH11" s="44">
        <f t="shared" si="3"/>
        <v>0</v>
      </c>
      <c r="AI11" s="44">
        <f t="shared" si="3"/>
        <v>0</v>
      </c>
      <c r="AJ11" s="44">
        <f t="shared" si="3"/>
        <v>0</v>
      </c>
      <c r="AK11" s="44">
        <f t="shared" si="3"/>
        <v>0</v>
      </c>
      <c r="AL11" s="45">
        <f t="shared" si="3"/>
        <v>0</v>
      </c>
      <c r="AM11" s="45">
        <f t="shared" si="3"/>
        <v>0</v>
      </c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</row>
    <row r="12" spans="2:58" ht="15" thickBot="1">
      <c r="B12" s="12" t="s">
        <v>17</v>
      </c>
      <c r="C12" s="15">
        <v>0</v>
      </c>
      <c r="D12" s="138"/>
      <c r="F12" s="108" t="s">
        <v>35</v>
      </c>
      <c r="G12" s="98"/>
      <c r="H12" s="110"/>
      <c r="I12" s="98"/>
      <c r="J12" s="108" t="s">
        <v>30</v>
      </c>
      <c r="K12" s="109"/>
      <c r="L12" s="110"/>
      <c r="O12" s="26" t="s">
        <v>42</v>
      </c>
      <c r="P12" s="3"/>
      <c r="W12" s="5"/>
      <c r="X12" s="5"/>
      <c r="Y12" s="5"/>
      <c r="Z12" s="4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7"/>
      <c r="AM12" s="37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</row>
    <row r="13" spans="2:58" ht="15" thickTop="1">
      <c r="B13" s="12" t="s">
        <v>18</v>
      </c>
      <c r="C13" s="16">
        <f>C14*C12*C11</f>
        <v>0</v>
      </c>
      <c r="F13" s="26" t="s">
        <v>141</v>
      </c>
      <c r="G13" s="160">
        <f>a!O8</f>
        <v>0.95</v>
      </c>
      <c r="H13" s="24">
        <f>($L$25-$H$15-H16)*G13</f>
        <v>7486237.5</v>
      </c>
      <c r="I13" s="2"/>
      <c r="J13" s="26" t="s">
        <v>31</v>
      </c>
      <c r="K13" s="53"/>
      <c r="L13" s="114">
        <f>7000000*1.5</f>
        <v>10500000</v>
      </c>
      <c r="M13" s="21">
        <f>L13/C11</f>
        <v>583.33333333333337</v>
      </c>
      <c r="O13" s="31" t="s">
        <v>43</v>
      </c>
      <c r="P13" s="32">
        <v>2.5000000000000001E-2</v>
      </c>
      <c r="W13" s="5"/>
      <c r="X13" s="5"/>
      <c r="Y13" s="5"/>
      <c r="Z13" s="35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7"/>
      <c r="AM13" s="37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</row>
    <row r="14" spans="2:58">
      <c r="B14" s="13" t="s">
        <v>19</v>
      </c>
      <c r="C14" s="16">
        <v>0</v>
      </c>
      <c r="F14" s="26" t="s">
        <v>36</v>
      </c>
      <c r="G14" s="160">
        <f>a!O9</f>
        <v>5.0000000000000044E-2</v>
      </c>
      <c r="H14" s="24">
        <f>($L$25-$H$15-H16)*G14</f>
        <v>394012.50000000035</v>
      </c>
      <c r="I14" s="2"/>
      <c r="J14" s="26" t="s">
        <v>40</v>
      </c>
      <c r="K14" s="52"/>
      <c r="L14" s="115">
        <f>C18*C11</f>
        <v>6300000</v>
      </c>
      <c r="O14" s="31" t="s">
        <v>44</v>
      </c>
      <c r="P14" s="32">
        <v>5.0000000000000001E-3</v>
      </c>
      <c r="W14" s="5"/>
      <c r="X14" s="5"/>
      <c r="Y14" s="5"/>
      <c r="Z14" s="35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7"/>
      <c r="AM14" s="37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</row>
    <row r="15" spans="2:58">
      <c r="B15" s="12" t="s">
        <v>20</v>
      </c>
      <c r="C15" s="17">
        <v>0</v>
      </c>
      <c r="F15" s="26" t="s">
        <v>42</v>
      </c>
      <c r="G15" s="218">
        <v>0.55000000000000004</v>
      </c>
      <c r="H15" s="24">
        <f>G15*L13</f>
        <v>5775000.0000000009</v>
      </c>
      <c r="I15" s="2"/>
      <c r="J15" s="26" t="s">
        <v>32</v>
      </c>
      <c r="K15" s="54">
        <v>2.5000000000000001E-2</v>
      </c>
      <c r="L15" s="116">
        <f>L13*K15</f>
        <v>262500</v>
      </c>
      <c r="O15" s="31" t="s">
        <v>45</v>
      </c>
      <c r="P15" s="33">
        <v>5</v>
      </c>
      <c r="W15" s="5"/>
      <c r="X15" s="5"/>
      <c r="Y15" s="5"/>
      <c r="Z15" s="4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7"/>
      <c r="AM15" s="37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</row>
    <row r="16" spans="2:58">
      <c r="B16" s="12" t="s">
        <v>21</v>
      </c>
      <c r="C16" s="16">
        <v>75</v>
      </c>
      <c r="F16" s="26" t="s">
        <v>41</v>
      </c>
      <c r="G16" s="6">
        <f>C20</f>
        <v>0.55000000000000004</v>
      </c>
      <c r="H16" s="24">
        <f>L14*G16</f>
        <v>3465000.0000000005</v>
      </c>
      <c r="I16" s="2"/>
      <c r="J16" s="26" t="s">
        <v>33</v>
      </c>
      <c r="K16" s="54">
        <v>0.01</v>
      </c>
      <c r="L16" s="116">
        <f>K16*H15</f>
        <v>57750.000000000007</v>
      </c>
      <c r="O16" s="31"/>
      <c r="P16" s="34"/>
      <c r="W16" s="5"/>
      <c r="X16" s="5"/>
      <c r="Y16" s="5"/>
      <c r="Z16" s="35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7"/>
      <c r="AM16" s="37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</row>
    <row r="17" spans="1:58">
      <c r="B17" s="12" t="s">
        <v>97</v>
      </c>
      <c r="C17" s="18">
        <v>0.01</v>
      </c>
      <c r="F17" s="30"/>
      <c r="G17" s="28"/>
      <c r="H17" s="29"/>
      <c r="I17" s="20"/>
      <c r="J17" s="30" t="s">
        <v>3</v>
      </c>
      <c r="K17" s="55"/>
      <c r="L17" s="159">
        <f>a!E14</f>
        <v>0</v>
      </c>
      <c r="M17" s="21"/>
      <c r="O17" s="26" t="s">
        <v>24</v>
      </c>
      <c r="P17" s="34"/>
      <c r="W17" s="5"/>
      <c r="X17" s="5"/>
      <c r="Y17" s="5"/>
      <c r="Z17" s="35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7"/>
      <c r="AM17" s="37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</row>
    <row r="18" spans="1:58">
      <c r="B18" s="12" t="s">
        <v>22</v>
      </c>
      <c r="C18" s="16">
        <v>350</v>
      </c>
      <c r="F18" s="4"/>
      <c r="G18" s="2"/>
      <c r="H18" s="2"/>
      <c r="I18" s="156"/>
      <c r="J18" s="36"/>
      <c r="K18" s="102"/>
      <c r="L18" s="24"/>
      <c r="O18" s="31" t="s">
        <v>43</v>
      </c>
      <c r="P18" s="32">
        <v>2.5000000000000001E-2</v>
      </c>
      <c r="W18" s="5"/>
      <c r="X18" s="5"/>
      <c r="Y18" s="5"/>
      <c r="Z18" s="46" t="s">
        <v>53</v>
      </c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8"/>
      <c r="AM18" s="48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</row>
    <row r="19" spans="1:58">
      <c r="B19" s="13" t="s">
        <v>23</v>
      </c>
      <c r="C19" s="17">
        <v>6</v>
      </c>
      <c r="F19" s="4"/>
      <c r="G19" s="2"/>
      <c r="H19" s="2"/>
      <c r="I19" s="59"/>
      <c r="J19" s="2"/>
      <c r="K19" s="2"/>
      <c r="L19" s="3"/>
      <c r="O19" s="31" t="s">
        <v>44</v>
      </c>
      <c r="P19" s="32">
        <v>0</v>
      </c>
      <c r="W19" s="5"/>
      <c r="X19" s="5"/>
      <c r="Y19" s="5"/>
      <c r="Z19" s="35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7"/>
      <c r="AM19" s="37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</row>
    <row r="20" spans="1:58">
      <c r="B20" s="13" t="s">
        <v>24</v>
      </c>
      <c r="C20" s="18">
        <v>0.55000000000000004</v>
      </c>
      <c r="F20" s="4"/>
      <c r="G20" s="2"/>
      <c r="H20" s="2"/>
      <c r="I20" s="59"/>
      <c r="J20" s="2"/>
      <c r="K20" s="2"/>
      <c r="L20" s="3"/>
      <c r="O20" s="31" t="s">
        <v>45</v>
      </c>
      <c r="P20" s="33">
        <v>5</v>
      </c>
      <c r="W20" s="5"/>
      <c r="X20" s="5"/>
      <c r="Y20" s="5"/>
      <c r="Z20" s="49" t="s">
        <v>46</v>
      </c>
      <c r="AA20" s="38"/>
      <c r="AB20" s="50">
        <f>H16</f>
        <v>3465000.0000000005</v>
      </c>
      <c r="AC20" s="38"/>
      <c r="AD20" s="38"/>
      <c r="AE20" s="38"/>
      <c r="AF20" s="38"/>
      <c r="AG20" s="38"/>
      <c r="AH20" s="38"/>
      <c r="AI20" s="38"/>
      <c r="AJ20" s="38"/>
      <c r="AK20" s="38"/>
      <c r="AL20" s="39"/>
      <c r="AM20" s="39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</row>
    <row r="21" spans="1:58">
      <c r="B21" s="13" t="s">
        <v>25</v>
      </c>
      <c r="C21" s="18">
        <v>0.95</v>
      </c>
      <c r="F21" s="4"/>
      <c r="G21" s="2"/>
      <c r="H21" s="2"/>
      <c r="I21" s="59"/>
      <c r="J21" s="2"/>
      <c r="K21" s="2"/>
      <c r="L21" s="3"/>
      <c r="O21" s="26"/>
      <c r="P21" s="3"/>
      <c r="W21" s="5"/>
      <c r="X21" s="5"/>
      <c r="Y21" s="5"/>
      <c r="Z21" s="35" t="s">
        <v>47</v>
      </c>
      <c r="AA21" s="36"/>
      <c r="AB21" s="36"/>
      <c r="AC21" s="40">
        <f>AB20+AB21-AB23</f>
        <v>3465000.0000000005</v>
      </c>
      <c r="AD21" s="40">
        <f t="shared" ref="AD21:AM21" si="4">AC20+AC21-AC23</f>
        <v>3465000.0000000005</v>
      </c>
      <c r="AE21" s="40">
        <f t="shared" si="4"/>
        <v>3465000.0000000005</v>
      </c>
      <c r="AF21" s="40">
        <f t="shared" si="4"/>
        <v>3465000.0000000005</v>
      </c>
      <c r="AG21" s="40">
        <f t="shared" si="4"/>
        <v>3465000.0000000005</v>
      </c>
      <c r="AH21" s="40">
        <f t="shared" si="4"/>
        <v>0</v>
      </c>
      <c r="AI21" s="40">
        <f t="shared" si="4"/>
        <v>0</v>
      </c>
      <c r="AJ21" s="40">
        <f t="shared" si="4"/>
        <v>0</v>
      </c>
      <c r="AK21" s="40">
        <f t="shared" si="4"/>
        <v>0</v>
      </c>
      <c r="AL21" s="41">
        <f t="shared" si="4"/>
        <v>0</v>
      </c>
      <c r="AM21" s="41">
        <f t="shared" si="4"/>
        <v>0</v>
      </c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</row>
    <row r="22" spans="1:58">
      <c r="B22" s="13" t="s">
        <v>26</v>
      </c>
      <c r="C22" s="18">
        <v>0.01</v>
      </c>
      <c r="F22" s="4"/>
      <c r="G22" s="2"/>
      <c r="H22" s="2"/>
      <c r="I22" s="59"/>
      <c r="J22" s="2"/>
      <c r="K22" s="2"/>
      <c r="L22" s="3"/>
      <c r="O22" s="26"/>
      <c r="P22" s="3"/>
      <c r="W22" s="5"/>
      <c r="X22" s="5"/>
      <c r="Y22" s="5"/>
      <c r="Z22" s="35" t="s">
        <v>48</v>
      </c>
      <c r="AA22" s="36"/>
      <c r="AB22" s="36"/>
      <c r="AC22" s="40">
        <f>$P$18*AC21</f>
        <v>86625.000000000015</v>
      </c>
      <c r="AD22" s="40">
        <f t="shared" ref="AD22:AM22" si="5">$P$18*AD21</f>
        <v>86625.000000000015</v>
      </c>
      <c r="AE22" s="40">
        <f t="shared" si="5"/>
        <v>86625.000000000015</v>
      </c>
      <c r="AF22" s="40">
        <f t="shared" si="5"/>
        <v>86625.000000000015</v>
      </c>
      <c r="AG22" s="40">
        <f t="shared" si="5"/>
        <v>86625.000000000015</v>
      </c>
      <c r="AH22" s="40">
        <f t="shared" si="5"/>
        <v>0</v>
      </c>
      <c r="AI22" s="40">
        <f t="shared" si="5"/>
        <v>0</v>
      </c>
      <c r="AJ22" s="40">
        <f t="shared" si="5"/>
        <v>0</v>
      </c>
      <c r="AK22" s="40">
        <f t="shared" si="5"/>
        <v>0</v>
      </c>
      <c r="AL22" s="41">
        <f t="shared" si="5"/>
        <v>0</v>
      </c>
      <c r="AM22" s="41">
        <f t="shared" si="5"/>
        <v>0</v>
      </c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</row>
    <row r="23" spans="1:58">
      <c r="B23" s="12" t="s">
        <v>95</v>
      </c>
      <c r="C23" s="16">
        <v>110</v>
      </c>
      <c r="F23" s="4"/>
      <c r="G23" s="2"/>
      <c r="H23" s="2"/>
      <c r="I23" s="59"/>
      <c r="J23" s="2"/>
      <c r="K23" s="2"/>
      <c r="L23" s="3"/>
      <c r="O23" s="26"/>
      <c r="P23" s="3"/>
      <c r="W23" s="5"/>
      <c r="X23" s="5"/>
      <c r="Y23" s="5"/>
      <c r="Z23" s="35" t="s">
        <v>49</v>
      </c>
      <c r="AA23" s="36"/>
      <c r="AB23" s="36"/>
      <c r="AC23" s="40">
        <f t="shared" ref="AC23:AM23" si="6">IF($P$20&gt;AC2,AC21*$P$19,IF($P$20=AC2,AC21,0))</f>
        <v>0</v>
      </c>
      <c r="AD23" s="40">
        <f t="shared" si="6"/>
        <v>0</v>
      </c>
      <c r="AE23" s="40">
        <f t="shared" si="6"/>
        <v>0</v>
      </c>
      <c r="AF23" s="40">
        <f t="shared" si="6"/>
        <v>0</v>
      </c>
      <c r="AG23" s="40">
        <f t="shared" si="6"/>
        <v>3465000.0000000005</v>
      </c>
      <c r="AH23" s="40">
        <f t="shared" si="6"/>
        <v>0</v>
      </c>
      <c r="AI23" s="40">
        <f t="shared" si="6"/>
        <v>0</v>
      </c>
      <c r="AJ23" s="40">
        <f t="shared" si="6"/>
        <v>0</v>
      </c>
      <c r="AK23" s="40">
        <f t="shared" si="6"/>
        <v>0</v>
      </c>
      <c r="AL23" s="41">
        <f t="shared" si="6"/>
        <v>0</v>
      </c>
      <c r="AM23" s="41">
        <f t="shared" si="6"/>
        <v>0</v>
      </c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</row>
    <row r="24" spans="1:58" ht="15" thickBot="1">
      <c r="B24" s="12" t="s">
        <v>27</v>
      </c>
      <c r="C24" s="17">
        <v>3</v>
      </c>
      <c r="F24" s="122"/>
      <c r="G24" s="23"/>
      <c r="H24" s="23"/>
      <c r="I24" s="157"/>
      <c r="J24" s="155"/>
      <c r="K24" s="123"/>
      <c r="L24" s="25"/>
      <c r="O24" s="26"/>
      <c r="P24" s="3"/>
      <c r="W24" s="5"/>
      <c r="X24" s="5"/>
      <c r="Y24" s="5"/>
      <c r="Z24" s="42" t="s">
        <v>50</v>
      </c>
      <c r="AA24" s="43"/>
      <c r="AB24" s="43"/>
      <c r="AC24" s="44">
        <f>AC23+AC22</f>
        <v>86625.000000000015</v>
      </c>
      <c r="AD24" s="44">
        <f>AD23+AD22</f>
        <v>86625.000000000015</v>
      </c>
      <c r="AE24" s="44">
        <f t="shared" ref="AE24:AM24" si="7">AE23+AE22</f>
        <v>86625.000000000015</v>
      </c>
      <c r="AF24" s="44">
        <f t="shared" si="7"/>
        <v>86625.000000000015</v>
      </c>
      <c r="AG24" s="44">
        <f t="shared" si="7"/>
        <v>3551625.0000000005</v>
      </c>
      <c r="AH24" s="44">
        <f t="shared" si="7"/>
        <v>0</v>
      </c>
      <c r="AI24" s="44">
        <f t="shared" si="7"/>
        <v>0</v>
      </c>
      <c r="AJ24" s="44">
        <f t="shared" si="7"/>
        <v>0</v>
      </c>
      <c r="AK24" s="44">
        <f t="shared" si="7"/>
        <v>0</v>
      </c>
      <c r="AL24" s="45">
        <f t="shared" si="7"/>
        <v>0</v>
      </c>
      <c r="AM24" s="45">
        <f t="shared" si="7"/>
        <v>0</v>
      </c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</row>
    <row r="25" spans="1:58" ht="16" thickTop="1" thickBot="1">
      <c r="A25" s="5"/>
      <c r="B25" s="12" t="s">
        <v>28</v>
      </c>
      <c r="C25" s="17">
        <v>18</v>
      </c>
      <c r="D25" s="5"/>
      <c r="E25" s="5"/>
      <c r="F25" s="27" t="s">
        <v>37</v>
      </c>
      <c r="G25" s="117"/>
      <c r="H25" s="118">
        <f>SUM(H13:H18)</f>
        <v>17120250</v>
      </c>
      <c r="I25" s="117"/>
      <c r="J25" s="27" t="s">
        <v>34</v>
      </c>
      <c r="K25" s="22"/>
      <c r="L25" s="118">
        <f>SUM(L13:L18)</f>
        <v>17120250</v>
      </c>
      <c r="M25" s="5"/>
      <c r="N25" s="5"/>
      <c r="O25" s="26"/>
      <c r="P25" s="37"/>
      <c r="Q25" s="5"/>
      <c r="R25" s="5"/>
      <c r="S25" s="5"/>
      <c r="T25" s="5"/>
      <c r="U25" s="5"/>
      <c r="V25" s="5"/>
      <c r="W25" s="5"/>
      <c r="X25" s="5"/>
      <c r="Y25" s="5"/>
      <c r="Z25" s="35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7"/>
      <c r="AM25" s="37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</row>
    <row r="26" spans="1:58" ht="15" thickTop="1">
      <c r="A26" s="5"/>
      <c r="B26" s="12" t="s">
        <v>29</v>
      </c>
      <c r="C26" s="15">
        <v>6.7500000000000004E-2</v>
      </c>
      <c r="D26" s="5"/>
      <c r="E26" s="5"/>
      <c r="I26" s="5"/>
      <c r="J26" s="5"/>
      <c r="K26" s="5"/>
      <c r="L26" s="5"/>
      <c r="M26" s="5"/>
      <c r="N26" s="5"/>
      <c r="O26" s="19"/>
      <c r="P26" s="5"/>
      <c r="Q26" s="5"/>
      <c r="R26" s="5"/>
      <c r="S26" s="5"/>
      <c r="T26" s="5"/>
      <c r="U26" s="5"/>
      <c r="V26" s="5"/>
      <c r="W26" s="5"/>
      <c r="X26" s="5"/>
      <c r="Y26" s="5"/>
      <c r="Z26" s="35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7"/>
      <c r="AM26" s="37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</row>
    <row r="27" spans="1:58">
      <c r="A27" s="5"/>
      <c r="B27" s="12" t="s">
        <v>120</v>
      </c>
      <c r="C27" s="167">
        <v>5</v>
      </c>
      <c r="D27" s="5"/>
      <c r="E27" s="5"/>
      <c r="H27" s="212"/>
      <c r="I27" s="5"/>
      <c r="J27" s="5"/>
      <c r="K27" s="5"/>
      <c r="L27" s="5"/>
      <c r="M27" s="5"/>
      <c r="N27" s="5"/>
      <c r="O27" s="19"/>
      <c r="P27" s="5"/>
      <c r="Q27" s="5"/>
      <c r="R27" s="5"/>
      <c r="S27" s="5"/>
      <c r="T27" s="5"/>
      <c r="U27" s="5"/>
      <c r="V27" s="5"/>
      <c r="W27" s="5"/>
      <c r="X27" s="5"/>
      <c r="Y27" s="5"/>
      <c r="Z27" s="35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7"/>
      <c r="AM27" s="37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</row>
    <row r="28" spans="1:58" ht="17.25" customHeight="1">
      <c r="A28" s="5"/>
      <c r="B28" s="12" t="s">
        <v>121</v>
      </c>
      <c r="C28" s="169">
        <f>IF(C27=E35,F36,IF(C27=F35,G36,IF(C27=G35,H36,IF(C27=H35,I36,IF(C27=I35,J36,IF(J35=C27,K36,IF(C27=K35,L36,IF(C27=L35,M36,IF(M35=C27,N36,IF(C27=N35,O36,IF(C27=O35,P36,0)))))))))))</f>
        <v>6</v>
      </c>
      <c r="D28" s="5"/>
      <c r="E28" s="5"/>
      <c r="G28" s="21"/>
      <c r="I28" s="5"/>
      <c r="J28" s="5"/>
      <c r="K28" s="5"/>
      <c r="L28" s="5"/>
      <c r="M28" s="5"/>
      <c r="N28" s="5"/>
      <c r="O28" s="19"/>
      <c r="P28" s="5"/>
      <c r="Q28" s="5"/>
      <c r="R28" s="5"/>
      <c r="S28" s="5"/>
      <c r="T28" s="5"/>
      <c r="U28" s="5"/>
      <c r="V28" s="5"/>
      <c r="W28" s="5"/>
      <c r="X28" s="5"/>
      <c r="Y28" s="5"/>
      <c r="Z28" s="35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7"/>
      <c r="AM28" s="37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</row>
    <row r="29" spans="1:58">
      <c r="A29" s="5"/>
      <c r="B29" s="154" t="s">
        <v>137</v>
      </c>
      <c r="C29" s="168">
        <f>IF(C27=F35,F41,IF(C27=G35,G41,IF(C27=H35,H41,IF(C27=I35,I41,IF(C27=J35,J41,IF(K35=C27,K41,IF(C27=L35,L41,IF(C27=M35,M41,IF(N35=C27,N41,IF(C27=O35,O41,IF(C27=P35,P41,0)))))))))))</f>
        <v>1957376.1428099999</v>
      </c>
      <c r="D29" s="5"/>
      <c r="E29" s="5"/>
      <c r="Q29" s="5"/>
      <c r="R29" s="5"/>
      <c r="S29" s="5"/>
      <c r="T29" s="5"/>
      <c r="U29" s="5"/>
      <c r="V29" s="5"/>
      <c r="W29" s="5"/>
      <c r="X29" s="5"/>
      <c r="Y29" s="5"/>
      <c r="Z29" s="35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7"/>
      <c r="AM29" s="37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</row>
    <row r="30" spans="1:58">
      <c r="A30" s="5"/>
      <c r="D30" s="5"/>
      <c r="E30" s="5"/>
      <c r="F30" s="138"/>
      <c r="G30" s="138"/>
      <c r="H30" s="138"/>
      <c r="I30" s="138"/>
      <c r="J30" s="138"/>
      <c r="K30" s="138"/>
      <c r="L30" s="138"/>
      <c r="M30" s="138"/>
      <c r="N30" s="138"/>
      <c r="O30" s="138"/>
      <c r="P30" s="138"/>
      <c r="Q30" s="138"/>
      <c r="R30" s="5"/>
      <c r="S30" s="5"/>
      <c r="T30" s="5"/>
      <c r="U30" s="5"/>
      <c r="V30" s="5"/>
      <c r="W30" s="5"/>
      <c r="X30" s="5"/>
      <c r="Y30" s="5"/>
      <c r="Z30" s="49" t="s">
        <v>51</v>
      </c>
      <c r="AA30" s="38"/>
      <c r="AB30" s="38"/>
      <c r="AC30" s="50">
        <f>AC9+AC22</f>
        <v>231000.00000000006</v>
      </c>
      <c r="AD30" s="50">
        <f t="shared" ref="AD30:AM31" si="8">AD9+AD22</f>
        <v>230278.12500000006</v>
      </c>
      <c r="AE30" s="50">
        <f t="shared" si="8"/>
        <v>229559.85937500006</v>
      </c>
      <c r="AF30" s="50">
        <f t="shared" si="8"/>
        <v>228845.18507812504</v>
      </c>
      <c r="AG30" s="50">
        <f t="shared" si="8"/>
        <v>228134.08415273443</v>
      </c>
      <c r="AH30" s="50">
        <f t="shared" si="8"/>
        <v>0</v>
      </c>
      <c r="AI30" s="50">
        <f t="shared" si="8"/>
        <v>0</v>
      </c>
      <c r="AJ30" s="50">
        <f t="shared" si="8"/>
        <v>0</v>
      </c>
      <c r="AK30" s="50">
        <f t="shared" si="8"/>
        <v>0</v>
      </c>
      <c r="AL30" s="51">
        <f t="shared" si="8"/>
        <v>0</v>
      </c>
      <c r="AM30" s="51">
        <f t="shared" si="8"/>
        <v>0</v>
      </c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</row>
    <row r="31" spans="1:58">
      <c r="A31" s="5"/>
      <c r="D31" s="5"/>
      <c r="E31" s="5"/>
      <c r="F31" s="5"/>
      <c r="G31" s="5"/>
      <c r="H31" s="5"/>
      <c r="I31" s="5"/>
      <c r="J31" s="13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35" t="s">
        <v>52</v>
      </c>
      <c r="AA31" s="36"/>
      <c r="AB31" s="36"/>
      <c r="AC31" s="40">
        <f>AC10+AC23</f>
        <v>28875.000000000004</v>
      </c>
      <c r="AD31" s="40">
        <f t="shared" si="8"/>
        <v>28730.625000000004</v>
      </c>
      <c r="AE31" s="40">
        <f t="shared" si="8"/>
        <v>28586.971875000007</v>
      </c>
      <c r="AF31" s="40">
        <f t="shared" si="8"/>
        <v>28444.037015625006</v>
      </c>
      <c r="AG31" s="40">
        <f t="shared" si="8"/>
        <v>9125363.3661093768</v>
      </c>
      <c r="AH31" s="40">
        <f t="shared" si="8"/>
        <v>0</v>
      </c>
      <c r="AI31" s="40">
        <f t="shared" si="8"/>
        <v>0</v>
      </c>
      <c r="AJ31" s="40">
        <f t="shared" si="8"/>
        <v>0</v>
      </c>
      <c r="AK31" s="40">
        <f t="shared" si="8"/>
        <v>0</v>
      </c>
      <c r="AL31" s="41">
        <f t="shared" si="8"/>
        <v>0</v>
      </c>
      <c r="AM31" s="41">
        <f t="shared" si="8"/>
        <v>0</v>
      </c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</row>
    <row r="32" spans="1:58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42" t="s">
        <v>50</v>
      </c>
      <c r="AA32" s="43"/>
      <c r="AB32" s="43"/>
      <c r="AC32" s="44">
        <f>AC30+AC31</f>
        <v>259875.00000000006</v>
      </c>
      <c r="AD32" s="44">
        <f t="shared" ref="AD32:AM32" si="9">AD30+AD31</f>
        <v>259008.75000000006</v>
      </c>
      <c r="AE32" s="44">
        <f t="shared" si="9"/>
        <v>258146.83125000008</v>
      </c>
      <c r="AF32" s="44">
        <f t="shared" si="9"/>
        <v>257289.22209375005</v>
      </c>
      <c r="AG32" s="44">
        <f t="shared" si="9"/>
        <v>9353497.4502621107</v>
      </c>
      <c r="AH32" s="44">
        <f t="shared" si="9"/>
        <v>0</v>
      </c>
      <c r="AI32" s="44">
        <f t="shared" si="9"/>
        <v>0</v>
      </c>
      <c r="AJ32" s="44">
        <f t="shared" si="9"/>
        <v>0</v>
      </c>
      <c r="AK32" s="44">
        <f t="shared" si="9"/>
        <v>0</v>
      </c>
      <c r="AL32" s="45">
        <f t="shared" si="9"/>
        <v>0</v>
      </c>
      <c r="AM32" s="45">
        <f t="shared" si="9"/>
        <v>0</v>
      </c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</row>
    <row r="33" spans="1:58">
      <c r="A33" s="5"/>
      <c r="B33" s="81" t="s">
        <v>79</v>
      </c>
      <c r="C33" s="47"/>
      <c r="D33" s="47"/>
      <c r="E33" s="84" t="s">
        <v>98</v>
      </c>
      <c r="F33" s="82">
        <f>C10</f>
        <v>44196</v>
      </c>
      <c r="G33" s="82">
        <f>EDATE(F33,12)</f>
        <v>44561</v>
      </c>
      <c r="H33" s="82">
        <f t="shared" ref="H33:P33" si="10">EDATE(G33,12)</f>
        <v>44926</v>
      </c>
      <c r="I33" s="82">
        <f t="shared" si="10"/>
        <v>45291</v>
      </c>
      <c r="J33" s="82">
        <f t="shared" si="10"/>
        <v>45657</v>
      </c>
      <c r="K33" s="82">
        <f t="shared" si="10"/>
        <v>46022</v>
      </c>
      <c r="L33" s="82">
        <f t="shared" si="10"/>
        <v>46387</v>
      </c>
      <c r="M33" s="82">
        <f t="shared" si="10"/>
        <v>46752</v>
      </c>
      <c r="N33" s="82">
        <f t="shared" si="10"/>
        <v>47118</v>
      </c>
      <c r="O33" s="82">
        <f t="shared" si="10"/>
        <v>47483</v>
      </c>
      <c r="P33" s="83">
        <f t="shared" si="10"/>
        <v>47848</v>
      </c>
      <c r="Q33" s="83" t="s">
        <v>80</v>
      </c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</row>
    <row r="34" spans="1:58" outlineLevel="1">
      <c r="A34" s="5"/>
      <c r="B34" s="81"/>
      <c r="C34" s="47"/>
      <c r="D34" s="47"/>
      <c r="E34" s="147">
        <f>F33</f>
        <v>44196</v>
      </c>
      <c r="F34" s="82">
        <f t="shared" ref="F34:P34" si="11">EDATE(F33,12)-1</f>
        <v>44560</v>
      </c>
      <c r="G34" s="82">
        <f t="shared" si="11"/>
        <v>44925</v>
      </c>
      <c r="H34" s="82">
        <f t="shared" si="11"/>
        <v>45290</v>
      </c>
      <c r="I34" s="82">
        <f t="shared" si="11"/>
        <v>45656</v>
      </c>
      <c r="J34" s="82">
        <f t="shared" si="11"/>
        <v>46021</v>
      </c>
      <c r="K34" s="82">
        <f t="shared" si="11"/>
        <v>46386</v>
      </c>
      <c r="L34" s="82">
        <f t="shared" si="11"/>
        <v>46751</v>
      </c>
      <c r="M34" s="82">
        <f t="shared" si="11"/>
        <v>47117</v>
      </c>
      <c r="N34" s="82">
        <f t="shared" si="11"/>
        <v>47482</v>
      </c>
      <c r="O34" s="82">
        <f t="shared" si="11"/>
        <v>47847</v>
      </c>
      <c r="P34" s="83">
        <f t="shared" si="11"/>
        <v>48212</v>
      </c>
      <c r="Q34" s="83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</row>
    <row r="35" spans="1:58">
      <c r="A35" s="5"/>
      <c r="B35" s="81" t="s">
        <v>83</v>
      </c>
      <c r="C35" s="47"/>
      <c r="D35" s="47"/>
      <c r="E35" s="88">
        <v>0</v>
      </c>
      <c r="F35" s="142">
        <v>1</v>
      </c>
      <c r="G35" s="85">
        <v>2</v>
      </c>
      <c r="H35" s="85">
        <v>3</v>
      </c>
      <c r="I35" s="85">
        <v>4</v>
      </c>
      <c r="J35" s="85">
        <v>5</v>
      </c>
      <c r="K35" s="85">
        <v>6</v>
      </c>
      <c r="L35" s="85">
        <v>7</v>
      </c>
      <c r="M35" s="85">
        <v>8</v>
      </c>
      <c r="N35" s="85">
        <v>9</v>
      </c>
      <c r="O35" s="85">
        <v>10</v>
      </c>
      <c r="P35" s="85">
        <v>11</v>
      </c>
      <c r="Q35" s="84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</row>
    <row r="36" spans="1:58">
      <c r="A36" s="5"/>
      <c r="B36" s="35" t="s">
        <v>84</v>
      </c>
      <c r="C36" s="36"/>
      <c r="D36" s="36"/>
      <c r="E36" s="61">
        <v>1</v>
      </c>
      <c r="F36" s="144">
        <v>1</v>
      </c>
      <c r="G36" s="145">
        <v>2</v>
      </c>
      <c r="H36" s="145">
        <v>3</v>
      </c>
      <c r="I36" s="145">
        <v>4</v>
      </c>
      <c r="J36" s="145">
        <v>5</v>
      </c>
      <c r="K36" s="145">
        <v>6</v>
      </c>
      <c r="L36" s="145">
        <v>7</v>
      </c>
      <c r="M36" s="145">
        <v>8</v>
      </c>
      <c r="N36" s="145">
        <v>9</v>
      </c>
      <c r="O36" s="145">
        <v>10</v>
      </c>
      <c r="P36" s="145">
        <v>11</v>
      </c>
      <c r="Q36" s="59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</row>
    <row r="37" spans="1:58">
      <c r="A37" s="5"/>
      <c r="B37" s="81" t="s">
        <v>73</v>
      </c>
      <c r="C37" s="47"/>
      <c r="D37" s="47"/>
      <c r="E37" s="88"/>
      <c r="F37" s="146">
        <f>IF(F38&lt;&gt;0,$C$12*(F38/$C$13),IF(F39&lt;&gt;0,F39/(($C$23*(((1+$C$22)^E35)))*$C$11),0))</f>
        <v>0.23684931506849316</v>
      </c>
      <c r="G37" s="101">
        <f t="shared" ref="G37:P37" si="12">IF(G38&lt;&gt;0,$C$12*(G38/$C$13),IF(G39&lt;&gt;0,G39/(($C$23*(((1+$C$22)^F35)))*$C$11),0))</f>
        <v>0.95</v>
      </c>
      <c r="H37" s="101">
        <f t="shared" si="12"/>
        <v>0.95</v>
      </c>
      <c r="I37" s="101">
        <f t="shared" si="12"/>
        <v>0.95</v>
      </c>
      <c r="J37" s="101">
        <f t="shared" si="12"/>
        <v>0.95</v>
      </c>
      <c r="K37" s="101">
        <f t="shared" si="12"/>
        <v>0.95</v>
      </c>
      <c r="L37" s="101">
        <f t="shared" si="12"/>
        <v>0.95</v>
      </c>
      <c r="M37" s="101">
        <f t="shared" si="12"/>
        <v>0.95</v>
      </c>
      <c r="N37" s="101">
        <f t="shared" si="12"/>
        <v>0.95</v>
      </c>
      <c r="O37" s="101">
        <f t="shared" si="12"/>
        <v>0.95</v>
      </c>
      <c r="P37" s="166">
        <f t="shared" si="12"/>
        <v>0.95</v>
      </c>
      <c r="Q37" s="151"/>
      <c r="R37" s="5"/>
      <c r="S37" s="5"/>
      <c r="T37" s="5"/>
      <c r="U37" s="5"/>
      <c r="V37" s="5"/>
      <c r="W37" s="5"/>
      <c r="X37" s="5"/>
      <c r="Y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</row>
    <row r="38" spans="1:58" hidden="1" outlineLevel="1">
      <c r="A38" s="5"/>
      <c r="B38" s="35"/>
      <c r="C38" s="75" t="s">
        <v>72</v>
      </c>
      <c r="D38" s="36"/>
      <c r="E38" s="61"/>
      <c r="F38" s="143">
        <f t="shared" ref="F38:P38" si="13">IF($C$1&gt;F$34,$C$11*$C$12*($C$14*(((1+$C$22)^E35))),IF(AND(F$33&lt;=$C$1,$C$1&lt;=F$34),($C$11*$C$12*($C$14*(((1+$C$22)^E35))))*($C$1-F33)/365,0))</f>
        <v>0</v>
      </c>
      <c r="G38" s="76">
        <f t="shared" si="13"/>
        <v>0</v>
      </c>
      <c r="H38" s="76">
        <f t="shared" si="13"/>
        <v>0</v>
      </c>
      <c r="I38" s="76">
        <f t="shared" si="13"/>
        <v>0</v>
      </c>
      <c r="J38" s="76">
        <f t="shared" si="13"/>
        <v>0</v>
      </c>
      <c r="K38" s="76">
        <f t="shared" si="13"/>
        <v>0</v>
      </c>
      <c r="L38" s="76">
        <f t="shared" si="13"/>
        <v>0</v>
      </c>
      <c r="M38" s="76">
        <f t="shared" si="13"/>
        <v>0</v>
      </c>
      <c r="N38" s="76">
        <f t="shared" si="13"/>
        <v>0</v>
      </c>
      <c r="O38" s="76">
        <f t="shared" si="13"/>
        <v>0</v>
      </c>
      <c r="P38" s="76">
        <f t="shared" si="13"/>
        <v>0</v>
      </c>
      <c r="Q38" s="59"/>
      <c r="R38" s="5"/>
      <c r="S38" s="5"/>
      <c r="T38" s="5"/>
      <c r="U38" s="5"/>
      <c r="V38" s="5"/>
      <c r="W38" s="5"/>
      <c r="X38" s="5"/>
      <c r="Y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</row>
    <row r="39" spans="1:58" s="57" customFormat="1" hidden="1" outlineLevel="1">
      <c r="A39" s="56"/>
      <c r="B39" s="74"/>
      <c r="C39" s="75" t="s">
        <v>71</v>
      </c>
      <c r="D39" s="75"/>
      <c r="E39" s="148"/>
      <c r="F39" s="143">
        <f t="shared" ref="F39:P39" si="14">IF($C$2&lt;F$33,($C$23*(((1+$C$22)^E35)))*$C$11*$C$21,IF(AND(F$33&lt;=$C$2,$C$2&lt;=F$34),(($C$23*(((1+$C$22)^E35)))*$C$11*$C$21)*((F$34-$C$2)/365),0))</f>
        <v>468961.64383561647</v>
      </c>
      <c r="G39" s="76">
        <f t="shared" si="14"/>
        <v>1899810</v>
      </c>
      <c r="H39" s="76">
        <f t="shared" si="14"/>
        <v>1918808.0999999999</v>
      </c>
      <c r="I39" s="76">
        <f t="shared" si="14"/>
        <v>1937996.1809999996</v>
      </c>
      <c r="J39" s="76">
        <f t="shared" si="14"/>
        <v>1957376.1428099999</v>
      </c>
      <c r="K39" s="76">
        <f t="shared" si="14"/>
        <v>1976949.9042380997</v>
      </c>
      <c r="L39" s="76">
        <f t="shared" si="14"/>
        <v>1996719.403280481</v>
      </c>
      <c r="M39" s="76">
        <f t="shared" si="14"/>
        <v>2016686.5973132851</v>
      </c>
      <c r="N39" s="76">
        <f t="shared" si="14"/>
        <v>2036853.4632864189</v>
      </c>
      <c r="O39" s="76">
        <f t="shared" si="14"/>
        <v>2057221.9979192829</v>
      </c>
      <c r="P39" s="76">
        <f t="shared" si="14"/>
        <v>2077794.2178984762</v>
      </c>
      <c r="Q39" s="60"/>
      <c r="R39" s="56"/>
      <c r="S39" s="56"/>
      <c r="T39" s="56"/>
      <c r="U39" s="56"/>
      <c r="V39" s="56"/>
      <c r="W39" s="56"/>
      <c r="X39" s="56"/>
      <c r="Y39" s="56"/>
      <c r="AB39" s="56"/>
      <c r="AC39" s="56"/>
      <c r="AD39" s="56"/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6"/>
      <c r="BC39" s="56"/>
      <c r="BD39" s="56"/>
      <c r="BE39" s="56"/>
      <c r="BF39" s="56"/>
    </row>
    <row r="40" spans="1:58" s="57" customFormat="1" collapsed="1">
      <c r="A40" s="56"/>
      <c r="B40" s="140"/>
      <c r="C40" s="75"/>
      <c r="D40" s="75"/>
      <c r="E40" s="148"/>
      <c r="F40" s="149"/>
      <c r="G40" s="150"/>
      <c r="H40" s="150"/>
      <c r="I40" s="150"/>
      <c r="J40" s="150"/>
      <c r="K40" s="150"/>
      <c r="L40" s="150"/>
      <c r="M40" s="150"/>
      <c r="N40" s="150"/>
      <c r="O40" s="150"/>
      <c r="P40" s="150"/>
      <c r="Q40" s="152"/>
      <c r="R40" s="56"/>
      <c r="S40" s="56"/>
      <c r="T40" s="56"/>
      <c r="U40" s="56"/>
      <c r="V40" s="56"/>
      <c r="W40" s="56"/>
      <c r="X40" s="56"/>
      <c r="Y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  <c r="AY40" s="56"/>
      <c r="AZ40" s="56"/>
      <c r="BA40" s="56"/>
      <c r="BB40" s="56"/>
      <c r="BC40" s="56"/>
      <c r="BD40" s="56"/>
      <c r="BE40" s="56"/>
      <c r="BF40" s="56"/>
    </row>
    <row r="41" spans="1:58">
      <c r="A41" s="5"/>
      <c r="B41" s="86" t="s">
        <v>54</v>
      </c>
      <c r="C41" s="47"/>
      <c r="D41" s="47"/>
      <c r="E41" s="88"/>
      <c r="F41" s="87">
        <f>SUM(F38:F39)</f>
        <v>468961.64383561647</v>
      </c>
      <c r="G41" s="87">
        <f t="shared" ref="G41:P41" si="15">SUM(G38:G39)</f>
        <v>1899810</v>
      </c>
      <c r="H41" s="87">
        <f t="shared" si="15"/>
        <v>1918808.0999999999</v>
      </c>
      <c r="I41" s="87">
        <f t="shared" si="15"/>
        <v>1937996.1809999996</v>
      </c>
      <c r="J41" s="87">
        <f t="shared" si="15"/>
        <v>1957376.1428099999</v>
      </c>
      <c r="K41" s="87">
        <f t="shared" si="15"/>
        <v>1976949.9042380997</v>
      </c>
      <c r="L41" s="87">
        <f t="shared" si="15"/>
        <v>1996719.403280481</v>
      </c>
      <c r="M41" s="87">
        <f t="shared" si="15"/>
        <v>2016686.5973132851</v>
      </c>
      <c r="N41" s="87">
        <f t="shared" si="15"/>
        <v>2036853.4632864189</v>
      </c>
      <c r="O41" s="87">
        <f t="shared" si="15"/>
        <v>2057221.9979192829</v>
      </c>
      <c r="P41" s="87">
        <f t="shared" si="15"/>
        <v>2077794.2178984762</v>
      </c>
      <c r="Q41" s="153">
        <f>SUM(G41:P41)</f>
        <v>19876216.007746045</v>
      </c>
      <c r="R41" s="5"/>
      <c r="S41" s="5"/>
      <c r="T41" s="5"/>
      <c r="U41" s="5"/>
      <c r="V41" s="5"/>
      <c r="W41" s="5"/>
      <c r="X41" s="5"/>
      <c r="Y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</row>
    <row r="42" spans="1:58" hidden="1" outlineLevel="1">
      <c r="A42" s="5"/>
      <c r="B42" s="35" t="s">
        <v>102</v>
      </c>
      <c r="C42" s="36"/>
      <c r="D42" s="36"/>
      <c r="E42" s="61"/>
      <c r="F42" s="77">
        <f>IF(AND(F33&lt;=$C$2,$C$2&lt;=F34),-F41*$C$25/12,0)</f>
        <v>-703442.4657534248</v>
      </c>
      <c r="G42" s="77">
        <f t="shared" ref="G42:P42" si="16">IF(AND(G33&lt;=$C$2,$C$2&lt;=G34),-H41*$C$25/12,0)</f>
        <v>0</v>
      </c>
      <c r="H42" s="77">
        <f t="shared" si="16"/>
        <v>0</v>
      </c>
      <c r="I42" s="77">
        <f t="shared" si="16"/>
        <v>0</v>
      </c>
      <c r="J42" s="77">
        <f t="shared" si="16"/>
        <v>0</v>
      </c>
      <c r="K42" s="77">
        <f t="shared" si="16"/>
        <v>0</v>
      </c>
      <c r="L42" s="77">
        <f t="shared" si="16"/>
        <v>0</v>
      </c>
      <c r="M42" s="77">
        <f t="shared" si="16"/>
        <v>0</v>
      </c>
      <c r="N42" s="77">
        <f t="shared" si="16"/>
        <v>0</v>
      </c>
      <c r="O42" s="77">
        <f t="shared" si="16"/>
        <v>0</v>
      </c>
      <c r="P42" s="77">
        <f t="shared" si="16"/>
        <v>0</v>
      </c>
      <c r="Q42" s="121"/>
      <c r="R42" s="5"/>
      <c r="S42" s="5"/>
      <c r="T42" s="5"/>
      <c r="U42" s="5"/>
      <c r="V42" s="5"/>
      <c r="W42" s="5"/>
      <c r="X42" s="5"/>
      <c r="Y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</row>
    <row r="43" spans="1:58" hidden="1" outlineLevel="1">
      <c r="A43" s="5"/>
      <c r="B43" s="35"/>
      <c r="C43" s="36" t="s">
        <v>103</v>
      </c>
      <c r="D43" s="36"/>
      <c r="E43" s="61"/>
      <c r="F43" s="77">
        <f t="shared" ref="F43" si="17">IF(-F42&lt;=F41,F42,IF(-F42&gt;F41,-F41,0))</f>
        <v>-468961.64383561647</v>
      </c>
      <c r="G43" s="77">
        <f t="shared" ref="G43" si="18">IF(-G42&lt;=G41,G42,IF(-G42&gt;G41,-G41,0))</f>
        <v>0</v>
      </c>
      <c r="H43" s="77">
        <f t="shared" ref="H43" si="19">IF(-H42&lt;=H41,H42,IF(-H42&gt;H41,-H41,0))</f>
        <v>0</v>
      </c>
      <c r="I43" s="77">
        <f t="shared" ref="I43" si="20">IF(-I42&lt;=I41,I42,IF(-I42&gt;I41,-I41,0))</f>
        <v>0</v>
      </c>
      <c r="J43" s="77">
        <f t="shared" ref="J43" si="21">IF(-J42&lt;=J41,J42,IF(-J42&gt;J41,-J41,0))</f>
        <v>0</v>
      </c>
      <c r="K43" s="77">
        <f t="shared" ref="K43" si="22">IF(-K42&lt;=K41,K42,IF(-K42&gt;K41,-K41,0))</f>
        <v>0</v>
      </c>
      <c r="L43" s="77">
        <f t="shared" ref="L43" si="23">IF(-L42&lt;=L41,L42,IF(-L42&gt;L41,-L41,0))</f>
        <v>0</v>
      </c>
      <c r="M43" s="77">
        <f t="shared" ref="M43" si="24">IF(-M42&lt;=M41,M42,IF(-M42&gt;M41,-M41,0))</f>
        <v>0</v>
      </c>
      <c r="N43" s="77">
        <f t="shared" ref="N43" si="25">IF(-N42&lt;=N41,N42,IF(-N42&gt;N41,-N41,0))</f>
        <v>0</v>
      </c>
      <c r="O43" s="77">
        <f t="shared" ref="O43" si="26">IF(-O42&lt;=O41,O42,IF(-O42&gt;O41,-O41,0))</f>
        <v>0</v>
      </c>
      <c r="P43" s="77">
        <f t="shared" ref="P43" si="27">IF(-P42&lt;=P41,P42,IF(-P42&gt;P41,-P41,0))</f>
        <v>0</v>
      </c>
      <c r="Q43" s="121"/>
      <c r="R43" s="5"/>
      <c r="S43" s="5"/>
      <c r="T43" s="5"/>
      <c r="U43" s="5"/>
      <c r="V43" s="5"/>
      <c r="W43" s="5"/>
      <c r="X43" s="5"/>
      <c r="Y43" s="5"/>
      <c r="Z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</row>
    <row r="44" spans="1:58" hidden="1" outlineLevel="1">
      <c r="A44" s="5"/>
      <c r="B44" s="35"/>
      <c r="C44" s="36" t="s">
        <v>104</v>
      </c>
      <c r="D44" s="36"/>
      <c r="E44" s="61"/>
      <c r="F44" s="77">
        <f t="shared" ref="F44:P44" si="28">IF((-E42+E43)&lt;F41,E42-E43,IF((-E42+E43)&gt;=F41,-F41))</f>
        <v>0</v>
      </c>
      <c r="G44" s="77">
        <f t="shared" si="28"/>
        <v>-234480.82191780832</v>
      </c>
      <c r="H44" s="77">
        <f t="shared" si="28"/>
        <v>0</v>
      </c>
      <c r="I44" s="77">
        <f t="shared" si="28"/>
        <v>0</v>
      </c>
      <c r="J44" s="77">
        <f t="shared" si="28"/>
        <v>0</v>
      </c>
      <c r="K44" s="77">
        <f t="shared" si="28"/>
        <v>0</v>
      </c>
      <c r="L44" s="77">
        <f t="shared" si="28"/>
        <v>0</v>
      </c>
      <c r="M44" s="77">
        <f t="shared" si="28"/>
        <v>0</v>
      </c>
      <c r="N44" s="77">
        <f t="shared" si="28"/>
        <v>0</v>
      </c>
      <c r="O44" s="77">
        <f t="shared" si="28"/>
        <v>0</v>
      </c>
      <c r="P44" s="77">
        <f t="shared" si="28"/>
        <v>0</v>
      </c>
      <c r="Q44" s="121"/>
      <c r="R44" s="5"/>
      <c r="S44" s="5"/>
      <c r="T44" s="5"/>
      <c r="U44" s="5"/>
      <c r="V44" s="5"/>
      <c r="W44" s="5"/>
      <c r="X44" s="5"/>
      <c r="Y44" s="5"/>
      <c r="Z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</row>
    <row r="45" spans="1:58" hidden="1" outlineLevel="1">
      <c r="A45" s="5"/>
      <c r="B45" s="35"/>
      <c r="C45" s="36" t="s">
        <v>105</v>
      </c>
      <c r="D45" s="36"/>
      <c r="E45" s="61"/>
      <c r="F45" s="77">
        <f t="shared" ref="F45:I45" si="29">-(-D42+D43+E44)</f>
        <v>0</v>
      </c>
      <c r="G45" s="77">
        <f t="shared" si="29"/>
        <v>0</v>
      </c>
      <c r="H45" s="77">
        <f t="shared" si="29"/>
        <v>0</v>
      </c>
      <c r="I45" s="77">
        <f t="shared" si="29"/>
        <v>0</v>
      </c>
      <c r="J45" s="77">
        <f>-(-H42+H43+I44)</f>
        <v>0</v>
      </c>
      <c r="K45" s="77">
        <f t="shared" ref="K45:P45" si="30">-(-I42+I43+J44)</f>
        <v>0</v>
      </c>
      <c r="L45" s="77">
        <f t="shared" si="30"/>
        <v>0</v>
      </c>
      <c r="M45" s="77">
        <f t="shared" si="30"/>
        <v>0</v>
      </c>
      <c r="N45" s="77">
        <f t="shared" si="30"/>
        <v>0</v>
      </c>
      <c r="O45" s="77">
        <f t="shared" si="30"/>
        <v>0</v>
      </c>
      <c r="P45" s="77">
        <f t="shared" si="30"/>
        <v>0</v>
      </c>
      <c r="Q45" s="121"/>
      <c r="R45" s="5"/>
      <c r="S45" s="5"/>
      <c r="T45" s="5"/>
      <c r="U45" s="5"/>
      <c r="V45" s="5"/>
      <c r="W45" s="5"/>
      <c r="X45" s="5"/>
      <c r="Y45" s="5"/>
      <c r="Z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</row>
    <row r="46" spans="1:58" collapsed="1">
      <c r="A46" s="5"/>
      <c r="B46" s="35" t="s">
        <v>101</v>
      </c>
      <c r="C46" s="36"/>
      <c r="D46" s="36"/>
      <c r="E46" s="61"/>
      <c r="F46" s="77">
        <f>SUM(F43+F44+F45)</f>
        <v>-468961.64383561647</v>
      </c>
      <c r="G46" s="77">
        <f t="shared" ref="G46:P46" si="31">SUM(G43+G44+G45)</f>
        <v>-234480.82191780832</v>
      </c>
      <c r="H46" s="77">
        <f t="shared" si="31"/>
        <v>0</v>
      </c>
      <c r="I46" s="77">
        <f t="shared" si="31"/>
        <v>0</v>
      </c>
      <c r="J46" s="77">
        <f t="shared" si="31"/>
        <v>0</v>
      </c>
      <c r="K46" s="77">
        <f t="shared" si="31"/>
        <v>0</v>
      </c>
      <c r="L46" s="77">
        <f t="shared" si="31"/>
        <v>0</v>
      </c>
      <c r="M46" s="77">
        <f t="shared" si="31"/>
        <v>0</v>
      </c>
      <c r="N46" s="77">
        <f t="shared" si="31"/>
        <v>0</v>
      </c>
      <c r="O46" s="77">
        <f t="shared" si="31"/>
        <v>0</v>
      </c>
      <c r="P46" s="77">
        <f t="shared" si="31"/>
        <v>0</v>
      </c>
      <c r="Q46" s="121"/>
      <c r="R46" s="5"/>
      <c r="S46" s="5"/>
      <c r="T46" s="5"/>
      <c r="U46" s="5"/>
      <c r="V46" s="5"/>
      <c r="W46" s="5"/>
      <c r="X46" s="5"/>
      <c r="Y46" s="5"/>
      <c r="Z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</row>
    <row r="47" spans="1:58">
      <c r="A47" s="5"/>
      <c r="B47" s="35" t="s">
        <v>55</v>
      </c>
      <c r="C47" s="36"/>
      <c r="D47" s="36"/>
      <c r="E47" s="61"/>
      <c r="F47" s="77">
        <f t="shared" ref="F47:P47" si="32">-(1-F37)*($C$16*(((1+$C$22)^E35)))*$C$11</f>
        <v>-1030253.4246575342</v>
      </c>
      <c r="G47" s="77">
        <f t="shared" si="32"/>
        <v>-68175.000000000058</v>
      </c>
      <c r="H47" s="77">
        <f t="shared" si="32"/>
        <v>-68856.750000000073</v>
      </c>
      <c r="I47" s="77">
        <f t="shared" si="32"/>
        <v>-69545.317500000048</v>
      </c>
      <c r="J47" s="77">
        <f t="shared" si="32"/>
        <v>-70240.770675000065</v>
      </c>
      <c r="K47" s="77">
        <f t="shared" si="32"/>
        <v>-70943.178381750055</v>
      </c>
      <c r="L47" s="77">
        <f t="shared" si="32"/>
        <v>-71652.610165567588</v>
      </c>
      <c r="M47" s="77">
        <f t="shared" si="32"/>
        <v>-72369.136267223235</v>
      </c>
      <c r="N47" s="77">
        <f t="shared" si="32"/>
        <v>-73092.827629895473</v>
      </c>
      <c r="O47" s="77">
        <f t="shared" si="32"/>
        <v>-73823.755906194448</v>
      </c>
      <c r="P47" s="77">
        <f t="shared" si="32"/>
        <v>-74561.993465256382</v>
      </c>
      <c r="Q47" s="121">
        <f>SUM(G47:P47)</f>
        <v>-713261.33999088756</v>
      </c>
      <c r="R47" s="5"/>
      <c r="S47" s="5"/>
      <c r="T47" s="5"/>
      <c r="U47" s="5"/>
      <c r="V47" s="5"/>
      <c r="W47" s="5"/>
      <c r="X47" s="5"/>
      <c r="Y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</row>
    <row r="48" spans="1:58">
      <c r="A48" s="5"/>
      <c r="B48" s="35"/>
      <c r="C48" s="36"/>
      <c r="D48" s="36"/>
      <c r="E48" s="61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121"/>
      <c r="R48" s="5"/>
      <c r="S48" s="5"/>
      <c r="T48" s="5"/>
      <c r="U48" s="5"/>
      <c r="V48" s="5"/>
      <c r="W48" s="5"/>
      <c r="X48" s="5"/>
      <c r="Y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</row>
    <row r="49" spans="1:58">
      <c r="A49" s="5"/>
      <c r="B49" s="81" t="s">
        <v>56</v>
      </c>
      <c r="C49" s="47"/>
      <c r="D49" s="47"/>
      <c r="E49" s="88"/>
      <c r="F49" s="89">
        <f>F41+F46+F47</f>
        <v>-1030253.4246575342</v>
      </c>
      <c r="G49" s="89">
        <f>G41+G46+G47</f>
        <v>1597154.1780821916</v>
      </c>
      <c r="H49" s="89">
        <f t="shared" ref="H49:P49" si="33">H41+H46+H47</f>
        <v>1849951.3499999999</v>
      </c>
      <c r="I49" s="89">
        <f t="shared" si="33"/>
        <v>1868450.8634999995</v>
      </c>
      <c r="J49" s="89">
        <f t="shared" si="33"/>
        <v>1887135.3721349998</v>
      </c>
      <c r="K49" s="89">
        <f t="shared" si="33"/>
        <v>1906006.7258563496</v>
      </c>
      <c r="L49" s="89">
        <f t="shared" si="33"/>
        <v>1925066.7931149134</v>
      </c>
      <c r="M49" s="89">
        <f t="shared" si="33"/>
        <v>1944317.4610460619</v>
      </c>
      <c r="N49" s="89">
        <f t="shared" si="33"/>
        <v>1963760.6356565235</v>
      </c>
      <c r="O49" s="89">
        <f t="shared" si="33"/>
        <v>1983398.2420130884</v>
      </c>
      <c r="P49" s="89">
        <f t="shared" si="33"/>
        <v>2003232.2244332198</v>
      </c>
      <c r="Q49" s="91">
        <f>SUM(G49:P49)</f>
        <v>18928473.845837351</v>
      </c>
      <c r="R49" s="5"/>
      <c r="S49" s="5"/>
      <c r="T49" s="5"/>
      <c r="U49" s="5"/>
      <c r="V49" s="5"/>
      <c r="W49" s="5"/>
      <c r="X49" s="5"/>
      <c r="Y49" s="5"/>
      <c r="Z49" s="62" t="s">
        <v>75</v>
      </c>
      <c r="AA49" s="51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</row>
    <row r="50" spans="1:58">
      <c r="A50" s="5"/>
      <c r="B50" s="35"/>
      <c r="C50" s="36"/>
      <c r="D50" s="36"/>
      <c r="E50" s="61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121"/>
      <c r="R50" s="5"/>
      <c r="S50" s="5"/>
      <c r="T50" s="5"/>
      <c r="U50" s="5"/>
      <c r="V50" s="5"/>
      <c r="W50" s="5"/>
      <c r="X50" s="5"/>
      <c r="Y50" s="5"/>
      <c r="Z50" s="62" t="s">
        <v>76</v>
      </c>
      <c r="AA50" s="65">
        <v>50</v>
      </c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</row>
    <row r="51" spans="1:58">
      <c r="A51" s="5"/>
      <c r="B51" s="35" t="s">
        <v>57</v>
      </c>
      <c r="C51" s="36"/>
      <c r="D51" s="8">
        <v>0.3</v>
      </c>
      <c r="E51" s="61"/>
      <c r="F51" s="78">
        <f>-IF(AND(F33&lt;=$C$2,$C$2&lt;=F34),$C$23*$C$21*$C$11*$D$51,0)</f>
        <v>-564300</v>
      </c>
      <c r="G51" s="78">
        <f t="shared" ref="G51:P51" si="34">-IF(AND(G33&lt;$C$2,$C$2&lt;G34),$C$23*$C$21*$C$11*$D$51,0)</f>
        <v>0</v>
      </c>
      <c r="H51" s="78">
        <f t="shared" si="34"/>
        <v>0</v>
      </c>
      <c r="I51" s="78">
        <f t="shared" si="34"/>
        <v>0</v>
      </c>
      <c r="J51" s="78">
        <f t="shared" si="34"/>
        <v>0</v>
      </c>
      <c r="K51" s="78">
        <f t="shared" si="34"/>
        <v>0</v>
      </c>
      <c r="L51" s="78">
        <f t="shared" si="34"/>
        <v>0</v>
      </c>
      <c r="M51" s="78">
        <f t="shared" si="34"/>
        <v>0</v>
      </c>
      <c r="N51" s="78">
        <f t="shared" si="34"/>
        <v>0</v>
      </c>
      <c r="O51" s="78">
        <f t="shared" si="34"/>
        <v>0</v>
      </c>
      <c r="P51" s="78">
        <f t="shared" si="34"/>
        <v>0</v>
      </c>
      <c r="Q51" s="121">
        <f>SUM(G51:P51)</f>
        <v>0</v>
      </c>
      <c r="R51" s="5"/>
      <c r="S51" s="5"/>
      <c r="T51" s="5"/>
      <c r="U51" s="5"/>
      <c r="V51" s="5"/>
      <c r="W51" s="5"/>
      <c r="X51" s="5"/>
      <c r="Y51" s="5"/>
      <c r="Z51" s="63" t="s">
        <v>77</v>
      </c>
      <c r="AA51" s="66">
        <f>1-AA52</f>
        <v>0.19999999999999996</v>
      </c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</row>
    <row r="52" spans="1:58">
      <c r="A52" s="5"/>
      <c r="B52" s="35"/>
      <c r="C52" s="36"/>
      <c r="D52" s="120"/>
      <c r="E52" s="61"/>
      <c r="F52" s="78"/>
      <c r="G52" s="78"/>
      <c r="H52" s="78"/>
      <c r="I52" s="78"/>
      <c r="J52" s="78"/>
      <c r="K52" s="78"/>
      <c r="L52" s="78"/>
      <c r="M52" s="78"/>
      <c r="N52" s="78"/>
      <c r="O52" s="78"/>
      <c r="P52" s="78"/>
      <c r="Q52" s="121"/>
      <c r="R52" s="5"/>
      <c r="S52" s="5"/>
      <c r="T52" s="5"/>
      <c r="U52" s="5"/>
      <c r="V52" s="5"/>
      <c r="W52" s="5"/>
      <c r="X52" s="5"/>
      <c r="Y52" s="5"/>
      <c r="Z52" s="64" t="s">
        <v>78</v>
      </c>
      <c r="AA52" s="67">
        <v>0.8</v>
      </c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</row>
    <row r="53" spans="1:58">
      <c r="A53" s="5"/>
      <c r="B53" s="35" t="s">
        <v>58</v>
      </c>
      <c r="C53" s="36"/>
      <c r="D53" s="119">
        <v>1.4999999999999999E-2</v>
      </c>
      <c r="E53" s="61"/>
      <c r="F53" s="77">
        <f t="shared" ref="F53:P53" si="35">-$D$53*F41</f>
        <v>-7034.4246575342468</v>
      </c>
      <c r="G53" s="77">
        <f t="shared" si="35"/>
        <v>-28497.149999999998</v>
      </c>
      <c r="H53" s="77">
        <f t="shared" si="35"/>
        <v>-28782.121499999997</v>
      </c>
      <c r="I53" s="77">
        <f t="shared" si="35"/>
        <v>-29069.942714999994</v>
      </c>
      <c r="J53" s="77">
        <f t="shared" si="35"/>
        <v>-29360.642142149998</v>
      </c>
      <c r="K53" s="77">
        <f t="shared" si="35"/>
        <v>-29654.248563571495</v>
      </c>
      <c r="L53" s="77">
        <f t="shared" si="35"/>
        <v>-29950.791049207215</v>
      </c>
      <c r="M53" s="77">
        <f t="shared" si="35"/>
        <v>-30250.298959699274</v>
      </c>
      <c r="N53" s="77">
        <f t="shared" si="35"/>
        <v>-30552.801949296281</v>
      </c>
      <c r="O53" s="77">
        <f t="shared" si="35"/>
        <v>-30858.329968789243</v>
      </c>
      <c r="P53" s="77">
        <f t="shared" si="35"/>
        <v>-31166.913268477143</v>
      </c>
      <c r="Q53" s="121">
        <f>SUM(G53:P53)</f>
        <v>-298143.24011619063</v>
      </c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</row>
    <row r="54" spans="1:58">
      <c r="A54" s="5"/>
      <c r="B54" s="4"/>
      <c r="C54" s="36"/>
      <c r="D54" s="36"/>
      <c r="E54" s="61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121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</row>
    <row r="55" spans="1:58">
      <c r="A55" s="5"/>
      <c r="B55" s="81" t="s">
        <v>59</v>
      </c>
      <c r="C55" s="47"/>
      <c r="D55" s="47"/>
      <c r="E55" s="88"/>
      <c r="F55" s="89">
        <f t="shared" ref="F55:P55" si="36">SUM(F49:F53)</f>
        <v>-1601587.8493150687</v>
      </c>
      <c r="G55" s="89">
        <f t="shared" si="36"/>
        <v>1568657.0280821917</v>
      </c>
      <c r="H55" s="89">
        <f t="shared" si="36"/>
        <v>1821169.2285</v>
      </c>
      <c r="I55" s="89">
        <f t="shared" si="36"/>
        <v>1839380.9207849996</v>
      </c>
      <c r="J55" s="89">
        <f t="shared" si="36"/>
        <v>1857774.7299928498</v>
      </c>
      <c r="K55" s="89">
        <f t="shared" si="36"/>
        <v>1876352.477292778</v>
      </c>
      <c r="L55" s="89">
        <f t="shared" si="36"/>
        <v>1895116.0020657061</v>
      </c>
      <c r="M55" s="89">
        <f t="shared" si="36"/>
        <v>1914067.1620863627</v>
      </c>
      <c r="N55" s="89">
        <f t="shared" si="36"/>
        <v>1933207.8337072271</v>
      </c>
      <c r="O55" s="89">
        <f t="shared" si="36"/>
        <v>1952539.9120442993</v>
      </c>
      <c r="P55" s="89">
        <f t="shared" si="36"/>
        <v>1972065.3111647426</v>
      </c>
      <c r="Q55" s="121">
        <f>SUM(G55:P55)</f>
        <v>18630330.605721157</v>
      </c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</row>
    <row r="56" spans="1:58">
      <c r="A56" s="5"/>
      <c r="B56" s="4"/>
      <c r="C56" s="36"/>
      <c r="D56" s="36"/>
      <c r="E56" s="61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121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</row>
    <row r="57" spans="1:58">
      <c r="A57" s="5"/>
      <c r="B57" s="35" t="s">
        <v>60</v>
      </c>
      <c r="C57" s="36"/>
      <c r="D57" s="36"/>
      <c r="E57" s="61"/>
      <c r="F57" s="77">
        <f t="shared" ref="F57:P57" si="37">IF(AND(F33&lt;=$C$1,$C$1&lt;=F34),-$L$14,0)</f>
        <v>-6300000</v>
      </c>
      <c r="G57" s="77">
        <f t="shared" si="37"/>
        <v>0</v>
      </c>
      <c r="H57" s="77">
        <f t="shared" si="37"/>
        <v>0</v>
      </c>
      <c r="I57" s="77">
        <f t="shared" si="37"/>
        <v>0</v>
      </c>
      <c r="J57" s="77">
        <f t="shared" si="37"/>
        <v>0</v>
      </c>
      <c r="K57" s="77">
        <f t="shared" si="37"/>
        <v>0</v>
      </c>
      <c r="L57" s="77">
        <f t="shared" si="37"/>
        <v>0</v>
      </c>
      <c r="M57" s="77">
        <f t="shared" si="37"/>
        <v>0</v>
      </c>
      <c r="N57" s="77">
        <f t="shared" si="37"/>
        <v>0</v>
      </c>
      <c r="O57" s="77">
        <f t="shared" si="37"/>
        <v>0</v>
      </c>
      <c r="P57" s="77">
        <f t="shared" si="37"/>
        <v>0</v>
      </c>
      <c r="Q57" s="121">
        <f>SUM(G57:P57)</f>
        <v>0</v>
      </c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</row>
    <row r="58" spans="1:58">
      <c r="A58" s="5"/>
      <c r="B58" s="35" t="s">
        <v>67</v>
      </c>
      <c r="C58" s="36"/>
      <c r="D58" s="36"/>
      <c r="E58" s="61"/>
      <c r="F58" s="77">
        <f>IF(F57&lt;&gt;0,$H$16,0)</f>
        <v>3465000.0000000005</v>
      </c>
      <c r="G58" s="77">
        <f t="shared" ref="G58:P58" si="38">IF(G57&lt;&gt;0,$H$16,0)</f>
        <v>0</v>
      </c>
      <c r="H58" s="77">
        <f t="shared" si="38"/>
        <v>0</v>
      </c>
      <c r="I58" s="77">
        <f t="shared" si="38"/>
        <v>0</v>
      </c>
      <c r="J58" s="77">
        <f t="shared" si="38"/>
        <v>0</v>
      </c>
      <c r="K58" s="77">
        <f t="shared" si="38"/>
        <v>0</v>
      </c>
      <c r="L58" s="77">
        <f t="shared" si="38"/>
        <v>0</v>
      </c>
      <c r="M58" s="77">
        <f t="shared" si="38"/>
        <v>0</v>
      </c>
      <c r="N58" s="77">
        <f t="shared" si="38"/>
        <v>0</v>
      </c>
      <c r="O58" s="77">
        <f t="shared" si="38"/>
        <v>0</v>
      </c>
      <c r="P58" s="77">
        <f t="shared" si="38"/>
        <v>0</v>
      </c>
      <c r="Q58" s="121">
        <f>SUM(G58:P58)</f>
        <v>0</v>
      </c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</row>
    <row r="59" spans="1:58">
      <c r="A59" s="5"/>
      <c r="B59" s="35"/>
      <c r="C59" s="36"/>
      <c r="D59" s="36"/>
      <c r="E59" s="61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121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</row>
    <row r="60" spans="1:58" ht="15" thickBot="1">
      <c r="A60" s="5"/>
      <c r="B60" s="79" t="s">
        <v>61</v>
      </c>
      <c r="C60" s="68"/>
      <c r="D60" s="68"/>
      <c r="E60" s="70"/>
      <c r="F60" s="69">
        <f>SUM(F55:F58)</f>
        <v>-4436587.8493150678</v>
      </c>
      <c r="G60" s="69">
        <f>SUM(G55:G58)</f>
        <v>1568657.0280821917</v>
      </c>
      <c r="H60" s="69">
        <f>SUM(H55:H58)</f>
        <v>1821169.2285</v>
      </c>
      <c r="I60" s="69">
        <f t="shared" ref="I60:P60" si="39">SUM(I55:I58)</f>
        <v>1839380.9207849996</v>
      </c>
      <c r="J60" s="69">
        <f t="shared" si="39"/>
        <v>1857774.7299928498</v>
      </c>
      <c r="K60" s="69">
        <f t="shared" si="39"/>
        <v>1876352.477292778</v>
      </c>
      <c r="L60" s="69">
        <f t="shared" si="39"/>
        <v>1895116.0020657061</v>
      </c>
      <c r="M60" s="69">
        <f t="shared" si="39"/>
        <v>1914067.1620863627</v>
      </c>
      <c r="N60" s="69">
        <f t="shared" si="39"/>
        <v>1933207.8337072271</v>
      </c>
      <c r="O60" s="69">
        <f t="shared" si="39"/>
        <v>1952539.9120442993</v>
      </c>
      <c r="P60" s="69">
        <f t="shared" si="39"/>
        <v>1972065.3111647426</v>
      </c>
      <c r="Q60" s="121">
        <f>SUM(G60:P60)</f>
        <v>18630330.605721157</v>
      </c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</row>
    <row r="61" spans="1:58" ht="15" thickTop="1">
      <c r="A61" s="5"/>
      <c r="B61" s="35"/>
      <c r="C61" s="36"/>
      <c r="D61" s="36"/>
      <c r="E61" s="61"/>
      <c r="F61" s="77"/>
      <c r="G61" s="77"/>
      <c r="H61" s="77"/>
      <c r="I61" s="77"/>
      <c r="J61" s="77"/>
      <c r="K61" s="77"/>
      <c r="L61" s="77"/>
      <c r="M61" s="77"/>
      <c r="N61" s="77"/>
      <c r="O61" s="77"/>
      <c r="P61" s="77"/>
      <c r="Q61" s="121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</row>
    <row r="62" spans="1:58">
      <c r="A62" s="5"/>
      <c r="B62" s="35" t="s">
        <v>46</v>
      </c>
      <c r="C62" s="36"/>
      <c r="D62" s="36"/>
      <c r="E62" s="61"/>
      <c r="F62" s="77">
        <f>AB20+AB4</f>
        <v>9240000.0000000019</v>
      </c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121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</row>
    <row r="63" spans="1:58">
      <c r="A63" s="5"/>
      <c r="B63" s="35" t="s">
        <v>62</v>
      </c>
      <c r="C63" s="36"/>
      <c r="D63" s="36"/>
      <c r="E63" s="61"/>
      <c r="F63" s="77">
        <f t="shared" ref="F63:P63" si="40">-AC31</f>
        <v>-28875.000000000004</v>
      </c>
      <c r="G63" s="77">
        <f t="shared" si="40"/>
        <v>-28730.625000000004</v>
      </c>
      <c r="H63" s="77">
        <f t="shared" si="40"/>
        <v>-28586.971875000007</v>
      </c>
      <c r="I63" s="77">
        <f t="shared" si="40"/>
        <v>-28444.037015625006</v>
      </c>
      <c r="J63" s="77">
        <f t="shared" si="40"/>
        <v>-9125363.3661093768</v>
      </c>
      <c r="K63" s="77">
        <f t="shared" si="40"/>
        <v>0</v>
      </c>
      <c r="L63" s="77">
        <f t="shared" si="40"/>
        <v>0</v>
      </c>
      <c r="M63" s="77">
        <f t="shared" si="40"/>
        <v>0</v>
      </c>
      <c r="N63" s="77">
        <f t="shared" si="40"/>
        <v>0</v>
      </c>
      <c r="O63" s="77">
        <f t="shared" si="40"/>
        <v>0</v>
      </c>
      <c r="P63" s="77">
        <f t="shared" si="40"/>
        <v>0</v>
      </c>
      <c r="Q63" s="121">
        <f>SUM(F63:P63)</f>
        <v>-9240000.0000000019</v>
      </c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</row>
    <row r="64" spans="1:58">
      <c r="A64" s="5"/>
      <c r="B64" s="35" t="s">
        <v>63</v>
      </c>
      <c r="C64" s="36"/>
      <c r="D64" s="36"/>
      <c r="E64" s="61"/>
      <c r="F64" s="77">
        <f t="shared" ref="F64:P64" si="41">-AC30</f>
        <v>-231000.00000000006</v>
      </c>
      <c r="G64" s="77">
        <f t="shared" si="41"/>
        <v>-230278.12500000006</v>
      </c>
      <c r="H64" s="77">
        <f t="shared" si="41"/>
        <v>-229559.85937500006</v>
      </c>
      <c r="I64" s="77">
        <f t="shared" si="41"/>
        <v>-228845.18507812504</v>
      </c>
      <c r="J64" s="77">
        <f t="shared" si="41"/>
        <v>-228134.08415273443</v>
      </c>
      <c r="K64" s="77">
        <f t="shared" si="41"/>
        <v>0</v>
      </c>
      <c r="L64" s="77">
        <f t="shared" si="41"/>
        <v>0</v>
      </c>
      <c r="M64" s="77">
        <f t="shared" si="41"/>
        <v>0</v>
      </c>
      <c r="N64" s="77">
        <f t="shared" si="41"/>
        <v>0</v>
      </c>
      <c r="O64" s="77">
        <f t="shared" si="41"/>
        <v>0</v>
      </c>
      <c r="P64" s="77">
        <f t="shared" si="41"/>
        <v>0</v>
      </c>
      <c r="Q64" s="121">
        <f>SUM(F64:P64)</f>
        <v>-1147817.2536058596</v>
      </c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</row>
    <row r="65" spans="1:58">
      <c r="A65" s="5"/>
      <c r="B65" s="35"/>
      <c r="C65" s="36"/>
      <c r="D65" s="36"/>
      <c r="E65" s="61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121">
        <f>SUM(G65:P65)</f>
        <v>0</v>
      </c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</row>
    <row r="66" spans="1:58" ht="15" thickBot="1">
      <c r="A66" s="5"/>
      <c r="B66" s="79" t="s">
        <v>64</v>
      </c>
      <c r="C66" s="68"/>
      <c r="D66" s="68"/>
      <c r="E66" s="70"/>
      <c r="F66" s="69">
        <f>SUM(F63:F64)</f>
        <v>-259875.00000000006</v>
      </c>
      <c r="G66" s="69">
        <f t="shared" ref="G66:P66" si="42">SUM(G63:G64)</f>
        <v>-259008.75000000006</v>
      </c>
      <c r="H66" s="69">
        <f t="shared" si="42"/>
        <v>-258146.83125000008</v>
      </c>
      <c r="I66" s="69">
        <f t="shared" si="42"/>
        <v>-257289.22209375005</v>
      </c>
      <c r="J66" s="69">
        <f t="shared" si="42"/>
        <v>-9353497.4502621107</v>
      </c>
      <c r="K66" s="69">
        <f t="shared" si="42"/>
        <v>0</v>
      </c>
      <c r="L66" s="69">
        <f t="shared" si="42"/>
        <v>0</v>
      </c>
      <c r="M66" s="69">
        <f t="shared" si="42"/>
        <v>0</v>
      </c>
      <c r="N66" s="69">
        <f t="shared" si="42"/>
        <v>0</v>
      </c>
      <c r="O66" s="69">
        <f t="shared" si="42"/>
        <v>0</v>
      </c>
      <c r="P66" s="69">
        <f t="shared" si="42"/>
        <v>0</v>
      </c>
      <c r="Q66" s="121">
        <f>SUM(G66:P66)</f>
        <v>-10127942.253605861</v>
      </c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</row>
    <row r="67" spans="1:58" ht="15" thickTop="1">
      <c r="A67" s="5"/>
      <c r="B67" s="4"/>
      <c r="C67" s="36"/>
      <c r="D67" s="36"/>
      <c r="E67" s="61"/>
      <c r="F67" s="77"/>
      <c r="G67" s="77"/>
      <c r="H67" s="77"/>
      <c r="I67" s="77"/>
      <c r="J67" s="77"/>
      <c r="K67" s="77"/>
      <c r="L67" s="77"/>
      <c r="M67" s="77"/>
      <c r="N67" s="77"/>
      <c r="O67" s="77"/>
      <c r="P67" s="77"/>
      <c r="Q67" s="121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</row>
    <row r="68" spans="1:58">
      <c r="A68" s="5"/>
      <c r="B68" s="4" t="s">
        <v>74</v>
      </c>
      <c r="C68" s="36"/>
      <c r="D68" s="36"/>
      <c r="E68" s="61"/>
      <c r="F68" s="77">
        <f t="shared" ref="F68:P68" si="43">-$L$13*$AA$52/$AA$50-(-F57)/$AA$50</f>
        <v>-294000</v>
      </c>
      <c r="G68" s="77">
        <f t="shared" si="43"/>
        <v>-168000</v>
      </c>
      <c r="H68" s="77">
        <f t="shared" si="43"/>
        <v>-168000</v>
      </c>
      <c r="I68" s="77">
        <f t="shared" si="43"/>
        <v>-168000</v>
      </c>
      <c r="J68" s="77">
        <f t="shared" si="43"/>
        <v>-168000</v>
      </c>
      <c r="K68" s="77">
        <f t="shared" si="43"/>
        <v>-168000</v>
      </c>
      <c r="L68" s="77">
        <f t="shared" si="43"/>
        <v>-168000</v>
      </c>
      <c r="M68" s="77">
        <f t="shared" si="43"/>
        <v>-168000</v>
      </c>
      <c r="N68" s="77">
        <f t="shared" si="43"/>
        <v>-168000</v>
      </c>
      <c r="O68" s="77">
        <f t="shared" si="43"/>
        <v>-168000</v>
      </c>
      <c r="P68" s="77">
        <f t="shared" si="43"/>
        <v>-168000</v>
      </c>
      <c r="Q68" s="121">
        <f>SUM(F68:P68)</f>
        <v>-1974000</v>
      </c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</row>
    <row r="69" spans="1:58" ht="15" thickBot="1">
      <c r="A69" s="5"/>
      <c r="B69" s="79" t="s">
        <v>65</v>
      </c>
      <c r="C69" s="68"/>
      <c r="D69" s="97">
        <v>0.25</v>
      </c>
      <c r="E69" s="70"/>
      <c r="F69" s="69">
        <f>IF((F60+F64+F68)&gt;0,(F60+F64+F68)*$D$69,0)</f>
        <v>0</v>
      </c>
      <c r="G69" s="69">
        <f t="shared" ref="G69:P69" si="44">IF((G60+G64+G68)&gt;0,(G60+G64+G68)*$D$69,0)</f>
        <v>292594.72577054793</v>
      </c>
      <c r="H69" s="69">
        <f t="shared" si="44"/>
        <v>355902.34228124999</v>
      </c>
      <c r="I69" s="69">
        <f t="shared" si="44"/>
        <v>360633.93392671866</v>
      </c>
      <c r="J69" s="69">
        <f t="shared" si="44"/>
        <v>365410.16146002884</v>
      </c>
      <c r="K69" s="69">
        <f t="shared" si="44"/>
        <v>427088.11932319449</v>
      </c>
      <c r="L69" s="69">
        <f t="shared" si="44"/>
        <v>431779.00051642652</v>
      </c>
      <c r="M69" s="69">
        <f t="shared" si="44"/>
        <v>436516.79052159068</v>
      </c>
      <c r="N69" s="69">
        <f t="shared" si="44"/>
        <v>441301.95842680678</v>
      </c>
      <c r="O69" s="69">
        <f t="shared" si="44"/>
        <v>446134.97801107483</v>
      </c>
      <c r="P69" s="69">
        <f t="shared" si="44"/>
        <v>451016.32779118564</v>
      </c>
      <c r="Q69" s="121">
        <f>SUM(G69:P69)</f>
        <v>4008378.338028824</v>
      </c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</row>
    <row r="70" spans="1:58" ht="15" thickTop="1">
      <c r="A70" s="5"/>
      <c r="B70" s="35"/>
      <c r="C70" s="36"/>
      <c r="D70" s="36"/>
      <c r="E70" s="61"/>
      <c r="F70" s="77"/>
      <c r="G70" s="77"/>
      <c r="H70" s="77"/>
      <c r="I70" s="77"/>
      <c r="J70" s="77"/>
      <c r="K70" s="77"/>
      <c r="L70" s="77"/>
      <c r="M70" s="77"/>
      <c r="N70" s="77"/>
      <c r="O70" s="77"/>
      <c r="P70" s="77"/>
      <c r="Q70" s="121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</row>
    <row r="71" spans="1:58" ht="15" thickBot="1">
      <c r="A71" s="5"/>
      <c r="B71" s="80" t="s">
        <v>66</v>
      </c>
      <c r="C71" s="71"/>
      <c r="D71" s="71"/>
      <c r="E71" s="72"/>
      <c r="F71" s="73">
        <f>F60+F66+F69</f>
        <v>-4696462.8493150678</v>
      </c>
      <c r="G71" s="73">
        <f t="shared" ref="G71:P71" si="45">G60+G66+G69</f>
        <v>1602243.0038527397</v>
      </c>
      <c r="H71" s="73">
        <f t="shared" si="45"/>
        <v>1918924.73953125</v>
      </c>
      <c r="I71" s="73">
        <f t="shared" si="45"/>
        <v>1942725.6326179681</v>
      </c>
      <c r="J71" s="73">
        <f t="shared" si="45"/>
        <v>-7130312.558809232</v>
      </c>
      <c r="K71" s="73">
        <f t="shared" si="45"/>
        <v>2303440.5966159725</v>
      </c>
      <c r="L71" s="73">
        <f t="shared" si="45"/>
        <v>2326895.0025821328</v>
      </c>
      <c r="M71" s="73">
        <f t="shared" si="45"/>
        <v>2350583.9526079535</v>
      </c>
      <c r="N71" s="73">
        <f t="shared" si="45"/>
        <v>2374509.792134034</v>
      </c>
      <c r="O71" s="73">
        <f t="shared" si="45"/>
        <v>2398674.8900553742</v>
      </c>
      <c r="P71" s="73">
        <f t="shared" si="45"/>
        <v>2423081.6389559284</v>
      </c>
      <c r="Q71" s="93">
        <f>SUM(G71:P71)</f>
        <v>12510766.690144122</v>
      </c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</row>
    <row r="72" spans="1:58" ht="15" thickTop="1">
      <c r="A72" s="5"/>
      <c r="B72" s="35"/>
      <c r="C72" s="36"/>
      <c r="D72" s="36"/>
      <c r="E72" s="61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61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</row>
    <row r="73" spans="1:58">
      <c r="A73" s="5"/>
      <c r="B73" s="81" t="s">
        <v>81</v>
      </c>
      <c r="C73" s="47"/>
      <c r="D73" s="47"/>
      <c r="E73" s="88"/>
      <c r="F73" s="89"/>
      <c r="G73" s="89">
        <f>IF(G35=$C$27,(H41/$C$26)+SUM(H42:$P$42),0)</f>
        <v>0</v>
      </c>
      <c r="H73" s="89">
        <f>IF(H35=$C$27,(I41/$C$26)+SUM(I42:$P$42),0)</f>
        <v>0</v>
      </c>
      <c r="I73" s="89">
        <f>IF(I35=$C$27,(J41/$C$26)+SUM(J42:$P$42),0)</f>
        <v>0</v>
      </c>
      <c r="J73" s="89">
        <f>IF(J35=$C$27,(K41/$C$26)+SUM(K42:$P$42),0)</f>
        <v>29288146.729453325</v>
      </c>
      <c r="K73" s="89">
        <f>IF(K35=$C$27,(L41/$C$26)+SUM(L42:$P$42),0)</f>
        <v>0</v>
      </c>
      <c r="L73" s="89">
        <f>IF(L35=$C$27,(M41/$C$26)+SUM(M42:$P$42),0)</f>
        <v>0</v>
      </c>
      <c r="M73" s="89">
        <f>IF(M35=$C$27,(N41/$C$26)+SUM(N42:$P$42),0)</f>
        <v>0</v>
      </c>
      <c r="N73" s="89">
        <f>IF(N35=$C$27,(O41/$C$26)+SUM(O42:$P$42),0)</f>
        <v>0</v>
      </c>
      <c r="O73" s="89">
        <f>IF(O35=$C$27,(P41/$C$26)+SUM(P42:$P$42),0)</f>
        <v>0</v>
      </c>
      <c r="P73" s="89">
        <f>IF(P35=$C$27,(Q41/$C$26)+SUM($P42:Q$42),0)</f>
        <v>0</v>
      </c>
      <c r="Q73" s="91">
        <f>SUM(G73:P73)</f>
        <v>29288146.729453325</v>
      </c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</row>
    <row r="74" spans="1:58">
      <c r="A74" s="5"/>
      <c r="B74" s="35" t="s">
        <v>93</v>
      </c>
      <c r="C74" s="36"/>
      <c r="D74" s="120">
        <v>5.0000000000000001E-3</v>
      </c>
      <c r="E74" s="61"/>
      <c r="F74" s="77">
        <f>-$D$74*F73</f>
        <v>0</v>
      </c>
      <c r="G74" s="77">
        <f>-$D$74*G73</f>
        <v>0</v>
      </c>
      <c r="H74" s="77">
        <f t="shared" ref="H74:P74" si="46">-$D$74*H73</f>
        <v>0</v>
      </c>
      <c r="I74" s="77">
        <f t="shared" si="46"/>
        <v>0</v>
      </c>
      <c r="J74" s="77">
        <f t="shared" si="46"/>
        <v>-146440.73364726664</v>
      </c>
      <c r="K74" s="77">
        <f t="shared" si="46"/>
        <v>0</v>
      </c>
      <c r="L74" s="77">
        <f t="shared" si="46"/>
        <v>0</v>
      </c>
      <c r="M74" s="77">
        <f t="shared" si="46"/>
        <v>0</v>
      </c>
      <c r="N74" s="77">
        <f t="shared" si="46"/>
        <v>0</v>
      </c>
      <c r="O74" s="77">
        <f t="shared" si="46"/>
        <v>0</v>
      </c>
      <c r="P74" s="77">
        <f t="shared" si="46"/>
        <v>0</v>
      </c>
      <c r="Q74" s="121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</row>
    <row r="75" spans="1:58">
      <c r="A75" s="5"/>
      <c r="B75" s="158" t="s">
        <v>99</v>
      </c>
      <c r="C75" s="36"/>
      <c r="D75" s="36"/>
      <c r="E75" s="61"/>
      <c r="F75" s="77">
        <f>L13+L14</f>
        <v>16800000</v>
      </c>
      <c r="G75" s="77">
        <f>F75+F68</f>
        <v>16506000</v>
      </c>
      <c r="H75" s="77">
        <f>G75+H68</f>
        <v>16338000</v>
      </c>
      <c r="I75" s="77">
        <f>H75+I68</f>
        <v>16170000</v>
      </c>
      <c r="J75" s="77">
        <f t="shared" ref="J75:P75" si="47">I75+J68</f>
        <v>16002000</v>
      </c>
      <c r="K75" s="77">
        <f t="shared" si="47"/>
        <v>15834000</v>
      </c>
      <c r="L75" s="77">
        <f t="shared" si="47"/>
        <v>15666000</v>
      </c>
      <c r="M75" s="77">
        <f>L75+M68</f>
        <v>15498000</v>
      </c>
      <c r="N75" s="77">
        <f t="shared" si="47"/>
        <v>15330000</v>
      </c>
      <c r="O75" s="77">
        <f t="shared" si="47"/>
        <v>15162000</v>
      </c>
      <c r="P75" s="77">
        <f t="shared" si="47"/>
        <v>14994000</v>
      </c>
      <c r="Q75" s="121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</row>
    <row r="76" spans="1:58">
      <c r="A76" s="5"/>
      <c r="B76" s="35" t="s">
        <v>94</v>
      </c>
      <c r="C76" s="36"/>
      <c r="D76" s="96">
        <v>0.25</v>
      </c>
      <c r="E76" s="61"/>
      <c r="F76" s="77">
        <f>IF(F73&lt;&gt;0,-$D$76*(F73+F74-F75),0)</f>
        <v>0</v>
      </c>
      <c r="G76" s="77">
        <f>IF(G73&lt;&gt;0,-$D$76*(G73+G74-G75),0)</f>
        <v>0</v>
      </c>
      <c r="H76" s="77">
        <f t="shared" ref="H76:P76" si="48">IF(H73&lt;&gt;0,-$D$76*(H73+H74-H75),0)</f>
        <v>0</v>
      </c>
      <c r="I76" s="77">
        <f t="shared" si="48"/>
        <v>0</v>
      </c>
      <c r="J76" s="77">
        <f>IF(J73&lt;&gt;0,-$D$76*(J73+J74-J75),0)</f>
        <v>-3284926.4989515143</v>
      </c>
      <c r="K76" s="77">
        <f t="shared" si="48"/>
        <v>0</v>
      </c>
      <c r="L76" s="77">
        <f t="shared" si="48"/>
        <v>0</v>
      </c>
      <c r="M76" s="77">
        <f>IF(M73&lt;&gt;0,-$D$76*(M73+M74-M75),0)</f>
        <v>0</v>
      </c>
      <c r="N76" s="77">
        <f t="shared" si="48"/>
        <v>0</v>
      </c>
      <c r="O76" s="77">
        <f t="shared" si="48"/>
        <v>0</v>
      </c>
      <c r="P76" s="77">
        <f t="shared" si="48"/>
        <v>0</v>
      </c>
      <c r="Q76" s="121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</row>
    <row r="77" spans="1:58">
      <c r="A77" s="5"/>
      <c r="B77" s="35"/>
      <c r="C77" s="36"/>
      <c r="D77" s="36"/>
      <c r="E77" s="61"/>
      <c r="F77" s="77"/>
      <c r="G77" s="77"/>
      <c r="H77" s="77"/>
      <c r="I77" s="77"/>
      <c r="J77" s="77"/>
      <c r="K77" s="77"/>
      <c r="L77" s="77"/>
      <c r="M77" s="77"/>
      <c r="N77" s="77"/>
      <c r="O77" s="77"/>
      <c r="P77" s="77"/>
      <c r="Q77" s="121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</row>
    <row r="78" spans="1:58">
      <c r="A78" s="5"/>
      <c r="B78" s="35"/>
      <c r="C78" s="36"/>
      <c r="D78" s="36"/>
      <c r="E78" s="61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111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</row>
    <row r="79" spans="1:58" ht="15" thickBot="1">
      <c r="A79" s="5"/>
      <c r="B79" s="80" t="s">
        <v>92</v>
      </c>
      <c r="C79" s="71"/>
      <c r="D79" s="71"/>
      <c r="E79" s="93">
        <f>-H13-H14</f>
        <v>-7880250</v>
      </c>
      <c r="F79" s="73">
        <f>F73+F71+F76+F74</f>
        <v>-4696462.8493150678</v>
      </c>
      <c r="G79" s="73">
        <f>IF(F73&lt;&gt;0,0,IF(F79=0,0,G71+G73+G76+G74))</f>
        <v>1602243.0038527397</v>
      </c>
      <c r="H79" s="73">
        <f t="shared" ref="H79:P79" si="49">IF(G73&lt;&gt;0,0,IF(G79=0,0,H71+H73+H76+H74))</f>
        <v>1918924.73953125</v>
      </c>
      <c r="I79" s="73">
        <f t="shared" si="49"/>
        <v>1942725.6326179681</v>
      </c>
      <c r="J79" s="73">
        <f t="shared" si="49"/>
        <v>18726466.938045312</v>
      </c>
      <c r="K79" s="73">
        <f t="shared" si="49"/>
        <v>0</v>
      </c>
      <c r="L79" s="73">
        <f t="shared" si="49"/>
        <v>0</v>
      </c>
      <c r="M79" s="73">
        <f t="shared" si="49"/>
        <v>0</v>
      </c>
      <c r="N79" s="73">
        <f t="shared" si="49"/>
        <v>0</v>
      </c>
      <c r="O79" s="73">
        <f t="shared" si="49"/>
        <v>0</v>
      </c>
      <c r="P79" s="73">
        <f t="shared" si="49"/>
        <v>0</v>
      </c>
      <c r="Q79" s="92">
        <f>SUM(G79:P79)</f>
        <v>24190360.31404727</v>
      </c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</row>
    <row r="80" spans="1:58" ht="15" thickTop="1">
      <c r="A80" s="5"/>
      <c r="B80" s="81" t="s">
        <v>82</v>
      </c>
      <c r="C80" s="47"/>
      <c r="D80" s="47"/>
      <c r="E80" s="89">
        <f>E79</f>
        <v>-7880250</v>
      </c>
      <c r="F80" s="89">
        <f t="shared" ref="F80:G80" si="50">F79+E80</f>
        <v>-12576712.849315068</v>
      </c>
      <c r="G80" s="89">
        <f t="shared" si="50"/>
        <v>-10974469.845462328</v>
      </c>
      <c r="H80" s="89">
        <f>H79+G80</f>
        <v>-9055545.1059310772</v>
      </c>
      <c r="I80" s="89">
        <f>I79+H80</f>
        <v>-7112819.473313109</v>
      </c>
      <c r="J80" s="89">
        <f>J79+I80</f>
        <v>11613647.464732204</v>
      </c>
      <c r="K80" s="89">
        <f t="shared" ref="K80:P80" si="51">K79+J80</f>
        <v>11613647.464732204</v>
      </c>
      <c r="L80" s="89">
        <f t="shared" si="51"/>
        <v>11613647.464732204</v>
      </c>
      <c r="M80" s="89">
        <f t="shared" si="51"/>
        <v>11613647.464732204</v>
      </c>
      <c r="N80" s="89">
        <f t="shared" si="51"/>
        <v>11613647.464732204</v>
      </c>
      <c r="O80" s="89">
        <f t="shared" si="51"/>
        <v>11613647.464732204</v>
      </c>
      <c r="P80" s="89">
        <f t="shared" si="51"/>
        <v>11613647.464732204</v>
      </c>
      <c r="Q80" s="91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</row>
    <row r="81" spans="1:58" ht="15" thickBo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</row>
    <row r="82" spans="1:58" ht="15" thickBot="1">
      <c r="A82" s="5"/>
      <c r="B82" s="136" t="s">
        <v>91</v>
      </c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</row>
    <row r="83" spans="1:58">
      <c r="A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</row>
    <row r="84" spans="1:58">
      <c r="A84" s="5"/>
      <c r="B84" s="90" t="s">
        <v>85</v>
      </c>
      <c r="C84" s="94">
        <f>XIRR(E79:P79,E34:P34)</f>
        <v>0.17124244570732114</v>
      </c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</row>
    <row r="85" spans="1:58">
      <c r="A85" s="5"/>
      <c r="B85" s="90" t="s">
        <v>86</v>
      </c>
      <c r="C85" s="95">
        <f>-SUMIF(E79:P79,"&gt;0")/SUMIF(E79:P79,"&lt;0")</f>
        <v>1.9234247139040537</v>
      </c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</row>
    <row r="86" spans="1:58">
      <c r="A86" s="5"/>
      <c r="D86" s="5"/>
      <c r="E86" s="5"/>
      <c r="F86" s="5"/>
      <c r="G86" s="5"/>
      <c r="H86" s="5"/>
      <c r="I86" s="5"/>
      <c r="J86" s="5"/>
      <c r="K86" s="13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</row>
    <row r="87" spans="1:58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</row>
    <row r="88" spans="1:58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</row>
    <row r="89" spans="1:58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</row>
    <row r="90" spans="1:58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</row>
    <row r="91" spans="1:58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</row>
    <row r="92" spans="1:58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</row>
    <row r="93" spans="1:58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</row>
    <row r="94" spans="1:58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</row>
    <row r="95" spans="1:58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</row>
    <row r="96" spans="1:58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</row>
    <row r="97" spans="1:58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</row>
    <row r="98" spans="1:58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</row>
    <row r="99" spans="1:58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</row>
    <row r="100" spans="1:58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</row>
    <row r="101" spans="1:58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</row>
    <row r="102" spans="1:58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</row>
    <row r="103" spans="1:58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</row>
    <row r="104" spans="1:58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</row>
    <row r="105" spans="1:58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</row>
    <row r="106" spans="1:58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</row>
    <row r="107" spans="1:58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</row>
    <row r="108" spans="1:58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</row>
    <row r="109" spans="1:58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</row>
    <row r="110" spans="1:58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</row>
    <row r="111" spans="1:58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</row>
    <row r="112" spans="1:58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</row>
    <row r="113" spans="1:58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</row>
    <row r="114" spans="1:58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</row>
    <row r="115" spans="1:58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</row>
    <row r="116" spans="1:58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</row>
    <row r="117" spans="1:58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</row>
    <row r="118" spans="1:58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</row>
    <row r="119" spans="1:58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</row>
    <row r="120" spans="1:58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</row>
    <row r="121" spans="1:58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</row>
    <row r="122" spans="1:58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</row>
    <row r="123" spans="1:58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</row>
    <row r="124" spans="1:58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</row>
    <row r="125" spans="1:58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</row>
    <row r="126" spans="1:58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</row>
    <row r="127" spans="1:58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</row>
    <row r="128" spans="1:58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</row>
    <row r="129" spans="1:58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</row>
    <row r="130" spans="1:58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</row>
    <row r="131" spans="1:58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</row>
    <row r="132" spans="1:58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</row>
    <row r="133" spans="1:58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</row>
    <row r="134" spans="1:58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</row>
    <row r="135" spans="1:58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</row>
    <row r="136" spans="1:58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</row>
    <row r="137" spans="1:58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</row>
    <row r="138" spans="1:58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</row>
    <row r="139" spans="1:58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</row>
    <row r="140" spans="1:58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</row>
    <row r="141" spans="1:58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</row>
    <row r="142" spans="1:58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</row>
    <row r="143" spans="1:58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</row>
    <row r="144" spans="1:58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</row>
    <row r="145" spans="1:58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</row>
    <row r="146" spans="1:58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</row>
    <row r="147" spans="1:58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</row>
    <row r="148" spans="1:58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</row>
    <row r="149" spans="1:58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</row>
    <row r="150" spans="1:58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</row>
    <row r="151" spans="1:58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</row>
    <row r="152" spans="1:58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</row>
    <row r="153" spans="1:58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</row>
    <row r="154" spans="1:58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</row>
    <row r="155" spans="1:58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</row>
    <row r="156" spans="1:58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</row>
    <row r="157" spans="1:58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</row>
    <row r="158" spans="1:58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</row>
    <row r="159" spans="1:58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</row>
    <row r="160" spans="1:58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</row>
    <row r="161" spans="1:58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</row>
    <row r="162" spans="1:58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</row>
    <row r="163" spans="1:58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</row>
    <row r="164" spans="1:58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</row>
    <row r="165" spans="1:58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</row>
    <row r="166" spans="1:58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</row>
    <row r="167" spans="1:58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</row>
    <row r="168" spans="1:58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</row>
    <row r="169" spans="1:58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</row>
    <row r="170" spans="1:58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</row>
    <row r="171" spans="1:58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</row>
    <row r="172" spans="1:58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</row>
    <row r="173" spans="1:58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</row>
    <row r="174" spans="1:58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</row>
    <row r="175" spans="1:58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</row>
    <row r="176" spans="1:58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</row>
    <row r="177" spans="1:58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</row>
    <row r="178" spans="1:58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</row>
    <row r="179" spans="1:58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</row>
    <row r="180" spans="1:58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</row>
    <row r="181" spans="1:58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</row>
    <row r="182" spans="1:58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</row>
    <row r="183" spans="1:58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</row>
    <row r="184" spans="1:58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</row>
    <row r="185" spans="1:58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</row>
    <row r="186" spans="1:58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</row>
    <row r="187" spans="1:58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</row>
    <row r="188" spans="1:58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</row>
    <row r="189" spans="1:58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</row>
    <row r="190" spans="1:58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</row>
    <row r="191" spans="1:58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</row>
    <row r="192" spans="1:58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</row>
    <row r="193" spans="1:58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</row>
    <row r="194" spans="1:58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</row>
    <row r="195" spans="1:58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</row>
    <row r="196" spans="1:58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</row>
    <row r="197" spans="1:58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</row>
    <row r="198" spans="1:58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</row>
    <row r="199" spans="1:58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</row>
    <row r="200" spans="1:58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</row>
    <row r="201" spans="1:58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</row>
    <row r="202" spans="1:58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</row>
    <row r="203" spans="1:58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</row>
    <row r="204" spans="1:58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</row>
    <row r="205" spans="1:58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</row>
    <row r="206" spans="1:58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</row>
    <row r="207" spans="1:58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</row>
    <row r="208" spans="1:58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</row>
    <row r="209" spans="1:58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</row>
    <row r="210" spans="1:58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</row>
    <row r="211" spans="1:58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</row>
    <row r="212" spans="1:58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</row>
    <row r="213" spans="1:58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</row>
    <row r="214" spans="1:58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</row>
    <row r="215" spans="1:58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</row>
    <row r="216" spans="1:58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</row>
    <row r="217" spans="1:58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</row>
    <row r="218" spans="1:58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</row>
    <row r="219" spans="1:58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</row>
    <row r="220" spans="1:58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</row>
    <row r="221" spans="1:58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</row>
    <row r="222" spans="1:58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</row>
    <row r="223" spans="1:58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</row>
    <row r="224" spans="1:58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</row>
    <row r="225" spans="1:58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</row>
    <row r="226" spans="1:58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</row>
    <row r="227" spans="1:58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</row>
    <row r="228" spans="1:58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</row>
    <row r="229" spans="1:58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</row>
    <row r="230" spans="1:58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</row>
    <row r="231" spans="1:58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</row>
    <row r="232" spans="1:58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</row>
    <row r="233" spans="1:58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</row>
    <row r="234" spans="1:58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</row>
    <row r="235" spans="1:58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</row>
    <row r="236" spans="1:58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</row>
    <row r="237" spans="1:58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</row>
    <row r="238" spans="1:58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</row>
    <row r="239" spans="1:58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</row>
    <row r="240" spans="1:58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</row>
    <row r="241" spans="1:58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</row>
    <row r="242" spans="1:58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</row>
    <row r="243" spans="1:58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</row>
    <row r="244" spans="1:58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</row>
    <row r="245" spans="1:58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</row>
    <row r="246" spans="1:58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</row>
    <row r="247" spans="1:58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</row>
    <row r="248" spans="1:58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</row>
    <row r="249" spans="1:58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</row>
    <row r="250" spans="1:58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</row>
    <row r="251" spans="1:58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</row>
    <row r="252" spans="1:58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</row>
    <row r="253" spans="1:58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</row>
    <row r="254" spans="1:58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</row>
    <row r="255" spans="1:58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</row>
    <row r="256" spans="1:58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</row>
    <row r="257" spans="1:58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</row>
    <row r="258" spans="1:58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</row>
    <row r="259" spans="1:58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</row>
    <row r="260" spans="1:58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</row>
    <row r="261" spans="1:58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</row>
    <row r="262" spans="1:58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</row>
    <row r="263" spans="1:58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</row>
    <row r="264" spans="1:58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</row>
    <row r="265" spans="1:58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</row>
    <row r="266" spans="1:58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</row>
    <row r="267" spans="1:58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</row>
    <row r="268" spans="1:58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</row>
    <row r="269" spans="1:58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</row>
    <row r="270" spans="1:58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</row>
    <row r="271" spans="1:58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</row>
    <row r="272" spans="1:58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</row>
    <row r="273" spans="1:58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</row>
    <row r="274" spans="1:58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</row>
    <row r="275" spans="1:58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</row>
    <row r="276" spans="1:58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</row>
    <row r="277" spans="1:58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</row>
    <row r="278" spans="1:58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</row>
    <row r="279" spans="1:58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</row>
    <row r="280" spans="1:58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</row>
    <row r="281" spans="1:58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</row>
    <row r="282" spans="1:58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</row>
    <row r="283" spans="1:58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</row>
    <row r="284" spans="1:58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</row>
    <row r="285" spans="1:58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</row>
    <row r="286" spans="1:58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</row>
    <row r="287" spans="1:58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</row>
    <row r="288" spans="1:58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</row>
    <row r="289" spans="1:58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</row>
    <row r="290" spans="1:58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</row>
    <row r="291" spans="1:58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</row>
    <row r="292" spans="1:58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</row>
    <row r="293" spans="1:58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</row>
    <row r="294" spans="1:58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</row>
    <row r="295" spans="1:58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</row>
    <row r="296" spans="1:58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</row>
    <row r="297" spans="1:58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</row>
    <row r="298" spans="1:58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</row>
    <row r="299" spans="1:58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</row>
    <row r="300" spans="1:58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</row>
    <row r="301" spans="1:58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</row>
    <row r="302" spans="1:58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</row>
    <row r="303" spans="1:58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</row>
    <row r="304" spans="1:58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</row>
    <row r="305" spans="1:58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</row>
    <row r="306" spans="1:58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</row>
    <row r="307" spans="1:58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</row>
    <row r="308" spans="1:58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</row>
    <row r="309" spans="1:58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  <c r="BE309" s="5"/>
      <c r="BF309" s="5"/>
    </row>
    <row r="310" spans="1:58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/>
      <c r="BD310" s="5"/>
      <c r="BE310" s="5"/>
      <c r="BF310" s="5"/>
    </row>
    <row r="311" spans="1:58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  <c r="BE311" s="5"/>
      <c r="BF311" s="5"/>
    </row>
    <row r="312" spans="1:58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  <c r="BE312" s="5"/>
      <c r="BF312" s="5"/>
    </row>
    <row r="313" spans="1:58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  <c r="BE313" s="5"/>
      <c r="BF313" s="5"/>
    </row>
    <row r="314" spans="1:58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  <c r="BE314" s="5"/>
      <c r="BF314" s="5"/>
    </row>
    <row r="315" spans="1:58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  <c r="BE315" s="5"/>
      <c r="BF315" s="5"/>
    </row>
    <row r="316" spans="1:58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  <c r="BE316" s="5"/>
      <c r="BF316" s="5"/>
    </row>
    <row r="317" spans="1:58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  <c r="BE317" s="5"/>
      <c r="BF317" s="5"/>
    </row>
    <row r="318" spans="1:58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B318" s="5"/>
      <c r="BC318" s="5"/>
      <c r="BD318" s="5"/>
      <c r="BE318" s="5"/>
      <c r="BF318" s="5"/>
    </row>
    <row r="319" spans="1:58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</row>
    <row r="320" spans="1:58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  <c r="BE320" s="5"/>
      <c r="BF320" s="5"/>
    </row>
    <row r="321" spans="1:58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  <c r="BE321" s="5"/>
      <c r="BF321" s="5"/>
    </row>
    <row r="322" spans="1:58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  <c r="BE322" s="5"/>
      <c r="BF322" s="5"/>
    </row>
    <row r="323" spans="1:58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  <c r="BE323" s="5"/>
      <c r="BF323" s="5"/>
    </row>
    <row r="324" spans="1:58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  <c r="BB324" s="5"/>
      <c r="BC324" s="5"/>
      <c r="BD324" s="5"/>
      <c r="BE324" s="5"/>
      <c r="BF324" s="5"/>
    </row>
    <row r="325" spans="1:58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  <c r="BE325" s="5"/>
      <c r="BF325" s="5"/>
    </row>
    <row r="326" spans="1:58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  <c r="BB326" s="5"/>
      <c r="BC326" s="5"/>
      <c r="BD326" s="5"/>
      <c r="BE326" s="5"/>
      <c r="BF326" s="5"/>
    </row>
    <row r="327" spans="1:58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  <c r="BE327" s="5"/>
      <c r="BF327" s="5"/>
    </row>
    <row r="328" spans="1:58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B328" s="5"/>
      <c r="BC328" s="5"/>
      <c r="BD328" s="5"/>
      <c r="BE328" s="5"/>
      <c r="BF328" s="5"/>
    </row>
    <row r="329" spans="1:58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  <c r="BE329" s="5"/>
      <c r="BF329" s="5"/>
    </row>
    <row r="330" spans="1:58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/>
      <c r="BD330" s="5"/>
      <c r="BE330" s="5"/>
      <c r="BF330" s="5"/>
    </row>
    <row r="331" spans="1:58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/>
      <c r="BD331" s="5"/>
      <c r="BE331" s="5"/>
      <c r="BF331" s="5"/>
    </row>
    <row r="332" spans="1:58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  <c r="BE332" s="5"/>
      <c r="BF332" s="5"/>
    </row>
    <row r="333" spans="1:58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  <c r="BE333" s="5"/>
      <c r="BF333" s="5"/>
    </row>
    <row r="334" spans="1:58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  <c r="BE334" s="5"/>
      <c r="BF334" s="5"/>
    </row>
    <row r="335" spans="1:58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  <c r="BE335" s="5"/>
      <c r="BF335" s="5"/>
    </row>
    <row r="336" spans="1:58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  <c r="BE336" s="5"/>
      <c r="BF336" s="5"/>
    </row>
    <row r="337" spans="1:58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B337" s="5"/>
      <c r="BC337" s="5"/>
      <c r="BD337" s="5"/>
      <c r="BE337" s="5"/>
      <c r="BF337" s="5"/>
    </row>
    <row r="338" spans="1:58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  <c r="BE338" s="5"/>
      <c r="BF338" s="5"/>
    </row>
    <row r="339" spans="1:58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  <c r="BE339" s="5"/>
      <c r="BF339" s="5"/>
    </row>
    <row r="340" spans="1:58"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B340" s="5"/>
      <c r="BC340" s="5"/>
      <c r="BD340" s="5"/>
      <c r="BE340" s="5"/>
      <c r="BF340" s="5"/>
    </row>
  </sheetData>
  <mergeCells count="7">
    <mergeCell ref="O9:P9"/>
    <mergeCell ref="F4:L4"/>
    <mergeCell ref="G7:I7"/>
    <mergeCell ref="J7:K7"/>
    <mergeCell ref="B9:C9"/>
    <mergeCell ref="F9:L9"/>
    <mergeCell ref="E5:M5"/>
  </mergeCells>
  <pageMargins left="0.7" right="0.7" top="0.75" bottom="0.75" header="0.3" footer="0.3"/>
  <pageSetup paperSize="9" scale="1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F338"/>
  <sheetViews>
    <sheetView showGridLines="0" topLeftCell="B67" zoomScale="85" zoomScaleNormal="85" workbookViewId="0">
      <selection activeCell="E6" sqref="E6"/>
    </sheetView>
  </sheetViews>
  <sheetFormatPr baseColWidth="10" defaultColWidth="11.5" defaultRowHeight="14" outlineLevelRow="1"/>
  <cols>
    <col min="1" max="1" width="4.1640625" style="1" customWidth="1"/>
    <col min="2" max="2" width="30.1640625" style="1" customWidth="1"/>
    <col min="3" max="3" width="27.33203125" style="1" bestFit="1" customWidth="1"/>
    <col min="4" max="4" width="15.5" style="1" customWidth="1"/>
    <col min="5" max="5" width="14.83203125" style="1" bestFit="1" customWidth="1"/>
    <col min="6" max="6" width="16.33203125" style="1" customWidth="1"/>
    <col min="7" max="7" width="15.6640625" style="1" customWidth="1"/>
    <col min="8" max="8" width="19.6640625" style="1" customWidth="1"/>
    <col min="9" max="9" width="18.5" style="1" bestFit="1" customWidth="1"/>
    <col min="10" max="10" width="19.83203125" style="1" bestFit="1" customWidth="1"/>
    <col min="11" max="11" width="15.6640625" style="1" customWidth="1"/>
    <col min="12" max="12" width="20.5" style="1" customWidth="1"/>
    <col min="13" max="13" width="18.83203125" style="1" bestFit="1" customWidth="1"/>
    <col min="14" max="16" width="15.6640625" style="1" customWidth="1"/>
    <col min="17" max="19" width="20.6640625" style="1" customWidth="1"/>
    <col min="20" max="25" width="11.5" style="1"/>
    <col min="26" max="26" width="17.5" style="1" bestFit="1" customWidth="1"/>
    <col min="27" max="27" width="11.5" style="1"/>
    <col min="28" max="28" width="14.5" style="1" bestFit="1" customWidth="1"/>
    <col min="29" max="29" width="16.33203125" style="1" bestFit="1" customWidth="1"/>
    <col min="30" max="38" width="14.5" style="1" bestFit="1" customWidth="1"/>
    <col min="39" max="16384" width="11.5" style="1"/>
  </cols>
  <sheetData>
    <row r="1" spans="2:58" ht="15" hidden="1" outlineLevel="1" thickBot="1">
      <c r="B1" s="5" t="s">
        <v>68</v>
      </c>
      <c r="C1" s="58">
        <f>EDATE($F$33,C15)</f>
        <v>44926</v>
      </c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</row>
    <row r="2" spans="2:58" ht="15" hidden="1" outlineLevel="1" thickBot="1">
      <c r="B2" s="5" t="s">
        <v>69</v>
      </c>
      <c r="C2" s="58">
        <f>EDATE(C1,C19+C24)</f>
        <v>45016</v>
      </c>
      <c r="W2" s="5"/>
      <c r="X2" s="5"/>
      <c r="Y2" s="5"/>
      <c r="Z2" s="46" t="s">
        <v>42</v>
      </c>
      <c r="AA2" s="47"/>
      <c r="AB2" s="47">
        <v>0</v>
      </c>
      <c r="AC2" s="47">
        <v>1</v>
      </c>
      <c r="AD2" s="47">
        <v>2</v>
      </c>
      <c r="AE2" s="47">
        <v>3</v>
      </c>
      <c r="AF2" s="47">
        <v>4</v>
      </c>
      <c r="AG2" s="47">
        <v>5</v>
      </c>
      <c r="AH2" s="47">
        <v>6</v>
      </c>
      <c r="AI2" s="47">
        <v>7</v>
      </c>
      <c r="AJ2" s="47">
        <v>8</v>
      </c>
      <c r="AK2" s="47">
        <v>9</v>
      </c>
      <c r="AL2" s="48">
        <v>10</v>
      </c>
      <c r="AM2" s="48">
        <v>11</v>
      </c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</row>
    <row r="3" spans="2:58" ht="15" hidden="1" outlineLevel="1" thickBot="1">
      <c r="B3" s="5" t="s">
        <v>70</v>
      </c>
      <c r="C3" s="58">
        <f>EDATE(C2,C25)</f>
        <v>45565</v>
      </c>
      <c r="W3" s="5"/>
      <c r="X3" s="5"/>
      <c r="Y3" s="5"/>
      <c r="Z3" s="35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7"/>
      <c r="AM3" s="37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</row>
    <row r="4" spans="2:58" ht="20" customHeight="1" collapsed="1" thickBot="1">
      <c r="F4" s="283" t="s">
        <v>106</v>
      </c>
      <c r="G4" s="284"/>
      <c r="H4" s="284"/>
      <c r="I4" s="284"/>
      <c r="J4" s="284"/>
      <c r="K4" s="284"/>
      <c r="L4" s="285"/>
      <c r="W4" s="5"/>
      <c r="X4" s="5"/>
      <c r="Y4" s="5"/>
      <c r="Z4" s="49" t="s">
        <v>46</v>
      </c>
      <c r="AA4" s="38"/>
      <c r="AB4" s="50">
        <f>H15</f>
        <v>19500000</v>
      </c>
      <c r="AC4" s="38"/>
      <c r="AD4" s="38"/>
      <c r="AE4" s="38"/>
      <c r="AF4" s="38"/>
      <c r="AG4" s="38"/>
      <c r="AH4" s="38"/>
      <c r="AI4" s="38"/>
      <c r="AJ4" s="38"/>
      <c r="AK4" s="38"/>
      <c r="AL4" s="39"/>
      <c r="AM4" s="39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</row>
    <row r="5" spans="2:58" ht="20" customHeight="1">
      <c r="B5" s="219"/>
      <c r="C5" s="219"/>
      <c r="D5" s="219"/>
      <c r="E5" s="280"/>
      <c r="F5" s="281"/>
      <c r="G5" s="281"/>
      <c r="H5" s="281"/>
      <c r="I5" s="281"/>
      <c r="J5" s="281"/>
      <c r="K5" s="281"/>
      <c r="L5" s="281"/>
      <c r="M5" s="282"/>
      <c r="N5" s="219"/>
      <c r="O5" s="219"/>
      <c r="P5" s="219"/>
      <c r="Q5" s="219"/>
      <c r="R5" s="219"/>
      <c r="W5" s="5"/>
      <c r="X5" s="5"/>
      <c r="Y5" s="5"/>
      <c r="Z5" s="35"/>
      <c r="AA5" s="36"/>
      <c r="AB5" s="40"/>
      <c r="AC5" s="36"/>
      <c r="AD5" s="36"/>
      <c r="AE5" s="36"/>
      <c r="AF5" s="36"/>
      <c r="AG5" s="36"/>
      <c r="AH5" s="36"/>
      <c r="AI5" s="36"/>
      <c r="AJ5" s="36"/>
      <c r="AK5" s="36"/>
      <c r="AL5" s="37"/>
      <c r="AM5" s="37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</row>
    <row r="6" spans="2:58" s="222" customFormat="1" ht="20" customHeight="1" thickBot="1">
      <c r="B6" s="221"/>
      <c r="C6" s="221"/>
      <c r="D6" s="221"/>
      <c r="E6" s="220"/>
      <c r="F6" s="220"/>
      <c r="G6" s="220"/>
      <c r="H6" s="220"/>
      <c r="I6" s="220"/>
      <c r="J6" s="220"/>
      <c r="K6" s="220"/>
      <c r="L6" s="220"/>
      <c r="M6" s="220"/>
      <c r="N6" s="221"/>
      <c r="O6" s="221"/>
      <c r="P6" s="221"/>
      <c r="Q6" s="221"/>
      <c r="R6" s="221"/>
      <c r="W6" s="223"/>
      <c r="X6" s="223"/>
      <c r="Y6" s="223"/>
      <c r="Z6" s="224"/>
      <c r="AA6" s="225"/>
      <c r="AB6" s="226"/>
      <c r="AC6" s="225"/>
      <c r="AD6" s="225"/>
      <c r="AE6" s="225"/>
      <c r="AF6" s="225"/>
      <c r="AG6" s="225"/>
      <c r="AH6" s="225"/>
      <c r="AI6" s="225"/>
      <c r="AJ6" s="225"/>
      <c r="AK6" s="225"/>
      <c r="AL6" s="227"/>
      <c r="AM6" s="227"/>
      <c r="AN6" s="223"/>
      <c r="AO6" s="223"/>
      <c r="AP6" s="223"/>
      <c r="AQ6" s="223"/>
      <c r="AR6" s="223"/>
      <c r="AS6" s="223"/>
      <c r="AT6" s="223"/>
      <c r="AU6" s="223"/>
      <c r="AV6" s="223"/>
      <c r="AW6" s="223"/>
      <c r="AX6" s="223"/>
      <c r="AY6" s="223"/>
      <c r="AZ6" s="223"/>
      <c r="BA6" s="223"/>
      <c r="BB6" s="223"/>
      <c r="BC6" s="223"/>
      <c r="BD6" s="223"/>
      <c r="BE6" s="223"/>
      <c r="BF6" s="223"/>
    </row>
    <row r="7" spans="2:58" ht="20" customHeight="1" thickBot="1">
      <c r="F7" s="100"/>
      <c r="G7" s="275" t="s">
        <v>88</v>
      </c>
      <c r="H7" s="276"/>
      <c r="I7" s="276"/>
      <c r="J7" s="277">
        <f>(K41)/H25</f>
        <v>0.10706918862441948</v>
      </c>
      <c r="K7" s="278"/>
      <c r="L7" s="100"/>
      <c r="M7" s="139"/>
      <c r="W7" s="5"/>
      <c r="X7" s="5"/>
      <c r="Y7" s="5"/>
      <c r="Z7" s="35"/>
      <c r="AA7" s="36"/>
      <c r="AB7" s="40"/>
      <c r="AC7" s="36"/>
      <c r="AD7" s="36"/>
      <c r="AE7" s="36"/>
      <c r="AF7" s="36"/>
      <c r="AG7" s="36"/>
      <c r="AH7" s="36"/>
      <c r="AI7" s="36"/>
      <c r="AJ7" s="36"/>
      <c r="AK7" s="36"/>
      <c r="AL7" s="37"/>
      <c r="AM7" s="37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</row>
    <row r="8" spans="2:58" ht="15" thickBot="1">
      <c r="G8" s="161" t="s">
        <v>107</v>
      </c>
      <c r="H8" s="162"/>
      <c r="I8" s="163">
        <f>H25/C11</f>
        <v>1060.1470588235295</v>
      </c>
      <c r="J8" s="162" t="s">
        <v>108</v>
      </c>
      <c r="K8" s="164">
        <f>MAX(F73,G73,H73,I73,J73,K73,L73,M73,N73,O73,P73)/$C$11</f>
        <v>1816.1453665728002</v>
      </c>
      <c r="W8" s="5"/>
      <c r="X8" s="5"/>
      <c r="Y8" s="5"/>
      <c r="Z8" s="35" t="s">
        <v>47</v>
      </c>
      <c r="AA8" s="36"/>
      <c r="AB8" s="36"/>
      <c r="AC8" s="40">
        <f>AB4+AB8-AB10</f>
        <v>19500000</v>
      </c>
      <c r="AD8" s="40">
        <f t="shared" ref="AD8:AL8" si="0">AC4+AC8-AC10</f>
        <v>19402500</v>
      </c>
      <c r="AE8" s="40">
        <f t="shared" si="0"/>
        <v>19305487.5</v>
      </c>
      <c r="AF8" s="40">
        <f t="shared" si="0"/>
        <v>19208960.0625</v>
      </c>
      <c r="AG8" s="40">
        <f t="shared" si="0"/>
        <v>19112915.2621875</v>
      </c>
      <c r="AH8" s="40">
        <f>AG4+AG8-AG10</f>
        <v>0</v>
      </c>
      <c r="AI8" s="40">
        <f t="shared" si="0"/>
        <v>0</v>
      </c>
      <c r="AJ8" s="40">
        <f t="shared" si="0"/>
        <v>0</v>
      </c>
      <c r="AK8" s="40">
        <f t="shared" si="0"/>
        <v>0</v>
      </c>
      <c r="AL8" s="41">
        <f t="shared" si="0"/>
        <v>0</v>
      </c>
      <c r="AM8" s="41">
        <f>AL4+AL8-AL10</f>
        <v>0</v>
      </c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</row>
    <row r="9" spans="2:58" ht="16">
      <c r="B9" s="270" t="s">
        <v>15</v>
      </c>
      <c r="C9" s="271"/>
      <c r="F9" s="279" t="s">
        <v>38</v>
      </c>
      <c r="G9" s="286"/>
      <c r="H9" s="286"/>
      <c r="I9" s="286"/>
      <c r="J9" s="286"/>
      <c r="K9" s="286"/>
      <c r="L9" s="279"/>
      <c r="O9" s="270" t="s">
        <v>39</v>
      </c>
      <c r="P9" s="271"/>
      <c r="W9" s="5"/>
      <c r="X9" s="5"/>
      <c r="Y9" s="5"/>
      <c r="Z9" s="35" t="s">
        <v>48</v>
      </c>
      <c r="AA9" s="36"/>
      <c r="AB9" s="36"/>
      <c r="AC9" s="40">
        <f t="shared" ref="AC9:AM9" si="1">$P$13*AC8</f>
        <v>390000</v>
      </c>
      <c r="AD9" s="40">
        <f t="shared" si="1"/>
        <v>388050</v>
      </c>
      <c r="AE9" s="40">
        <f t="shared" si="1"/>
        <v>386109.75</v>
      </c>
      <c r="AF9" s="40">
        <f t="shared" si="1"/>
        <v>384179.20124999998</v>
      </c>
      <c r="AG9" s="40">
        <f t="shared" si="1"/>
        <v>382258.30524374999</v>
      </c>
      <c r="AH9" s="40">
        <f t="shared" si="1"/>
        <v>0</v>
      </c>
      <c r="AI9" s="40">
        <f t="shared" si="1"/>
        <v>0</v>
      </c>
      <c r="AJ9" s="40">
        <f t="shared" si="1"/>
        <v>0</v>
      </c>
      <c r="AK9" s="40">
        <f t="shared" si="1"/>
        <v>0</v>
      </c>
      <c r="AL9" s="41">
        <f t="shared" si="1"/>
        <v>0</v>
      </c>
      <c r="AM9" s="41">
        <f t="shared" si="1"/>
        <v>0</v>
      </c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</row>
    <row r="10" spans="2:58" ht="15" thickBot="1">
      <c r="B10" s="108" t="s">
        <v>96</v>
      </c>
      <c r="C10" s="141">
        <v>44561</v>
      </c>
      <c r="F10" s="4"/>
      <c r="G10" s="2"/>
      <c r="H10" s="2"/>
      <c r="I10" s="2"/>
      <c r="J10" s="2"/>
      <c r="K10" s="2"/>
      <c r="L10" s="3"/>
      <c r="O10" s="4"/>
      <c r="P10" s="3"/>
      <c r="W10" s="5"/>
      <c r="X10" s="5"/>
      <c r="Y10" s="5"/>
      <c r="Z10" s="35" t="s">
        <v>49</v>
      </c>
      <c r="AA10" s="36"/>
      <c r="AB10" s="36"/>
      <c r="AC10" s="40">
        <f t="shared" ref="AC10:AM10" si="2">IF($P$15&gt;AC2,AC8*$P$14,IF($P$15=AC2,AC8,0))</f>
        <v>97500</v>
      </c>
      <c r="AD10" s="40">
        <f t="shared" si="2"/>
        <v>97012.5</v>
      </c>
      <c r="AE10" s="40">
        <f t="shared" si="2"/>
        <v>96527.4375</v>
      </c>
      <c r="AF10" s="40">
        <f t="shared" si="2"/>
        <v>96044.800312499996</v>
      </c>
      <c r="AG10" s="40">
        <f t="shared" si="2"/>
        <v>19112915.2621875</v>
      </c>
      <c r="AH10" s="40">
        <f t="shared" si="2"/>
        <v>0</v>
      </c>
      <c r="AI10" s="40">
        <f t="shared" si="2"/>
        <v>0</v>
      </c>
      <c r="AJ10" s="40">
        <f t="shared" si="2"/>
        <v>0</v>
      </c>
      <c r="AK10" s="40">
        <f t="shared" si="2"/>
        <v>0</v>
      </c>
      <c r="AL10" s="41">
        <f t="shared" si="2"/>
        <v>0</v>
      </c>
      <c r="AM10" s="41">
        <f t="shared" si="2"/>
        <v>0</v>
      </c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</row>
    <row r="11" spans="2:58" ht="15" thickTop="1">
      <c r="B11" s="12" t="s">
        <v>16</v>
      </c>
      <c r="C11" s="14">
        <v>34000</v>
      </c>
      <c r="F11" s="4"/>
      <c r="G11" s="52"/>
      <c r="H11" s="2"/>
      <c r="I11" s="2"/>
      <c r="J11" s="2"/>
      <c r="K11" s="2"/>
      <c r="L11" s="3"/>
      <c r="O11" s="4"/>
      <c r="P11" s="3"/>
      <c r="W11" s="5"/>
      <c r="X11" s="5"/>
      <c r="Y11" s="5"/>
      <c r="Z11" s="42" t="s">
        <v>50</v>
      </c>
      <c r="AA11" s="43"/>
      <c r="AB11" s="43"/>
      <c r="AC11" s="44">
        <f t="shared" ref="AC11:AM11" si="3">AC10+AC9</f>
        <v>487500</v>
      </c>
      <c r="AD11" s="44">
        <f t="shared" si="3"/>
        <v>485062.5</v>
      </c>
      <c r="AE11" s="44">
        <f t="shared" si="3"/>
        <v>482637.1875</v>
      </c>
      <c r="AF11" s="44">
        <f t="shared" si="3"/>
        <v>480224.00156249997</v>
      </c>
      <c r="AG11" s="44">
        <f t="shared" si="3"/>
        <v>19495173.567431249</v>
      </c>
      <c r="AH11" s="44">
        <f t="shared" si="3"/>
        <v>0</v>
      </c>
      <c r="AI11" s="44">
        <f t="shared" si="3"/>
        <v>0</v>
      </c>
      <c r="AJ11" s="44">
        <f t="shared" si="3"/>
        <v>0</v>
      </c>
      <c r="AK11" s="44">
        <f t="shared" si="3"/>
        <v>0</v>
      </c>
      <c r="AL11" s="45">
        <f t="shared" si="3"/>
        <v>0</v>
      </c>
      <c r="AM11" s="45">
        <f t="shared" si="3"/>
        <v>0</v>
      </c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</row>
    <row r="12" spans="2:58" ht="15" thickBot="1">
      <c r="B12" s="12" t="s">
        <v>17</v>
      </c>
      <c r="C12" s="15">
        <v>0.5</v>
      </c>
      <c r="F12" s="108" t="s">
        <v>35</v>
      </c>
      <c r="G12" s="98"/>
      <c r="H12" s="110"/>
      <c r="I12" s="98"/>
      <c r="J12" s="108" t="s">
        <v>30</v>
      </c>
      <c r="K12" s="109"/>
      <c r="L12" s="110"/>
      <c r="O12" s="26" t="s">
        <v>42</v>
      </c>
      <c r="P12" s="3"/>
      <c r="W12" s="5"/>
      <c r="X12" s="5"/>
      <c r="Y12" s="5"/>
      <c r="Z12" s="4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7"/>
      <c r="AM12" s="37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</row>
    <row r="13" spans="2:58" ht="15" thickTop="1">
      <c r="B13" s="12" t="s">
        <v>18</v>
      </c>
      <c r="C13" s="16">
        <f>C14*C12*C11</f>
        <v>1700000</v>
      </c>
      <c r="D13" s="139"/>
      <c r="F13" s="26" t="s">
        <v>141</v>
      </c>
      <c r="G13" s="160">
        <f>a!O8</f>
        <v>0.95</v>
      </c>
      <c r="H13" s="24">
        <f>($L$25-$H$15-H16)*G13</f>
        <v>12568500</v>
      </c>
      <c r="I13" s="2"/>
      <c r="J13" s="26" t="s">
        <v>31</v>
      </c>
      <c r="K13" s="53"/>
      <c r="L13" s="114">
        <v>30000000</v>
      </c>
      <c r="M13" s="250"/>
      <c r="O13" s="31" t="s">
        <v>43</v>
      </c>
      <c r="P13" s="32">
        <v>0.02</v>
      </c>
      <c r="W13" s="5"/>
      <c r="X13" s="5"/>
      <c r="Y13" s="5"/>
      <c r="Z13" s="35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7"/>
      <c r="AM13" s="37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</row>
    <row r="14" spans="2:58">
      <c r="B14" s="13" t="s">
        <v>19</v>
      </c>
      <c r="C14" s="16">
        <v>100</v>
      </c>
      <c r="F14" s="26" t="s">
        <v>36</v>
      </c>
      <c r="G14" s="160">
        <f>a!O9</f>
        <v>5.0000000000000044E-2</v>
      </c>
      <c r="H14" s="24">
        <f>($L$25-$H$15-H16)*G14</f>
        <v>661500.00000000058</v>
      </c>
      <c r="I14" s="2"/>
      <c r="J14" s="26" t="s">
        <v>40</v>
      </c>
      <c r="K14" s="52"/>
      <c r="L14" s="115">
        <f>C18*C11</f>
        <v>5100000</v>
      </c>
      <c r="O14" s="31" t="s">
        <v>44</v>
      </c>
      <c r="P14" s="32">
        <v>5.0000000000000001E-3</v>
      </c>
      <c r="W14" s="5"/>
      <c r="X14" s="5"/>
      <c r="Y14" s="5"/>
      <c r="Z14" s="35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7"/>
      <c r="AM14" s="37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</row>
    <row r="15" spans="2:58">
      <c r="B15" s="12" t="s">
        <v>20</v>
      </c>
      <c r="C15" s="17">
        <v>12</v>
      </c>
      <c r="F15" s="26" t="s">
        <v>42</v>
      </c>
      <c r="G15" s="218">
        <v>0.65</v>
      </c>
      <c r="H15" s="24">
        <f>G15*L13</f>
        <v>19500000</v>
      </c>
      <c r="I15" s="2"/>
      <c r="J15" s="26" t="s">
        <v>32</v>
      </c>
      <c r="K15" s="54">
        <v>2.5000000000000001E-2</v>
      </c>
      <c r="L15" s="116">
        <f>L13*K15</f>
        <v>750000</v>
      </c>
      <c r="O15" s="31" t="s">
        <v>45</v>
      </c>
      <c r="P15" s="33">
        <v>5</v>
      </c>
      <c r="W15" s="5"/>
      <c r="X15" s="5"/>
      <c r="Y15" s="5"/>
      <c r="Z15" s="4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7"/>
      <c r="AM15" s="37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</row>
    <row r="16" spans="2:58">
      <c r="B16" s="12" t="s">
        <v>21</v>
      </c>
      <c r="C16" s="16">
        <v>75</v>
      </c>
      <c r="F16" s="26" t="s">
        <v>41</v>
      </c>
      <c r="G16" s="6">
        <f>C20</f>
        <v>0.65</v>
      </c>
      <c r="H16" s="24">
        <f>L14*G16</f>
        <v>3315000</v>
      </c>
      <c r="I16" s="2"/>
      <c r="J16" s="26" t="s">
        <v>33</v>
      </c>
      <c r="K16" s="54">
        <v>0.01</v>
      </c>
      <c r="L16" s="116">
        <f>K16*H15</f>
        <v>195000</v>
      </c>
      <c r="O16" s="31"/>
      <c r="P16" s="34"/>
      <c r="W16" s="5"/>
      <c r="X16" s="5"/>
      <c r="Y16" s="5"/>
      <c r="Z16" s="35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7"/>
      <c r="AM16" s="37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</row>
    <row r="17" spans="1:58">
      <c r="B17" s="12" t="s">
        <v>97</v>
      </c>
      <c r="C17" s="18">
        <v>0.01</v>
      </c>
      <c r="F17" s="30"/>
      <c r="G17" s="28"/>
      <c r="H17" s="29"/>
      <c r="I17" s="20"/>
      <c r="J17" s="30" t="s">
        <v>3</v>
      </c>
      <c r="K17" s="55"/>
      <c r="L17" s="159">
        <f>a!E14</f>
        <v>0</v>
      </c>
      <c r="M17" s="21"/>
      <c r="O17" s="26" t="s">
        <v>24</v>
      </c>
      <c r="P17" s="34"/>
      <c r="W17" s="5"/>
      <c r="X17" s="5"/>
      <c r="Y17" s="5"/>
      <c r="Z17" s="35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7"/>
      <c r="AM17" s="37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</row>
    <row r="18" spans="1:58">
      <c r="B18" s="12" t="s">
        <v>22</v>
      </c>
      <c r="C18" s="16">
        <v>150</v>
      </c>
      <c r="F18" s="4"/>
      <c r="G18" s="2"/>
      <c r="H18" s="2"/>
      <c r="I18" s="156"/>
      <c r="J18" s="36"/>
      <c r="K18" s="102"/>
      <c r="L18" s="24"/>
      <c r="O18" s="31" t="s">
        <v>43</v>
      </c>
      <c r="P18" s="32">
        <v>0.02</v>
      </c>
      <c r="W18" s="5"/>
      <c r="X18" s="5"/>
      <c r="Y18" s="5"/>
      <c r="Z18" s="46" t="s">
        <v>53</v>
      </c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8"/>
      <c r="AM18" s="48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</row>
    <row r="19" spans="1:58">
      <c r="B19" s="13" t="s">
        <v>23</v>
      </c>
      <c r="C19" s="17">
        <v>3</v>
      </c>
      <c r="F19" s="4"/>
      <c r="G19" s="2"/>
      <c r="H19" s="2"/>
      <c r="I19" s="59"/>
      <c r="J19" s="2"/>
      <c r="K19" s="2"/>
      <c r="L19" s="3"/>
      <c r="O19" s="31" t="s">
        <v>44</v>
      </c>
      <c r="P19" s="32">
        <v>0</v>
      </c>
      <c r="W19" s="5"/>
      <c r="X19" s="5"/>
      <c r="Y19" s="5"/>
      <c r="Z19" s="35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7"/>
      <c r="AM19" s="37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</row>
    <row r="20" spans="1:58">
      <c r="B20" s="13" t="s">
        <v>24</v>
      </c>
      <c r="C20" s="18">
        <v>0.65</v>
      </c>
      <c r="F20" s="4"/>
      <c r="G20" s="2"/>
      <c r="H20" s="2"/>
      <c r="I20" s="59"/>
      <c r="J20" s="2"/>
      <c r="K20" s="2"/>
      <c r="L20" s="3"/>
      <c r="O20" s="31" t="s">
        <v>45</v>
      </c>
      <c r="P20" s="33">
        <v>5</v>
      </c>
      <c r="W20" s="5"/>
      <c r="X20" s="5"/>
      <c r="Y20" s="5"/>
      <c r="Z20" s="49" t="s">
        <v>46</v>
      </c>
      <c r="AA20" s="38"/>
      <c r="AB20" s="50">
        <f>H16</f>
        <v>3315000</v>
      </c>
      <c r="AC20" s="38"/>
      <c r="AD20" s="38"/>
      <c r="AE20" s="38"/>
      <c r="AF20" s="38"/>
      <c r="AG20" s="38"/>
      <c r="AH20" s="38"/>
      <c r="AI20" s="38"/>
      <c r="AJ20" s="38"/>
      <c r="AK20" s="38"/>
      <c r="AL20" s="39"/>
      <c r="AM20" s="39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</row>
    <row r="21" spans="1:58">
      <c r="B21" s="13" t="s">
        <v>25</v>
      </c>
      <c r="C21" s="18">
        <v>0.9</v>
      </c>
      <c r="F21" s="4"/>
      <c r="G21" s="2"/>
      <c r="H21" s="2"/>
      <c r="I21" s="59"/>
      <c r="J21" s="2"/>
      <c r="K21" s="2"/>
      <c r="L21" s="3"/>
      <c r="O21" s="26"/>
      <c r="P21" s="3"/>
      <c r="W21" s="5"/>
      <c r="X21" s="5"/>
      <c r="Y21" s="5"/>
      <c r="Z21" s="35" t="s">
        <v>47</v>
      </c>
      <c r="AA21" s="36"/>
      <c r="AB21" s="36"/>
      <c r="AC21" s="40">
        <f>AB20+AB21-AB23</f>
        <v>3315000</v>
      </c>
      <c r="AD21" s="40">
        <f t="shared" ref="AD21:AM21" si="4">AC20+AC21-AC23</f>
        <v>3315000</v>
      </c>
      <c r="AE21" s="40">
        <f t="shared" si="4"/>
        <v>3315000</v>
      </c>
      <c r="AF21" s="40">
        <f t="shared" si="4"/>
        <v>3315000</v>
      </c>
      <c r="AG21" s="40">
        <f t="shared" si="4"/>
        <v>3315000</v>
      </c>
      <c r="AH21" s="40">
        <f t="shared" si="4"/>
        <v>0</v>
      </c>
      <c r="AI21" s="40">
        <f t="shared" si="4"/>
        <v>0</v>
      </c>
      <c r="AJ21" s="40">
        <f t="shared" si="4"/>
        <v>0</v>
      </c>
      <c r="AK21" s="40">
        <f t="shared" si="4"/>
        <v>0</v>
      </c>
      <c r="AL21" s="41">
        <f t="shared" si="4"/>
        <v>0</v>
      </c>
      <c r="AM21" s="41">
        <f t="shared" si="4"/>
        <v>0</v>
      </c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</row>
    <row r="22" spans="1:58">
      <c r="B22" s="13" t="s">
        <v>26</v>
      </c>
      <c r="C22" s="18">
        <v>0.01</v>
      </c>
      <c r="F22" s="4"/>
      <c r="G22" s="2"/>
      <c r="H22" s="2"/>
      <c r="I22" s="59"/>
      <c r="J22" s="2"/>
      <c r="K22" s="2"/>
      <c r="L22" s="3"/>
      <c r="O22" s="26"/>
      <c r="P22" s="3"/>
      <c r="W22" s="5"/>
      <c r="X22" s="5"/>
      <c r="Y22" s="5"/>
      <c r="Z22" s="35" t="s">
        <v>48</v>
      </c>
      <c r="AA22" s="36"/>
      <c r="AB22" s="36"/>
      <c r="AC22" s="40">
        <f>$P$18*AC21</f>
        <v>66300</v>
      </c>
      <c r="AD22" s="40">
        <f t="shared" ref="AD22:AM22" si="5">$P$18*AD21</f>
        <v>66300</v>
      </c>
      <c r="AE22" s="40">
        <f t="shared" si="5"/>
        <v>66300</v>
      </c>
      <c r="AF22" s="40">
        <f t="shared" si="5"/>
        <v>66300</v>
      </c>
      <c r="AG22" s="40">
        <f t="shared" si="5"/>
        <v>66300</v>
      </c>
      <c r="AH22" s="40">
        <f t="shared" si="5"/>
        <v>0</v>
      </c>
      <c r="AI22" s="40">
        <f t="shared" si="5"/>
        <v>0</v>
      </c>
      <c r="AJ22" s="40">
        <f t="shared" si="5"/>
        <v>0</v>
      </c>
      <c r="AK22" s="40">
        <f t="shared" si="5"/>
        <v>0</v>
      </c>
      <c r="AL22" s="41">
        <f t="shared" si="5"/>
        <v>0</v>
      </c>
      <c r="AM22" s="41">
        <f t="shared" si="5"/>
        <v>0</v>
      </c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</row>
    <row r="23" spans="1:58">
      <c r="B23" s="12" t="s">
        <v>95</v>
      </c>
      <c r="C23" s="16">
        <v>120</v>
      </c>
      <c r="F23" s="4"/>
      <c r="G23" s="2"/>
      <c r="H23" s="2"/>
      <c r="I23" s="59"/>
      <c r="J23" s="2"/>
      <c r="K23" s="2"/>
      <c r="L23" s="3"/>
      <c r="O23" s="26"/>
      <c r="P23" s="3"/>
      <c r="W23" s="5"/>
      <c r="X23" s="5"/>
      <c r="Y23" s="5"/>
      <c r="Z23" s="35" t="s">
        <v>49</v>
      </c>
      <c r="AA23" s="36"/>
      <c r="AB23" s="36"/>
      <c r="AC23" s="40">
        <f t="shared" ref="AC23:AM23" si="6">IF($P$20&gt;AC2,AC21*$P$19,IF($P$20=AC2,AC21,0))</f>
        <v>0</v>
      </c>
      <c r="AD23" s="40">
        <f t="shared" si="6"/>
        <v>0</v>
      </c>
      <c r="AE23" s="40">
        <f t="shared" si="6"/>
        <v>0</v>
      </c>
      <c r="AF23" s="40">
        <f t="shared" si="6"/>
        <v>0</v>
      </c>
      <c r="AG23" s="40">
        <f t="shared" si="6"/>
        <v>3315000</v>
      </c>
      <c r="AH23" s="40">
        <f t="shared" si="6"/>
        <v>0</v>
      </c>
      <c r="AI23" s="40">
        <f t="shared" si="6"/>
        <v>0</v>
      </c>
      <c r="AJ23" s="40">
        <f t="shared" si="6"/>
        <v>0</v>
      </c>
      <c r="AK23" s="40">
        <f t="shared" si="6"/>
        <v>0</v>
      </c>
      <c r="AL23" s="41">
        <f t="shared" si="6"/>
        <v>0</v>
      </c>
      <c r="AM23" s="41">
        <f t="shared" si="6"/>
        <v>0</v>
      </c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</row>
    <row r="24" spans="1:58" ht="15" thickBot="1">
      <c r="B24" s="12" t="s">
        <v>27</v>
      </c>
      <c r="C24" s="17">
        <v>0</v>
      </c>
      <c r="F24" s="122"/>
      <c r="G24" s="23"/>
      <c r="H24" s="23"/>
      <c r="I24" s="157"/>
      <c r="J24" s="155"/>
      <c r="K24" s="123"/>
      <c r="L24" s="25"/>
      <c r="O24" s="26"/>
      <c r="P24" s="3"/>
      <c r="W24" s="5"/>
      <c r="X24" s="5"/>
      <c r="Y24" s="5"/>
      <c r="Z24" s="42" t="s">
        <v>50</v>
      </c>
      <c r="AA24" s="43"/>
      <c r="AB24" s="43"/>
      <c r="AC24" s="44">
        <f>AC23+AC22</f>
        <v>66300</v>
      </c>
      <c r="AD24" s="44">
        <f>AD23+AD22</f>
        <v>66300</v>
      </c>
      <c r="AE24" s="44">
        <f t="shared" ref="AE24:AM24" si="7">AE23+AE22</f>
        <v>66300</v>
      </c>
      <c r="AF24" s="44">
        <f t="shared" si="7"/>
        <v>66300</v>
      </c>
      <c r="AG24" s="44">
        <f t="shared" si="7"/>
        <v>3381300</v>
      </c>
      <c r="AH24" s="44">
        <f t="shared" si="7"/>
        <v>0</v>
      </c>
      <c r="AI24" s="44">
        <f t="shared" si="7"/>
        <v>0</v>
      </c>
      <c r="AJ24" s="44">
        <f t="shared" si="7"/>
        <v>0</v>
      </c>
      <c r="AK24" s="44">
        <f t="shared" si="7"/>
        <v>0</v>
      </c>
      <c r="AL24" s="45">
        <f t="shared" si="7"/>
        <v>0</v>
      </c>
      <c r="AM24" s="45">
        <f t="shared" si="7"/>
        <v>0</v>
      </c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</row>
    <row r="25" spans="1:58" ht="16" thickTop="1" thickBot="1">
      <c r="A25" s="5"/>
      <c r="B25" s="12" t="s">
        <v>28</v>
      </c>
      <c r="C25" s="17">
        <v>18</v>
      </c>
      <c r="D25" s="5"/>
      <c r="E25" s="5"/>
      <c r="F25" s="27" t="s">
        <v>37</v>
      </c>
      <c r="G25" s="117"/>
      <c r="H25" s="118">
        <f>SUM(H13:H18)</f>
        <v>36045000</v>
      </c>
      <c r="I25" s="117"/>
      <c r="J25" s="27" t="s">
        <v>34</v>
      </c>
      <c r="K25" s="22"/>
      <c r="L25" s="118">
        <f>SUM(L13:L18)</f>
        <v>36045000</v>
      </c>
      <c r="M25" s="5"/>
      <c r="N25" s="5"/>
      <c r="O25" s="26"/>
      <c r="P25" s="37"/>
      <c r="Q25" s="5"/>
      <c r="R25" s="5"/>
      <c r="S25" s="5"/>
      <c r="T25" s="5"/>
      <c r="U25" s="5"/>
      <c r="V25" s="5"/>
      <c r="W25" s="5"/>
      <c r="X25" s="5"/>
      <c r="Y25" s="5"/>
      <c r="Z25" s="35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7"/>
      <c r="AM25" s="37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</row>
    <row r="26" spans="1:58" ht="15" thickTop="1">
      <c r="A26" s="5"/>
      <c r="B26" s="12" t="s">
        <v>29</v>
      </c>
      <c r="C26" s="15">
        <v>6.25E-2</v>
      </c>
      <c r="D26" s="5"/>
      <c r="E26" s="5"/>
      <c r="I26" s="5"/>
      <c r="J26" s="5"/>
      <c r="K26" s="5"/>
      <c r="L26" s="5"/>
      <c r="M26" s="5"/>
      <c r="N26" s="5"/>
      <c r="O26" s="19"/>
      <c r="P26" s="5"/>
      <c r="Q26" s="5"/>
      <c r="R26" s="5"/>
      <c r="S26" s="5"/>
      <c r="T26" s="5"/>
      <c r="U26" s="5"/>
      <c r="V26" s="5"/>
      <c r="W26" s="5"/>
      <c r="X26" s="5"/>
      <c r="Y26" s="5"/>
      <c r="Z26" s="35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7"/>
      <c r="AM26" s="37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</row>
    <row r="27" spans="1:58">
      <c r="A27" s="5"/>
      <c r="B27" s="12" t="s">
        <v>120</v>
      </c>
      <c r="C27" s="167">
        <v>5</v>
      </c>
      <c r="D27" s="5"/>
      <c r="E27" s="5"/>
      <c r="I27" s="5"/>
      <c r="J27" s="5"/>
      <c r="K27" s="5"/>
      <c r="L27" s="5"/>
      <c r="M27" s="5"/>
      <c r="N27" s="5"/>
      <c r="O27" s="19"/>
      <c r="P27" s="5"/>
      <c r="Q27" s="5"/>
      <c r="R27" s="5"/>
      <c r="S27" s="5"/>
      <c r="T27" s="5"/>
      <c r="U27" s="5"/>
      <c r="V27" s="5"/>
      <c r="W27" s="5"/>
      <c r="X27" s="5"/>
      <c r="Y27" s="5"/>
      <c r="Z27" s="35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7"/>
      <c r="AM27" s="37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</row>
    <row r="28" spans="1:58" ht="17.25" customHeight="1">
      <c r="A28" s="5"/>
      <c r="B28" s="12" t="s">
        <v>121</v>
      </c>
      <c r="C28" s="169">
        <f>IF(C27=E35,F36,IF(C27=F35,G36,IF(C27=G35,H36,IF(C27=H35,I36,IF(C27=I35,J36,IF(J35=C27,K36,IF(C27=K35,L36,IF(C27=L35,M36,IF(M35=C27,N36,IF(C27=N35,O36,IF(C27=O35,P36,0)))))))))))</f>
        <v>7</v>
      </c>
      <c r="D28" s="5"/>
      <c r="E28" s="5"/>
      <c r="G28" s="21"/>
      <c r="I28" s="5"/>
      <c r="J28" s="5"/>
      <c r="K28" s="5"/>
      <c r="L28" s="5"/>
      <c r="M28" s="5"/>
      <c r="N28" s="5"/>
      <c r="O28" s="19"/>
      <c r="P28" s="5"/>
      <c r="Q28" s="5"/>
      <c r="R28" s="5"/>
      <c r="S28" s="5"/>
      <c r="T28" s="5"/>
      <c r="U28" s="5"/>
      <c r="V28" s="5"/>
      <c r="W28" s="5"/>
      <c r="X28" s="5"/>
      <c r="Y28" s="5"/>
      <c r="Z28" s="35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7"/>
      <c r="AM28" s="37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</row>
    <row r="29" spans="1:58">
      <c r="A29" s="5"/>
      <c r="B29" s="154" t="s">
        <v>137</v>
      </c>
      <c r="C29" s="168">
        <f>IF(C27=F35,F41,IF(C27=G35,G41,IF(C27=H35,H41,IF(C27=I35,I41,IF(C27=J35,J41,IF(K35=C27,K41,IF(C27=L35,L41,IF(C27=M35,M41,IF(N35=C27,N41,IF(C27=O35,O41,IF(C27=P35,P41,0)))))))))))</f>
        <v>3821097.92472</v>
      </c>
      <c r="D29" s="5"/>
      <c r="E29" s="5"/>
      <c r="Q29" s="5"/>
      <c r="R29" s="5"/>
      <c r="S29" s="5"/>
      <c r="T29" s="5"/>
      <c r="U29" s="5"/>
      <c r="V29" s="5"/>
      <c r="W29" s="5"/>
      <c r="X29" s="5"/>
      <c r="Y29" s="5"/>
      <c r="Z29" s="35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7"/>
      <c r="AM29" s="37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</row>
    <row r="30" spans="1:58">
      <c r="A30" s="5"/>
      <c r="D30" s="5"/>
      <c r="E30" s="5"/>
      <c r="F30" s="138"/>
      <c r="G30" s="138"/>
      <c r="H30" s="138"/>
      <c r="I30" s="138"/>
      <c r="J30" s="138"/>
      <c r="K30" s="138"/>
      <c r="L30" s="138"/>
      <c r="M30" s="138"/>
      <c r="N30" s="138"/>
      <c r="O30" s="138"/>
      <c r="P30" s="138"/>
      <c r="Q30" s="138"/>
      <c r="R30" s="5"/>
      <c r="S30" s="5"/>
      <c r="T30" s="5"/>
      <c r="U30" s="5"/>
      <c r="V30" s="5"/>
      <c r="W30" s="5"/>
      <c r="X30" s="5"/>
      <c r="Y30" s="5"/>
      <c r="Z30" s="49" t="s">
        <v>51</v>
      </c>
      <c r="AA30" s="38"/>
      <c r="AB30" s="38"/>
      <c r="AC30" s="50">
        <f t="shared" ref="AC30:AM30" si="8">AC9+AC22</f>
        <v>456300</v>
      </c>
      <c r="AD30" s="50">
        <f t="shared" si="8"/>
        <v>454350</v>
      </c>
      <c r="AE30" s="50">
        <f t="shared" si="8"/>
        <v>452409.75</v>
      </c>
      <c r="AF30" s="50">
        <f t="shared" si="8"/>
        <v>450479.20124999998</v>
      </c>
      <c r="AG30" s="50">
        <f t="shared" si="8"/>
        <v>448558.30524374999</v>
      </c>
      <c r="AH30" s="50">
        <f t="shared" si="8"/>
        <v>0</v>
      </c>
      <c r="AI30" s="50">
        <f t="shared" si="8"/>
        <v>0</v>
      </c>
      <c r="AJ30" s="50">
        <f t="shared" si="8"/>
        <v>0</v>
      </c>
      <c r="AK30" s="50">
        <f t="shared" si="8"/>
        <v>0</v>
      </c>
      <c r="AL30" s="51">
        <f t="shared" si="8"/>
        <v>0</v>
      </c>
      <c r="AM30" s="51">
        <f t="shared" si="8"/>
        <v>0</v>
      </c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</row>
    <row r="31" spans="1:58">
      <c r="A31" s="5"/>
      <c r="D31" s="5"/>
      <c r="E31" s="5"/>
      <c r="F31" s="5"/>
      <c r="G31" s="5"/>
      <c r="H31" s="5"/>
      <c r="I31" s="5"/>
      <c r="J31" s="13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35" t="s">
        <v>52</v>
      </c>
      <c r="AA31" s="36"/>
      <c r="AB31" s="36"/>
      <c r="AC31" s="40">
        <f t="shared" ref="AC31:AM31" si="9">AC10+AC23</f>
        <v>97500</v>
      </c>
      <c r="AD31" s="40">
        <f t="shared" si="9"/>
        <v>97012.5</v>
      </c>
      <c r="AE31" s="40">
        <f t="shared" si="9"/>
        <v>96527.4375</v>
      </c>
      <c r="AF31" s="40">
        <f t="shared" si="9"/>
        <v>96044.800312499996</v>
      </c>
      <c r="AG31" s="40">
        <f t="shared" si="9"/>
        <v>22427915.2621875</v>
      </c>
      <c r="AH31" s="40">
        <f t="shared" si="9"/>
        <v>0</v>
      </c>
      <c r="AI31" s="40">
        <f t="shared" si="9"/>
        <v>0</v>
      </c>
      <c r="AJ31" s="40">
        <f t="shared" si="9"/>
        <v>0</v>
      </c>
      <c r="AK31" s="40">
        <f t="shared" si="9"/>
        <v>0</v>
      </c>
      <c r="AL31" s="41">
        <f t="shared" si="9"/>
        <v>0</v>
      </c>
      <c r="AM31" s="41">
        <f t="shared" si="9"/>
        <v>0</v>
      </c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</row>
    <row r="32" spans="1:58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42" t="s">
        <v>50</v>
      </c>
      <c r="AA32" s="43"/>
      <c r="AB32" s="43"/>
      <c r="AC32" s="44">
        <f>AC30+AC31</f>
        <v>553800</v>
      </c>
      <c r="AD32" s="44">
        <f t="shared" ref="AD32:AM32" si="10">AD30+AD31</f>
        <v>551362.5</v>
      </c>
      <c r="AE32" s="44">
        <f t="shared" si="10"/>
        <v>548937.1875</v>
      </c>
      <c r="AF32" s="44">
        <f t="shared" si="10"/>
        <v>546524.00156250002</v>
      </c>
      <c r="AG32" s="44">
        <f t="shared" si="10"/>
        <v>22876473.567431249</v>
      </c>
      <c r="AH32" s="44">
        <f t="shared" si="10"/>
        <v>0</v>
      </c>
      <c r="AI32" s="44">
        <f t="shared" si="10"/>
        <v>0</v>
      </c>
      <c r="AJ32" s="44">
        <f t="shared" si="10"/>
        <v>0</v>
      </c>
      <c r="AK32" s="44">
        <f t="shared" si="10"/>
        <v>0</v>
      </c>
      <c r="AL32" s="45">
        <f t="shared" si="10"/>
        <v>0</v>
      </c>
      <c r="AM32" s="45">
        <f t="shared" si="10"/>
        <v>0</v>
      </c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</row>
    <row r="33" spans="1:58">
      <c r="A33" s="5"/>
      <c r="B33" s="81" t="s">
        <v>79</v>
      </c>
      <c r="C33" s="47"/>
      <c r="D33" s="47"/>
      <c r="E33" s="84" t="s">
        <v>98</v>
      </c>
      <c r="F33" s="82">
        <f>C10</f>
        <v>44561</v>
      </c>
      <c r="G33" s="82">
        <f>EDATE(F33,12)</f>
        <v>44926</v>
      </c>
      <c r="H33" s="82">
        <f t="shared" ref="H33:P33" si="11">EDATE(G33,12)</f>
        <v>45291</v>
      </c>
      <c r="I33" s="82">
        <f t="shared" si="11"/>
        <v>45657</v>
      </c>
      <c r="J33" s="82">
        <f t="shared" si="11"/>
        <v>46022</v>
      </c>
      <c r="K33" s="82">
        <f t="shared" si="11"/>
        <v>46387</v>
      </c>
      <c r="L33" s="82">
        <f t="shared" si="11"/>
        <v>46752</v>
      </c>
      <c r="M33" s="82">
        <f t="shared" si="11"/>
        <v>47118</v>
      </c>
      <c r="N33" s="82">
        <f t="shared" si="11"/>
        <v>47483</v>
      </c>
      <c r="O33" s="82">
        <f t="shared" si="11"/>
        <v>47848</v>
      </c>
      <c r="P33" s="83">
        <f t="shared" si="11"/>
        <v>48213</v>
      </c>
      <c r="Q33" s="83" t="s">
        <v>80</v>
      </c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</row>
    <row r="34" spans="1:58" outlineLevel="1">
      <c r="A34" s="5"/>
      <c r="B34" s="81"/>
      <c r="C34" s="47"/>
      <c r="D34" s="47"/>
      <c r="E34" s="147">
        <f>F33</f>
        <v>44561</v>
      </c>
      <c r="F34" s="82">
        <f t="shared" ref="F34:P34" si="12">EDATE(F33,12)-1</f>
        <v>44925</v>
      </c>
      <c r="G34" s="82">
        <f t="shared" si="12"/>
        <v>45290</v>
      </c>
      <c r="H34" s="82">
        <f t="shared" si="12"/>
        <v>45656</v>
      </c>
      <c r="I34" s="82">
        <f t="shared" si="12"/>
        <v>46021</v>
      </c>
      <c r="J34" s="82">
        <f t="shared" si="12"/>
        <v>46386</v>
      </c>
      <c r="K34" s="82">
        <f t="shared" si="12"/>
        <v>46751</v>
      </c>
      <c r="L34" s="82">
        <f t="shared" si="12"/>
        <v>47117</v>
      </c>
      <c r="M34" s="82">
        <f t="shared" si="12"/>
        <v>47482</v>
      </c>
      <c r="N34" s="82">
        <f t="shared" si="12"/>
        <v>47847</v>
      </c>
      <c r="O34" s="82">
        <f t="shared" si="12"/>
        <v>48212</v>
      </c>
      <c r="P34" s="83">
        <f t="shared" si="12"/>
        <v>48578</v>
      </c>
      <c r="Q34" s="83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</row>
    <row r="35" spans="1:58">
      <c r="A35" s="5"/>
      <c r="B35" s="81" t="s">
        <v>83</v>
      </c>
      <c r="C35" s="47"/>
      <c r="D35" s="47"/>
      <c r="E35" s="88">
        <v>0</v>
      </c>
      <c r="F35" s="142">
        <v>1</v>
      </c>
      <c r="G35" s="85">
        <v>2</v>
      </c>
      <c r="H35" s="85">
        <v>3</v>
      </c>
      <c r="I35" s="85">
        <v>4</v>
      </c>
      <c r="J35" s="85">
        <v>5</v>
      </c>
      <c r="K35" s="85">
        <v>6</v>
      </c>
      <c r="L35" s="85">
        <v>7</v>
      </c>
      <c r="M35" s="85">
        <v>8</v>
      </c>
      <c r="N35" s="85">
        <v>9</v>
      </c>
      <c r="O35" s="85">
        <v>10</v>
      </c>
      <c r="P35" s="85">
        <v>11</v>
      </c>
      <c r="Q35" s="84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</row>
    <row r="36" spans="1:58">
      <c r="A36" s="5"/>
      <c r="B36" s="35" t="s">
        <v>84</v>
      </c>
      <c r="C36" s="36"/>
      <c r="D36" s="36"/>
      <c r="E36" s="61">
        <v>2</v>
      </c>
      <c r="F36" s="144">
        <v>2</v>
      </c>
      <c r="G36" s="145">
        <v>3</v>
      </c>
      <c r="H36" s="145">
        <v>4</v>
      </c>
      <c r="I36" s="145">
        <v>5</v>
      </c>
      <c r="J36" s="145">
        <v>6</v>
      </c>
      <c r="K36" s="145">
        <v>7</v>
      </c>
      <c r="L36" s="145">
        <v>8</v>
      </c>
      <c r="M36" s="145">
        <v>9</v>
      </c>
      <c r="N36" s="145">
        <v>10</v>
      </c>
      <c r="O36" s="145">
        <v>11</v>
      </c>
      <c r="P36" s="145">
        <v>12</v>
      </c>
      <c r="Q36" s="59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</row>
    <row r="37" spans="1:58">
      <c r="A37" s="5"/>
      <c r="B37" s="81" t="s">
        <v>73</v>
      </c>
      <c r="C37" s="47"/>
      <c r="D37" s="47"/>
      <c r="E37" s="88"/>
      <c r="F37" s="146">
        <f>IF(F38&lt;&gt;0,$C$12*(F38/$C$13),IF(F39&lt;&gt;0,F39/(($C$23*(((1+$C$22)^E35)))*$C$11),0))</f>
        <v>0.5</v>
      </c>
      <c r="G37" s="101">
        <f t="shared" ref="G37:P37" si="13">IF(G38&lt;&gt;0,$C$12*(G38/$C$13),IF(G39&lt;&gt;0,G39/(($C$23*(((1+$C$22)^F35)))*$C$11),0))</f>
        <v>0.67561643835616447</v>
      </c>
      <c r="H37" s="101">
        <f t="shared" si="13"/>
        <v>0.9</v>
      </c>
      <c r="I37" s="101">
        <f t="shared" si="13"/>
        <v>0.9</v>
      </c>
      <c r="J37" s="101">
        <f t="shared" si="13"/>
        <v>0.9</v>
      </c>
      <c r="K37" s="101">
        <f t="shared" si="13"/>
        <v>0.9</v>
      </c>
      <c r="L37" s="101">
        <f t="shared" si="13"/>
        <v>0.9</v>
      </c>
      <c r="M37" s="101">
        <f t="shared" si="13"/>
        <v>0.9</v>
      </c>
      <c r="N37" s="101">
        <f t="shared" si="13"/>
        <v>0.9</v>
      </c>
      <c r="O37" s="101">
        <f t="shared" si="13"/>
        <v>0.9</v>
      </c>
      <c r="P37" s="166">
        <f t="shared" si="13"/>
        <v>0.9</v>
      </c>
      <c r="Q37" s="151"/>
      <c r="R37" s="5"/>
      <c r="S37" s="5"/>
      <c r="T37" s="5"/>
      <c r="U37" s="5"/>
      <c r="V37" s="5"/>
      <c r="W37" s="5"/>
      <c r="X37" s="5"/>
      <c r="Y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</row>
    <row r="38" spans="1:58" outlineLevel="1">
      <c r="A38" s="5"/>
      <c r="B38" s="35"/>
      <c r="C38" s="75" t="s">
        <v>72</v>
      </c>
      <c r="D38" s="36"/>
      <c r="E38" s="61"/>
      <c r="F38" s="143">
        <f t="shared" ref="F38:P38" si="14">IF($C$1&gt;F$34,$C$11*$C$12*($C$14*(((1+$C$22)^E35))),IF(AND(F$33&lt;=$C$1,$C$1&lt;=F$34),($C$11*$C$12*($C$14*(((1+$C$22)^E35))))*($C$1-F33)/365,0))</f>
        <v>1700000</v>
      </c>
      <c r="G38" s="76">
        <f t="shared" si="14"/>
        <v>0</v>
      </c>
      <c r="H38" s="76">
        <f t="shared" si="14"/>
        <v>0</v>
      </c>
      <c r="I38" s="76">
        <f t="shared" si="14"/>
        <v>0</v>
      </c>
      <c r="J38" s="76">
        <f t="shared" si="14"/>
        <v>0</v>
      </c>
      <c r="K38" s="76">
        <f t="shared" si="14"/>
        <v>0</v>
      </c>
      <c r="L38" s="76">
        <f t="shared" si="14"/>
        <v>0</v>
      </c>
      <c r="M38" s="76">
        <f t="shared" si="14"/>
        <v>0</v>
      </c>
      <c r="N38" s="76">
        <f t="shared" si="14"/>
        <v>0</v>
      </c>
      <c r="O38" s="76">
        <f t="shared" si="14"/>
        <v>0</v>
      </c>
      <c r="P38" s="76">
        <f t="shared" si="14"/>
        <v>0</v>
      </c>
      <c r="Q38" s="59"/>
      <c r="R38" s="5"/>
      <c r="S38" s="5"/>
      <c r="T38" s="5"/>
      <c r="U38" s="5"/>
      <c r="V38" s="5"/>
      <c r="W38" s="5"/>
      <c r="X38" s="5"/>
      <c r="Y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</row>
    <row r="39" spans="1:58" s="57" customFormat="1" outlineLevel="1">
      <c r="A39" s="56"/>
      <c r="B39" s="74"/>
      <c r="C39" s="75" t="s">
        <v>71</v>
      </c>
      <c r="D39" s="75"/>
      <c r="E39" s="148"/>
      <c r="F39" s="143">
        <f t="shared" ref="F39:P39" si="15">IF($C$2&lt;F$33,($C$23*(((1+$C$22)^E35)))*$C$11*$C$21,IF(AND(F$33&lt;=$C$2,$C$2&lt;=F$34),(($C$23*(((1+$C$22)^E35)))*$C$11*$C$21)*((F$34-$C$2)/365),0))</f>
        <v>0</v>
      </c>
      <c r="G39" s="76">
        <f t="shared" si="15"/>
        <v>2784080.2191780824</v>
      </c>
      <c r="H39" s="76">
        <f t="shared" si="15"/>
        <v>3745807.2</v>
      </c>
      <c r="I39" s="76">
        <f t="shared" si="15"/>
        <v>3783265.2720000003</v>
      </c>
      <c r="J39" s="76">
        <f t="shared" si="15"/>
        <v>3821097.92472</v>
      </c>
      <c r="K39" s="76">
        <f t="shared" si="15"/>
        <v>3859308.9039672003</v>
      </c>
      <c r="L39" s="76">
        <f t="shared" si="15"/>
        <v>3897901.9930068725</v>
      </c>
      <c r="M39" s="76">
        <f t="shared" si="15"/>
        <v>3936881.0129369404</v>
      </c>
      <c r="N39" s="76">
        <f t="shared" si="15"/>
        <v>3976249.82306631</v>
      </c>
      <c r="O39" s="76">
        <f t="shared" si="15"/>
        <v>4016012.3212969746</v>
      </c>
      <c r="P39" s="76">
        <f t="shared" si="15"/>
        <v>4056172.4445099444</v>
      </c>
      <c r="Q39" s="60"/>
      <c r="R39" s="56"/>
      <c r="S39" s="56"/>
      <c r="T39" s="56"/>
      <c r="U39" s="56"/>
      <c r="V39" s="56"/>
      <c r="W39" s="56"/>
      <c r="X39" s="56"/>
      <c r="Y39" s="56"/>
      <c r="AB39" s="56"/>
      <c r="AC39" s="56"/>
      <c r="AD39" s="56"/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6"/>
      <c r="BC39" s="56"/>
      <c r="BD39" s="56"/>
      <c r="BE39" s="56"/>
      <c r="BF39" s="56"/>
    </row>
    <row r="40" spans="1:58" s="57" customFormat="1">
      <c r="A40" s="56"/>
      <c r="B40" s="140"/>
      <c r="C40" s="75"/>
      <c r="D40" s="75"/>
      <c r="E40" s="148"/>
      <c r="F40" s="149"/>
      <c r="G40" s="150"/>
      <c r="H40" s="150"/>
      <c r="I40" s="150"/>
      <c r="J40" s="150"/>
      <c r="K40" s="150"/>
      <c r="L40" s="150"/>
      <c r="M40" s="150"/>
      <c r="N40" s="150"/>
      <c r="O40" s="150"/>
      <c r="P40" s="150"/>
      <c r="Q40" s="152"/>
      <c r="R40" s="56"/>
      <c r="S40" s="56"/>
      <c r="T40" s="56"/>
      <c r="U40" s="56"/>
      <c r="V40" s="56"/>
      <c r="W40" s="56"/>
      <c r="X40" s="56"/>
      <c r="Y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  <c r="AY40" s="56"/>
      <c r="AZ40" s="56"/>
      <c r="BA40" s="56"/>
      <c r="BB40" s="56"/>
      <c r="BC40" s="56"/>
      <c r="BD40" s="56"/>
      <c r="BE40" s="56"/>
      <c r="BF40" s="56"/>
    </row>
    <row r="41" spans="1:58">
      <c r="A41" s="5"/>
      <c r="B41" s="86" t="s">
        <v>54</v>
      </c>
      <c r="C41" s="47"/>
      <c r="D41" s="47"/>
      <c r="E41" s="88"/>
      <c r="F41" s="87">
        <f>SUM(F38:F39)</f>
        <v>1700000</v>
      </c>
      <c r="G41" s="87">
        <f t="shared" ref="G41:P41" si="16">SUM(G38:G39)</f>
        <v>2784080.2191780824</v>
      </c>
      <c r="H41" s="87">
        <f t="shared" si="16"/>
        <v>3745807.2</v>
      </c>
      <c r="I41" s="87">
        <f t="shared" si="16"/>
        <v>3783265.2720000003</v>
      </c>
      <c r="J41" s="87">
        <f t="shared" si="16"/>
        <v>3821097.92472</v>
      </c>
      <c r="K41" s="87">
        <f t="shared" si="16"/>
        <v>3859308.9039672003</v>
      </c>
      <c r="L41" s="87">
        <f t="shared" si="16"/>
        <v>3897901.9930068725</v>
      </c>
      <c r="M41" s="87">
        <f t="shared" si="16"/>
        <v>3936881.0129369404</v>
      </c>
      <c r="N41" s="87">
        <f t="shared" si="16"/>
        <v>3976249.82306631</v>
      </c>
      <c r="O41" s="87">
        <f t="shared" si="16"/>
        <v>4016012.3212969746</v>
      </c>
      <c r="P41" s="87">
        <f t="shared" si="16"/>
        <v>4056172.4445099444</v>
      </c>
      <c r="Q41" s="153">
        <f>SUM(G41:P41)</f>
        <v>37876777.114682332</v>
      </c>
      <c r="R41" s="5"/>
      <c r="S41" s="5"/>
      <c r="T41" s="5"/>
      <c r="U41" s="5"/>
      <c r="V41" s="5"/>
      <c r="W41" s="5"/>
      <c r="X41" s="5"/>
      <c r="Y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</row>
    <row r="42" spans="1:58" hidden="1" outlineLevel="1">
      <c r="A42" s="5"/>
      <c r="B42" s="35" t="s">
        <v>102</v>
      </c>
      <c r="C42" s="36"/>
      <c r="D42" s="36"/>
      <c r="E42" s="61"/>
      <c r="F42" s="77">
        <f>IF(AND(F33&lt;=$C$2,$C$2&lt;=F34),-F41*$C$25/12,0)</f>
        <v>0</v>
      </c>
      <c r="G42" s="77">
        <f t="shared" ref="G42:P42" si="17">IF(AND(G33&lt;=$C$2,$C$2&lt;=G34),-H41*$C$25/12,0)</f>
        <v>-5618710.8000000007</v>
      </c>
      <c r="H42" s="77">
        <f t="shared" si="17"/>
        <v>0</v>
      </c>
      <c r="I42" s="77">
        <f t="shared" si="17"/>
        <v>0</v>
      </c>
      <c r="J42" s="77">
        <f t="shared" si="17"/>
        <v>0</v>
      </c>
      <c r="K42" s="77">
        <f t="shared" si="17"/>
        <v>0</v>
      </c>
      <c r="L42" s="77">
        <f t="shared" si="17"/>
        <v>0</v>
      </c>
      <c r="M42" s="77">
        <f t="shared" si="17"/>
        <v>0</v>
      </c>
      <c r="N42" s="77">
        <f t="shared" si="17"/>
        <v>0</v>
      </c>
      <c r="O42" s="77">
        <f t="shared" si="17"/>
        <v>0</v>
      </c>
      <c r="P42" s="77">
        <f t="shared" si="17"/>
        <v>0</v>
      </c>
      <c r="Q42" s="121"/>
      <c r="R42" s="5"/>
      <c r="S42" s="5"/>
      <c r="T42" s="5"/>
      <c r="U42" s="5"/>
      <c r="V42" s="5"/>
      <c r="W42" s="5"/>
      <c r="X42" s="5"/>
      <c r="Y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</row>
    <row r="43" spans="1:58" hidden="1" outlineLevel="1">
      <c r="A43" s="5"/>
      <c r="B43" s="35"/>
      <c r="C43" s="36" t="s">
        <v>103</v>
      </c>
      <c r="D43" s="36"/>
      <c r="E43" s="61"/>
      <c r="F43" s="77">
        <f t="shared" ref="F43:P43" si="18">IF(-F42&lt;=F41,F42,IF(-F42&gt;F41,-F41,0))</f>
        <v>0</v>
      </c>
      <c r="G43" s="77">
        <f t="shared" si="18"/>
        <v>-2784080.2191780824</v>
      </c>
      <c r="H43" s="77">
        <f t="shared" si="18"/>
        <v>0</v>
      </c>
      <c r="I43" s="77">
        <f t="shared" si="18"/>
        <v>0</v>
      </c>
      <c r="J43" s="77">
        <f t="shared" si="18"/>
        <v>0</v>
      </c>
      <c r="K43" s="77">
        <f t="shared" si="18"/>
        <v>0</v>
      </c>
      <c r="L43" s="77">
        <f t="shared" si="18"/>
        <v>0</v>
      </c>
      <c r="M43" s="77">
        <f t="shared" si="18"/>
        <v>0</v>
      </c>
      <c r="N43" s="77">
        <f t="shared" si="18"/>
        <v>0</v>
      </c>
      <c r="O43" s="77">
        <f t="shared" si="18"/>
        <v>0</v>
      </c>
      <c r="P43" s="77">
        <f t="shared" si="18"/>
        <v>0</v>
      </c>
      <c r="Q43" s="121"/>
      <c r="R43" s="5"/>
      <c r="S43" s="5"/>
      <c r="T43" s="5"/>
      <c r="U43" s="5"/>
      <c r="V43" s="5"/>
      <c r="W43" s="5"/>
      <c r="X43" s="5"/>
      <c r="Y43" s="5"/>
      <c r="Z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</row>
    <row r="44" spans="1:58" hidden="1" outlineLevel="1">
      <c r="A44" s="5"/>
      <c r="B44" s="35"/>
      <c r="C44" s="36" t="s">
        <v>104</v>
      </c>
      <c r="D44" s="36"/>
      <c r="E44" s="61"/>
      <c r="F44" s="77">
        <f t="shared" ref="F44:P44" si="19">IF((-E42+E43)&lt;F41,E42-E43,IF((-E42+E43)&gt;=F41,-F41))</f>
        <v>0</v>
      </c>
      <c r="G44" s="77">
        <f t="shared" si="19"/>
        <v>0</v>
      </c>
      <c r="H44" s="77">
        <f t="shared" si="19"/>
        <v>-2834630.5808219183</v>
      </c>
      <c r="I44" s="77">
        <f t="shared" si="19"/>
        <v>0</v>
      </c>
      <c r="J44" s="77">
        <f t="shared" si="19"/>
        <v>0</v>
      </c>
      <c r="K44" s="77">
        <f t="shared" si="19"/>
        <v>0</v>
      </c>
      <c r="L44" s="77">
        <f t="shared" si="19"/>
        <v>0</v>
      </c>
      <c r="M44" s="77">
        <f t="shared" si="19"/>
        <v>0</v>
      </c>
      <c r="N44" s="77">
        <f t="shared" si="19"/>
        <v>0</v>
      </c>
      <c r="O44" s="77">
        <f t="shared" si="19"/>
        <v>0</v>
      </c>
      <c r="P44" s="77">
        <f t="shared" si="19"/>
        <v>0</v>
      </c>
      <c r="Q44" s="121"/>
      <c r="R44" s="5"/>
      <c r="S44" s="5"/>
      <c r="T44" s="5"/>
      <c r="U44" s="5"/>
      <c r="V44" s="5"/>
      <c r="W44" s="5"/>
      <c r="X44" s="5"/>
      <c r="Y44" s="5"/>
      <c r="Z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</row>
    <row r="45" spans="1:58" hidden="1" outlineLevel="1">
      <c r="A45" s="5"/>
      <c r="B45" s="35"/>
      <c r="C45" s="36" t="s">
        <v>105</v>
      </c>
      <c r="D45" s="36"/>
      <c r="E45" s="61"/>
      <c r="F45" s="77">
        <f t="shared" ref="F45:I45" si="20">-(-D42+D43+E44)</f>
        <v>0</v>
      </c>
      <c r="G45" s="77">
        <f t="shared" si="20"/>
        <v>0</v>
      </c>
      <c r="H45" s="77">
        <f t="shared" si="20"/>
        <v>0</v>
      </c>
      <c r="I45" s="77">
        <f t="shared" si="20"/>
        <v>0</v>
      </c>
      <c r="J45" s="77">
        <f>-(-H42+H43+I44)</f>
        <v>0</v>
      </c>
      <c r="K45" s="77">
        <f t="shared" ref="K45:P45" si="21">-(-I42+I43+J44)</f>
        <v>0</v>
      </c>
      <c r="L45" s="77">
        <f t="shared" si="21"/>
        <v>0</v>
      </c>
      <c r="M45" s="77">
        <f t="shared" si="21"/>
        <v>0</v>
      </c>
      <c r="N45" s="77">
        <f t="shared" si="21"/>
        <v>0</v>
      </c>
      <c r="O45" s="77">
        <f t="shared" si="21"/>
        <v>0</v>
      </c>
      <c r="P45" s="77">
        <f t="shared" si="21"/>
        <v>0</v>
      </c>
      <c r="Q45" s="121"/>
      <c r="R45" s="5"/>
      <c r="S45" s="5"/>
      <c r="T45" s="5"/>
      <c r="U45" s="5"/>
      <c r="V45" s="5"/>
      <c r="W45" s="5"/>
      <c r="X45" s="5"/>
      <c r="Y45" s="5"/>
      <c r="Z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</row>
    <row r="46" spans="1:58" collapsed="1">
      <c r="A46" s="5"/>
      <c r="B46" s="35" t="s">
        <v>101</v>
      </c>
      <c r="C46" s="36"/>
      <c r="D46" s="36"/>
      <c r="E46" s="61"/>
      <c r="F46" s="77">
        <f>SUM(F43+F44+F45)</f>
        <v>0</v>
      </c>
      <c r="G46" s="77">
        <f t="shared" ref="G46:P46" si="22">SUM(G43+G44+G45)</f>
        <v>-2784080.2191780824</v>
      </c>
      <c r="H46" s="77">
        <f t="shared" si="22"/>
        <v>-2834630.5808219183</v>
      </c>
      <c r="I46" s="77">
        <f t="shared" si="22"/>
        <v>0</v>
      </c>
      <c r="J46" s="77">
        <f t="shared" si="22"/>
        <v>0</v>
      </c>
      <c r="K46" s="77">
        <f t="shared" si="22"/>
        <v>0</v>
      </c>
      <c r="L46" s="77">
        <f t="shared" si="22"/>
        <v>0</v>
      </c>
      <c r="M46" s="77">
        <f t="shared" si="22"/>
        <v>0</v>
      </c>
      <c r="N46" s="77">
        <f t="shared" si="22"/>
        <v>0</v>
      </c>
      <c r="O46" s="77">
        <f t="shared" si="22"/>
        <v>0</v>
      </c>
      <c r="P46" s="77">
        <f t="shared" si="22"/>
        <v>0</v>
      </c>
      <c r="Q46" s="121"/>
      <c r="R46" s="5"/>
      <c r="S46" s="5"/>
      <c r="T46" s="5"/>
      <c r="U46" s="5"/>
      <c r="V46" s="5"/>
      <c r="W46" s="5"/>
      <c r="X46" s="5"/>
      <c r="Y46" s="5"/>
      <c r="Z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</row>
    <row r="47" spans="1:58">
      <c r="A47" s="5"/>
      <c r="B47" s="35" t="s">
        <v>55</v>
      </c>
      <c r="C47" s="36"/>
      <c r="D47" s="36"/>
      <c r="E47" s="61"/>
      <c r="F47" s="77">
        <f t="shared" ref="F47:P47" si="23">-(1-F37)*($C$16*(((1+$C$22)^E35)))*$C$11</f>
        <v>-1275000</v>
      </c>
      <c r="G47" s="77">
        <f t="shared" si="23"/>
        <v>-835449.86301369837</v>
      </c>
      <c r="H47" s="77">
        <f t="shared" si="23"/>
        <v>-260125.49999999994</v>
      </c>
      <c r="I47" s="77">
        <f t="shared" si="23"/>
        <v>-262726.75499999989</v>
      </c>
      <c r="J47" s="77">
        <f t="shared" si="23"/>
        <v>-265354.02254999994</v>
      </c>
      <c r="K47" s="77">
        <f t="shared" si="23"/>
        <v>-268007.56277549989</v>
      </c>
      <c r="L47" s="77">
        <f t="shared" si="23"/>
        <v>-270687.63840325503</v>
      </c>
      <c r="M47" s="77">
        <f t="shared" si="23"/>
        <v>-273394.51478728751</v>
      </c>
      <c r="N47" s="77">
        <f t="shared" si="23"/>
        <v>-276128.45993516035</v>
      </c>
      <c r="O47" s="77">
        <f t="shared" si="23"/>
        <v>-278889.74453451205</v>
      </c>
      <c r="P47" s="77">
        <f t="shared" si="23"/>
        <v>-281678.64197985717</v>
      </c>
      <c r="Q47" s="121">
        <f>SUM(G47:P47)</f>
        <v>-3272442.7029792704</v>
      </c>
      <c r="R47" s="5"/>
      <c r="S47" s="5"/>
      <c r="T47" s="5"/>
      <c r="U47" s="5"/>
      <c r="V47" s="5"/>
      <c r="W47" s="5"/>
      <c r="X47" s="5"/>
      <c r="Y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</row>
    <row r="48" spans="1:58">
      <c r="A48" s="5"/>
      <c r="B48" s="35"/>
      <c r="C48" s="36"/>
      <c r="D48" s="36"/>
      <c r="E48" s="61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121"/>
      <c r="R48" s="5"/>
      <c r="S48" s="5"/>
      <c r="T48" s="5"/>
      <c r="U48" s="5"/>
      <c r="V48" s="5"/>
      <c r="W48" s="5"/>
      <c r="X48" s="5"/>
      <c r="Y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</row>
    <row r="49" spans="1:58">
      <c r="A49" s="5"/>
      <c r="B49" s="81" t="s">
        <v>56</v>
      </c>
      <c r="C49" s="47"/>
      <c r="D49" s="47"/>
      <c r="E49" s="88"/>
      <c r="F49" s="89">
        <f>F41+F46+F47</f>
        <v>425000</v>
      </c>
      <c r="G49" s="89">
        <f>G41+G46+G47</f>
        <v>-835449.86301369837</v>
      </c>
      <c r="H49" s="89">
        <f t="shared" ref="H49:P49" si="24">H41+H46+H47</f>
        <v>651051.11917808186</v>
      </c>
      <c r="I49" s="89">
        <f t="shared" si="24"/>
        <v>3520538.5170000005</v>
      </c>
      <c r="J49" s="89">
        <f t="shared" si="24"/>
        <v>3555743.9021700001</v>
      </c>
      <c r="K49" s="89">
        <f t="shared" si="24"/>
        <v>3591301.3411917007</v>
      </c>
      <c r="L49" s="89">
        <f t="shared" si="24"/>
        <v>3627214.3546036175</v>
      </c>
      <c r="M49" s="89">
        <f t="shared" si="24"/>
        <v>3663486.498149653</v>
      </c>
      <c r="N49" s="89">
        <f t="shared" si="24"/>
        <v>3700121.3631311497</v>
      </c>
      <c r="O49" s="89">
        <f t="shared" si="24"/>
        <v>3737122.5767624625</v>
      </c>
      <c r="P49" s="89">
        <f t="shared" si="24"/>
        <v>3774493.8025300871</v>
      </c>
      <c r="Q49" s="91">
        <f>SUM(G49:P49)</f>
        <v>28985623.611703057</v>
      </c>
      <c r="R49" s="5"/>
      <c r="S49" s="5"/>
      <c r="T49" s="5"/>
      <c r="U49" s="5"/>
      <c r="V49" s="5"/>
      <c r="W49" s="5"/>
      <c r="X49" s="5"/>
      <c r="Y49" s="5"/>
      <c r="Z49" s="62" t="s">
        <v>75</v>
      </c>
      <c r="AA49" s="51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</row>
    <row r="50" spans="1:58">
      <c r="A50" s="5"/>
      <c r="B50" s="35"/>
      <c r="C50" s="36"/>
      <c r="D50" s="36"/>
      <c r="E50" s="61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121"/>
      <c r="R50" s="5"/>
      <c r="S50" s="5"/>
      <c r="T50" s="5"/>
      <c r="U50" s="5"/>
      <c r="V50" s="5"/>
      <c r="W50" s="5"/>
      <c r="X50" s="5"/>
      <c r="Y50" s="5"/>
      <c r="Z50" s="62" t="s">
        <v>76</v>
      </c>
      <c r="AA50" s="65">
        <v>50</v>
      </c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</row>
    <row r="51" spans="1:58">
      <c r="A51" s="5"/>
      <c r="B51" s="35" t="s">
        <v>57</v>
      </c>
      <c r="C51" s="36"/>
      <c r="D51" s="8">
        <v>0.3</v>
      </c>
      <c r="E51" s="61"/>
      <c r="F51" s="78">
        <f t="shared" ref="F51:P51" si="25">-IF(AND(F33&lt;$C$2,$C$2&lt;F34),$C$23*$C$21*$C$11*$D$51,0)</f>
        <v>0</v>
      </c>
      <c r="G51" s="78">
        <f>-IF(AND(G33&lt;$C$2,$C$2&lt;G34),$C$23*$C$21*$C$11*$D$51,0)</f>
        <v>-1101600</v>
      </c>
      <c r="H51" s="78">
        <f t="shared" si="25"/>
        <v>0</v>
      </c>
      <c r="I51" s="78">
        <f t="shared" si="25"/>
        <v>0</v>
      </c>
      <c r="J51" s="78">
        <f t="shared" si="25"/>
        <v>0</v>
      </c>
      <c r="K51" s="78">
        <f t="shared" si="25"/>
        <v>0</v>
      </c>
      <c r="L51" s="78">
        <f t="shared" si="25"/>
        <v>0</v>
      </c>
      <c r="M51" s="78">
        <f t="shared" si="25"/>
        <v>0</v>
      </c>
      <c r="N51" s="78">
        <f t="shared" si="25"/>
        <v>0</v>
      </c>
      <c r="O51" s="78">
        <f t="shared" si="25"/>
        <v>0</v>
      </c>
      <c r="P51" s="78">
        <f t="shared" si="25"/>
        <v>0</v>
      </c>
      <c r="Q51" s="121">
        <f>SUM(G51:P51)</f>
        <v>-1101600</v>
      </c>
      <c r="R51" s="5"/>
      <c r="S51" s="5"/>
      <c r="T51" s="5"/>
      <c r="U51" s="5"/>
      <c r="V51" s="5"/>
      <c r="W51" s="5"/>
      <c r="X51" s="5"/>
      <c r="Y51" s="5"/>
      <c r="Z51" s="63" t="s">
        <v>77</v>
      </c>
      <c r="AA51" s="66">
        <f>1-AA52</f>
        <v>0.19999999999999996</v>
      </c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</row>
    <row r="52" spans="1:58">
      <c r="A52" s="5"/>
      <c r="B52" s="35"/>
      <c r="C52" s="36"/>
      <c r="D52" s="120"/>
      <c r="E52" s="61"/>
      <c r="F52" s="78"/>
      <c r="G52" s="78"/>
      <c r="H52" s="78"/>
      <c r="I52" s="78"/>
      <c r="J52" s="78"/>
      <c r="K52" s="78"/>
      <c r="L52" s="78"/>
      <c r="M52" s="78"/>
      <c r="N52" s="78"/>
      <c r="O52" s="78"/>
      <c r="P52" s="78"/>
      <c r="Q52" s="121"/>
      <c r="R52" s="5"/>
      <c r="S52" s="5"/>
      <c r="T52" s="5"/>
      <c r="U52" s="5"/>
      <c r="V52" s="5"/>
      <c r="W52" s="5"/>
      <c r="X52" s="5"/>
      <c r="Y52" s="5"/>
      <c r="Z52" s="64" t="s">
        <v>78</v>
      </c>
      <c r="AA52" s="67">
        <v>0.8</v>
      </c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</row>
    <row r="53" spans="1:58">
      <c r="A53" s="5"/>
      <c r="B53" s="35" t="s">
        <v>58</v>
      </c>
      <c r="C53" s="36"/>
      <c r="D53" s="119">
        <v>1.4999999999999999E-2</v>
      </c>
      <c r="E53" s="61"/>
      <c r="F53" s="77">
        <f t="shared" ref="F53:P53" si="26">-$D$53*F41</f>
        <v>-25500</v>
      </c>
      <c r="G53" s="77">
        <f t="shared" si="26"/>
        <v>-41761.203287671233</v>
      </c>
      <c r="H53" s="77">
        <f t="shared" si="26"/>
        <v>-56187.108</v>
      </c>
      <c r="I53" s="77">
        <f t="shared" si="26"/>
        <v>-56748.979080000005</v>
      </c>
      <c r="J53" s="77">
        <f t="shared" si="26"/>
        <v>-57316.468870799996</v>
      </c>
      <c r="K53" s="77">
        <f t="shared" si="26"/>
        <v>-57889.633559508002</v>
      </c>
      <c r="L53" s="77">
        <f t="shared" si="26"/>
        <v>-58468.529895103085</v>
      </c>
      <c r="M53" s="77">
        <f t="shared" si="26"/>
        <v>-59053.215194054101</v>
      </c>
      <c r="N53" s="77">
        <f t="shared" si="26"/>
        <v>-59643.747345994649</v>
      </c>
      <c r="O53" s="77">
        <f t="shared" si="26"/>
        <v>-60240.184819454618</v>
      </c>
      <c r="P53" s="77">
        <f t="shared" si="26"/>
        <v>-60842.586667649164</v>
      </c>
      <c r="Q53" s="121">
        <f>SUM(G53:P53)</f>
        <v>-568151.6567202349</v>
      </c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</row>
    <row r="54" spans="1:58">
      <c r="A54" s="5"/>
      <c r="B54" s="4"/>
      <c r="C54" s="36"/>
      <c r="D54" s="36"/>
      <c r="E54" s="61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121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</row>
    <row r="55" spans="1:58">
      <c r="A55" s="5"/>
      <c r="B55" s="81" t="s">
        <v>59</v>
      </c>
      <c r="C55" s="47"/>
      <c r="D55" s="47"/>
      <c r="E55" s="88"/>
      <c r="F55" s="89">
        <f t="shared" ref="F55:P55" si="27">SUM(F49:F53)</f>
        <v>399500</v>
      </c>
      <c r="G55" s="89">
        <f t="shared" si="27"/>
        <v>-1978811.0663013696</v>
      </c>
      <c r="H55" s="89">
        <f t="shared" si="27"/>
        <v>594864.01117808186</v>
      </c>
      <c r="I55" s="89">
        <f t="shared" si="27"/>
        <v>3463789.5379200005</v>
      </c>
      <c r="J55" s="89">
        <f t="shared" si="27"/>
        <v>3498427.4332992001</v>
      </c>
      <c r="K55" s="89">
        <f t="shared" si="27"/>
        <v>3533411.7076321929</v>
      </c>
      <c r="L55" s="89">
        <f t="shared" si="27"/>
        <v>3568745.8247085144</v>
      </c>
      <c r="M55" s="89">
        <f t="shared" si="27"/>
        <v>3604433.282955599</v>
      </c>
      <c r="N55" s="89">
        <f t="shared" si="27"/>
        <v>3640477.615785155</v>
      </c>
      <c r="O55" s="89">
        <f t="shared" si="27"/>
        <v>3676882.3919430077</v>
      </c>
      <c r="P55" s="89">
        <f t="shared" si="27"/>
        <v>3713651.2158624381</v>
      </c>
      <c r="Q55" s="121">
        <f>SUM(G55:P55)</f>
        <v>27315871.954982821</v>
      </c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</row>
    <row r="56" spans="1:58">
      <c r="A56" s="5"/>
      <c r="B56" s="4"/>
      <c r="C56" s="36"/>
      <c r="D56" s="36"/>
      <c r="E56" s="61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121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</row>
    <row r="57" spans="1:58">
      <c r="A57" s="5"/>
      <c r="B57" s="35" t="s">
        <v>60</v>
      </c>
      <c r="C57" s="36"/>
      <c r="D57" s="36"/>
      <c r="E57" s="61"/>
      <c r="F57" s="77">
        <f t="shared" ref="F57:P57" si="28">IF(AND(F33&lt;=$C$1,$C$1&lt;=F34),-$L$14,0)</f>
        <v>0</v>
      </c>
      <c r="G57" s="77">
        <f t="shared" si="28"/>
        <v>-5100000</v>
      </c>
      <c r="H57" s="77">
        <f t="shared" si="28"/>
        <v>0</v>
      </c>
      <c r="I57" s="77">
        <f t="shared" si="28"/>
        <v>0</v>
      </c>
      <c r="J57" s="77">
        <f t="shared" si="28"/>
        <v>0</v>
      </c>
      <c r="K57" s="77">
        <f t="shared" si="28"/>
        <v>0</v>
      </c>
      <c r="L57" s="77">
        <f t="shared" si="28"/>
        <v>0</v>
      </c>
      <c r="M57" s="77">
        <f t="shared" si="28"/>
        <v>0</v>
      </c>
      <c r="N57" s="77">
        <f t="shared" si="28"/>
        <v>0</v>
      </c>
      <c r="O57" s="77">
        <f t="shared" si="28"/>
        <v>0</v>
      </c>
      <c r="P57" s="77">
        <f t="shared" si="28"/>
        <v>0</v>
      </c>
      <c r="Q57" s="121">
        <f>SUM(G57:P57)</f>
        <v>-5100000</v>
      </c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</row>
    <row r="58" spans="1:58">
      <c r="A58" s="5"/>
      <c r="B58" s="35" t="s">
        <v>67</v>
      </c>
      <c r="C58" s="36"/>
      <c r="D58" s="36"/>
      <c r="E58" s="61"/>
      <c r="F58" s="77">
        <f>IF(F57&lt;&gt;0,$H$16,0)</f>
        <v>0</v>
      </c>
      <c r="G58" s="77">
        <f t="shared" ref="G58:P58" si="29">IF(G57&lt;&gt;0,$H$16,0)</f>
        <v>3315000</v>
      </c>
      <c r="H58" s="77">
        <f t="shared" si="29"/>
        <v>0</v>
      </c>
      <c r="I58" s="77">
        <f t="shared" si="29"/>
        <v>0</v>
      </c>
      <c r="J58" s="77">
        <f t="shared" si="29"/>
        <v>0</v>
      </c>
      <c r="K58" s="77">
        <f t="shared" si="29"/>
        <v>0</v>
      </c>
      <c r="L58" s="77">
        <f t="shared" si="29"/>
        <v>0</v>
      </c>
      <c r="M58" s="77">
        <f t="shared" si="29"/>
        <v>0</v>
      </c>
      <c r="N58" s="77">
        <f t="shared" si="29"/>
        <v>0</v>
      </c>
      <c r="O58" s="77">
        <f t="shared" si="29"/>
        <v>0</v>
      </c>
      <c r="P58" s="77">
        <f t="shared" si="29"/>
        <v>0</v>
      </c>
      <c r="Q58" s="121">
        <f>SUM(G58:P58)</f>
        <v>3315000</v>
      </c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</row>
    <row r="59" spans="1:58">
      <c r="A59" s="5"/>
      <c r="B59" s="35"/>
      <c r="C59" s="36"/>
      <c r="D59" s="36"/>
      <c r="E59" s="61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121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</row>
    <row r="60" spans="1:58" ht="15" thickBot="1">
      <c r="A60" s="5"/>
      <c r="B60" s="79" t="s">
        <v>61</v>
      </c>
      <c r="C60" s="68"/>
      <c r="D60" s="68"/>
      <c r="E60" s="70"/>
      <c r="F60" s="69">
        <f>SUM(F55:F58)</f>
        <v>399500</v>
      </c>
      <c r="G60" s="69">
        <f>SUM(G55:G58)</f>
        <v>-3763811.06630137</v>
      </c>
      <c r="H60" s="69">
        <f>SUM(H55:H58)</f>
        <v>594864.01117808186</v>
      </c>
      <c r="I60" s="69">
        <f t="shared" ref="I60:P60" si="30">SUM(I55:I58)</f>
        <v>3463789.5379200005</v>
      </c>
      <c r="J60" s="69">
        <f t="shared" si="30"/>
        <v>3498427.4332992001</v>
      </c>
      <c r="K60" s="69">
        <f t="shared" si="30"/>
        <v>3533411.7076321929</v>
      </c>
      <c r="L60" s="69">
        <f t="shared" si="30"/>
        <v>3568745.8247085144</v>
      </c>
      <c r="M60" s="69">
        <f t="shared" si="30"/>
        <v>3604433.282955599</v>
      </c>
      <c r="N60" s="69">
        <f t="shared" si="30"/>
        <v>3640477.615785155</v>
      </c>
      <c r="O60" s="69">
        <f t="shared" si="30"/>
        <v>3676882.3919430077</v>
      </c>
      <c r="P60" s="69">
        <f t="shared" si="30"/>
        <v>3713651.2158624381</v>
      </c>
      <c r="Q60" s="121">
        <f>SUM(G60:P60)</f>
        <v>25530871.954982821</v>
      </c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</row>
    <row r="61" spans="1:58" ht="15" thickTop="1">
      <c r="A61" s="5"/>
      <c r="B61" s="35"/>
      <c r="C61" s="36"/>
      <c r="D61" s="36"/>
      <c r="E61" s="61"/>
      <c r="F61" s="77"/>
      <c r="G61" s="77"/>
      <c r="H61" s="77"/>
      <c r="I61" s="77"/>
      <c r="J61" s="77"/>
      <c r="K61" s="77"/>
      <c r="L61" s="77"/>
      <c r="M61" s="77"/>
      <c r="N61" s="77"/>
      <c r="O61" s="77"/>
      <c r="P61" s="77"/>
      <c r="Q61" s="121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</row>
    <row r="62" spans="1:58">
      <c r="A62" s="5"/>
      <c r="B62" s="35" t="s">
        <v>46</v>
      </c>
      <c r="C62" s="36"/>
      <c r="D62" s="36"/>
      <c r="E62" s="61"/>
      <c r="F62" s="77">
        <f>AB20+AB4</f>
        <v>22815000</v>
      </c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121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</row>
    <row r="63" spans="1:58">
      <c r="A63" s="5"/>
      <c r="B63" s="35" t="s">
        <v>62</v>
      </c>
      <c r="C63" s="36"/>
      <c r="D63" s="36"/>
      <c r="E63" s="61"/>
      <c r="F63" s="77">
        <f t="shared" ref="F63:P63" si="31">-AC31</f>
        <v>-97500</v>
      </c>
      <c r="G63" s="77">
        <f t="shared" si="31"/>
        <v>-97012.5</v>
      </c>
      <c r="H63" s="77">
        <f t="shared" si="31"/>
        <v>-96527.4375</v>
      </c>
      <c r="I63" s="77">
        <f t="shared" si="31"/>
        <v>-96044.800312499996</v>
      </c>
      <c r="J63" s="77">
        <f t="shared" si="31"/>
        <v>-22427915.2621875</v>
      </c>
      <c r="K63" s="77">
        <f t="shared" si="31"/>
        <v>0</v>
      </c>
      <c r="L63" s="77">
        <f t="shared" si="31"/>
        <v>0</v>
      </c>
      <c r="M63" s="77">
        <f t="shared" si="31"/>
        <v>0</v>
      </c>
      <c r="N63" s="77">
        <f t="shared" si="31"/>
        <v>0</v>
      </c>
      <c r="O63" s="77">
        <f t="shared" si="31"/>
        <v>0</v>
      </c>
      <c r="P63" s="77">
        <f t="shared" si="31"/>
        <v>0</v>
      </c>
      <c r="Q63" s="121">
        <f>SUM(F63:P63)</f>
        <v>-22815000</v>
      </c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</row>
    <row r="64" spans="1:58">
      <c r="A64" s="5"/>
      <c r="B64" s="35" t="s">
        <v>63</v>
      </c>
      <c r="C64" s="36"/>
      <c r="D64" s="36"/>
      <c r="E64" s="61"/>
      <c r="F64" s="77">
        <f t="shared" ref="F64:P64" si="32">-AC30</f>
        <v>-456300</v>
      </c>
      <c r="G64" s="77">
        <f t="shared" si="32"/>
        <v>-454350</v>
      </c>
      <c r="H64" s="77">
        <f t="shared" si="32"/>
        <v>-452409.75</v>
      </c>
      <c r="I64" s="77">
        <f t="shared" si="32"/>
        <v>-450479.20124999998</v>
      </c>
      <c r="J64" s="77">
        <f t="shared" si="32"/>
        <v>-448558.30524374999</v>
      </c>
      <c r="K64" s="77">
        <f t="shared" si="32"/>
        <v>0</v>
      </c>
      <c r="L64" s="77">
        <f t="shared" si="32"/>
        <v>0</v>
      </c>
      <c r="M64" s="77">
        <f t="shared" si="32"/>
        <v>0</v>
      </c>
      <c r="N64" s="77">
        <f t="shared" si="32"/>
        <v>0</v>
      </c>
      <c r="O64" s="77">
        <f t="shared" si="32"/>
        <v>0</v>
      </c>
      <c r="P64" s="77">
        <f t="shared" si="32"/>
        <v>0</v>
      </c>
      <c r="Q64" s="121">
        <f>SUM(F64:P64)</f>
        <v>-2262097.25649375</v>
      </c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</row>
    <row r="65" spans="1:58">
      <c r="A65" s="5"/>
      <c r="B65" s="35"/>
      <c r="C65" s="36"/>
      <c r="D65" s="36"/>
      <c r="E65" s="61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121">
        <f>SUM(G65:P65)</f>
        <v>0</v>
      </c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</row>
    <row r="66" spans="1:58" ht="15" thickBot="1">
      <c r="A66" s="5"/>
      <c r="B66" s="79" t="s">
        <v>64</v>
      </c>
      <c r="C66" s="68"/>
      <c r="D66" s="68"/>
      <c r="E66" s="70"/>
      <c r="F66" s="69">
        <f>SUM(F63:F64)</f>
        <v>-553800</v>
      </c>
      <c r="G66" s="69">
        <f t="shared" ref="G66:P66" si="33">SUM(G63:G64)</f>
        <v>-551362.5</v>
      </c>
      <c r="H66" s="69">
        <f t="shared" si="33"/>
        <v>-548937.1875</v>
      </c>
      <c r="I66" s="69">
        <f t="shared" si="33"/>
        <v>-546524.00156250002</v>
      </c>
      <c r="J66" s="69">
        <f t="shared" si="33"/>
        <v>-22876473.567431249</v>
      </c>
      <c r="K66" s="69">
        <f t="shared" si="33"/>
        <v>0</v>
      </c>
      <c r="L66" s="69">
        <f t="shared" si="33"/>
        <v>0</v>
      </c>
      <c r="M66" s="69">
        <f t="shared" si="33"/>
        <v>0</v>
      </c>
      <c r="N66" s="69">
        <f t="shared" si="33"/>
        <v>0</v>
      </c>
      <c r="O66" s="69">
        <f t="shared" si="33"/>
        <v>0</v>
      </c>
      <c r="P66" s="69">
        <f t="shared" si="33"/>
        <v>0</v>
      </c>
      <c r="Q66" s="121">
        <f>SUM(G66:P66)</f>
        <v>-24523297.256493747</v>
      </c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</row>
    <row r="67" spans="1:58" ht="15" thickTop="1">
      <c r="A67" s="5"/>
      <c r="B67" s="4"/>
      <c r="C67" s="36"/>
      <c r="D67" s="36"/>
      <c r="E67" s="61"/>
      <c r="F67" s="77"/>
      <c r="G67" s="77"/>
      <c r="H67" s="77"/>
      <c r="I67" s="77"/>
      <c r="J67" s="77"/>
      <c r="K67" s="77"/>
      <c r="L67" s="77"/>
      <c r="M67" s="77"/>
      <c r="N67" s="77"/>
      <c r="O67" s="77"/>
      <c r="P67" s="77"/>
      <c r="Q67" s="121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</row>
    <row r="68" spans="1:58">
      <c r="A68" s="5"/>
      <c r="B68" s="4" t="s">
        <v>74</v>
      </c>
      <c r="C68" s="36"/>
      <c r="D68" s="36"/>
      <c r="E68" s="61"/>
      <c r="F68" s="77">
        <f t="shared" ref="F68:P68" si="34">-$L$13*$AA$52/$AA$50-(-F57)/$AA$50</f>
        <v>-480000</v>
      </c>
      <c r="G68" s="77">
        <f t="shared" si="34"/>
        <v>-582000</v>
      </c>
      <c r="H68" s="77">
        <f t="shared" si="34"/>
        <v>-480000</v>
      </c>
      <c r="I68" s="77">
        <f t="shared" si="34"/>
        <v>-480000</v>
      </c>
      <c r="J68" s="77">
        <f t="shared" si="34"/>
        <v>-480000</v>
      </c>
      <c r="K68" s="77">
        <f t="shared" si="34"/>
        <v>-480000</v>
      </c>
      <c r="L68" s="77">
        <f t="shared" si="34"/>
        <v>-480000</v>
      </c>
      <c r="M68" s="77">
        <f t="shared" si="34"/>
        <v>-480000</v>
      </c>
      <c r="N68" s="77">
        <f t="shared" si="34"/>
        <v>-480000</v>
      </c>
      <c r="O68" s="77">
        <f t="shared" si="34"/>
        <v>-480000</v>
      </c>
      <c r="P68" s="77">
        <f t="shared" si="34"/>
        <v>-480000</v>
      </c>
      <c r="Q68" s="121">
        <f>SUM(F68:P68)</f>
        <v>-5382000</v>
      </c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</row>
    <row r="69" spans="1:58" ht="15" thickBot="1">
      <c r="A69" s="5"/>
      <c r="B69" s="79" t="s">
        <v>65</v>
      </c>
      <c r="C69" s="68"/>
      <c r="D69" s="97">
        <v>0.25</v>
      </c>
      <c r="E69" s="70"/>
      <c r="F69" s="69">
        <f>IF((F60+F64+F68)&gt;0,(F60+F64+F68)*$D$69,0)</f>
        <v>0</v>
      </c>
      <c r="G69" s="69">
        <f t="shared" ref="G69:P69" si="35">IF((G60+G64+G68)&gt;0,(G60+G64+G68)*$D$69,0)</f>
        <v>0</v>
      </c>
      <c r="H69" s="69">
        <f t="shared" si="35"/>
        <v>0</v>
      </c>
      <c r="I69" s="69">
        <f t="shared" si="35"/>
        <v>633327.58416750014</v>
      </c>
      <c r="J69" s="69">
        <f t="shared" si="35"/>
        <v>642467.28201386251</v>
      </c>
      <c r="K69" s="69">
        <f t="shared" si="35"/>
        <v>763352.92690804822</v>
      </c>
      <c r="L69" s="69">
        <f t="shared" si="35"/>
        <v>772186.4561771286</v>
      </c>
      <c r="M69" s="69">
        <f t="shared" si="35"/>
        <v>781108.32073889975</v>
      </c>
      <c r="N69" s="69">
        <f t="shared" si="35"/>
        <v>790119.40394628874</v>
      </c>
      <c r="O69" s="69">
        <f t="shared" si="35"/>
        <v>799220.59798575193</v>
      </c>
      <c r="P69" s="69">
        <f t="shared" si="35"/>
        <v>808412.80396560952</v>
      </c>
      <c r="Q69" s="121">
        <f>SUM(G69:P69)</f>
        <v>5990195.3759030895</v>
      </c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</row>
    <row r="70" spans="1:58" ht="15" thickTop="1">
      <c r="A70" s="5"/>
      <c r="B70" s="35"/>
      <c r="C70" s="36"/>
      <c r="D70" s="36"/>
      <c r="E70" s="61"/>
      <c r="F70" s="77"/>
      <c r="G70" s="77"/>
      <c r="H70" s="77"/>
      <c r="I70" s="77"/>
      <c r="J70" s="77"/>
      <c r="K70" s="77"/>
      <c r="L70" s="77"/>
      <c r="M70" s="77"/>
      <c r="N70" s="77"/>
      <c r="O70" s="77"/>
      <c r="P70" s="77"/>
      <c r="Q70" s="121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</row>
    <row r="71" spans="1:58" ht="15" thickBot="1">
      <c r="A71" s="5"/>
      <c r="B71" s="80" t="s">
        <v>66</v>
      </c>
      <c r="C71" s="71"/>
      <c r="D71" s="71"/>
      <c r="E71" s="72"/>
      <c r="F71" s="73">
        <f>F60+F66+F69</f>
        <v>-154300</v>
      </c>
      <c r="G71" s="73">
        <f t="shared" ref="G71:P71" si="36">G60+G66+G69</f>
        <v>-4315173.56630137</v>
      </c>
      <c r="H71" s="73">
        <f t="shared" si="36"/>
        <v>45926.823678081855</v>
      </c>
      <c r="I71" s="73">
        <f t="shared" si="36"/>
        <v>3550593.1205250006</v>
      </c>
      <c r="J71" s="73">
        <f t="shared" si="36"/>
        <v>-18735578.852118187</v>
      </c>
      <c r="K71" s="73">
        <f t="shared" si="36"/>
        <v>4296764.6345402412</v>
      </c>
      <c r="L71" s="73">
        <f t="shared" si="36"/>
        <v>4340932.2808856433</v>
      </c>
      <c r="M71" s="73">
        <f t="shared" si="36"/>
        <v>4385541.6036944985</v>
      </c>
      <c r="N71" s="73">
        <f t="shared" si="36"/>
        <v>4430597.0197314434</v>
      </c>
      <c r="O71" s="73">
        <f t="shared" si="36"/>
        <v>4476102.9899287596</v>
      </c>
      <c r="P71" s="73">
        <f t="shared" si="36"/>
        <v>4522064.0198280476</v>
      </c>
      <c r="Q71" s="93">
        <f>SUM(G71:P71)</f>
        <v>6997770.0743921585</v>
      </c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</row>
    <row r="72" spans="1:58" ht="15" thickTop="1">
      <c r="A72" s="5"/>
      <c r="B72" s="35"/>
      <c r="C72" s="36"/>
      <c r="D72" s="36"/>
      <c r="E72" s="61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61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</row>
    <row r="73" spans="1:58">
      <c r="A73" s="5"/>
      <c r="B73" s="81" t="s">
        <v>81</v>
      </c>
      <c r="C73" s="47"/>
      <c r="D73" s="47"/>
      <c r="E73" s="88"/>
      <c r="F73" s="89"/>
      <c r="G73" s="89">
        <f>IF(G35=$C$27,(H41/$C$26)+SUM(H42:$P$42),0)</f>
        <v>0</v>
      </c>
      <c r="H73" s="89">
        <f>IF(H35=$C$27,(I41/$C$26)+SUM(I42:$P$42),0)</f>
        <v>0</v>
      </c>
      <c r="I73" s="89">
        <f>IF(I35=$C$27,(J41/$C$26)+SUM(J42:$P$42),0)</f>
        <v>0</v>
      </c>
      <c r="J73" s="89">
        <f>IF(J35=$C$27,(K41/$C$26)+SUM(K42:$P$42),0)</f>
        <v>61748942.463475205</v>
      </c>
      <c r="K73" s="89">
        <f>IF(K35=$C$27,(L41/$C$26)+SUM(L42:$P$42),0)</f>
        <v>0</v>
      </c>
      <c r="L73" s="89">
        <f>IF(L35=$C$27,(M41/$C$26)+SUM(M42:$P$42),0)</f>
        <v>0</v>
      </c>
      <c r="M73" s="89">
        <f>IF(M35=$C$27,(N41/$C$26)+SUM(N42:$P$42),0)</f>
        <v>0</v>
      </c>
      <c r="N73" s="89">
        <f>IF(N35=$C$27,(O41/$C$26)+SUM(O42:$P$42),0)</f>
        <v>0</v>
      </c>
      <c r="O73" s="89">
        <f>IF(O35=$C$27,(P41/$C$26)+SUM(P42:$P$42),0)</f>
        <v>0</v>
      </c>
      <c r="P73" s="89">
        <f>IF(P35=$C$27,(Q41/$C$26)+SUM($P42:Q$42),0)</f>
        <v>0</v>
      </c>
      <c r="Q73" s="91">
        <f>SUM(G73:P73)</f>
        <v>61748942.463475205</v>
      </c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</row>
    <row r="74" spans="1:58">
      <c r="A74" s="5"/>
      <c r="B74" s="35" t="s">
        <v>93</v>
      </c>
      <c r="C74" s="36"/>
      <c r="D74" s="96">
        <v>0.08</v>
      </c>
      <c r="E74" s="61"/>
      <c r="F74" s="77">
        <f>-$D$74*F73</f>
        <v>0</v>
      </c>
      <c r="G74" s="77">
        <f>-$D$74*G73</f>
        <v>0</v>
      </c>
      <c r="H74" s="77">
        <f t="shared" ref="H74:P74" si="37">-$D$74*H73</f>
        <v>0</v>
      </c>
      <c r="I74" s="77">
        <f t="shared" si="37"/>
        <v>0</v>
      </c>
      <c r="J74" s="77">
        <f t="shared" si="37"/>
        <v>-4939915.3970780168</v>
      </c>
      <c r="K74" s="77">
        <f t="shared" si="37"/>
        <v>0</v>
      </c>
      <c r="L74" s="77">
        <f t="shared" si="37"/>
        <v>0</v>
      </c>
      <c r="M74" s="77">
        <f t="shared" si="37"/>
        <v>0</v>
      </c>
      <c r="N74" s="77">
        <f t="shared" si="37"/>
        <v>0</v>
      </c>
      <c r="O74" s="77">
        <f t="shared" si="37"/>
        <v>0</v>
      </c>
      <c r="P74" s="77">
        <f t="shared" si="37"/>
        <v>0</v>
      </c>
      <c r="Q74" s="121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</row>
    <row r="75" spans="1:58">
      <c r="A75" s="5"/>
      <c r="B75" s="158" t="s">
        <v>99</v>
      </c>
      <c r="C75" s="36"/>
      <c r="D75" s="36"/>
      <c r="E75" s="61"/>
      <c r="F75" s="77">
        <f>L13+L14</f>
        <v>35100000</v>
      </c>
      <c r="G75" s="77">
        <f>F75+F68</f>
        <v>34620000</v>
      </c>
      <c r="H75" s="77">
        <f>G75+H68</f>
        <v>34140000</v>
      </c>
      <c r="I75" s="77">
        <f>H75+I68</f>
        <v>33660000</v>
      </c>
      <c r="J75" s="77">
        <f t="shared" ref="J75:P75" si="38">I75+J68</f>
        <v>33180000</v>
      </c>
      <c r="K75" s="77">
        <f t="shared" si="38"/>
        <v>32700000</v>
      </c>
      <c r="L75" s="77">
        <f t="shared" si="38"/>
        <v>32220000</v>
      </c>
      <c r="M75" s="77">
        <f>L75+M68</f>
        <v>31740000</v>
      </c>
      <c r="N75" s="77">
        <f t="shared" si="38"/>
        <v>31260000</v>
      </c>
      <c r="O75" s="77">
        <f t="shared" si="38"/>
        <v>30780000</v>
      </c>
      <c r="P75" s="77">
        <f t="shared" si="38"/>
        <v>30300000</v>
      </c>
      <c r="Q75" s="121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</row>
    <row r="76" spans="1:58">
      <c r="A76" s="5"/>
      <c r="B76" s="35" t="s">
        <v>94</v>
      </c>
      <c r="C76" s="36"/>
      <c r="D76" s="96">
        <v>0.25</v>
      </c>
      <c r="E76" s="61"/>
      <c r="F76" s="77">
        <f>IF(F73&lt;&gt;0,-$D$76*(F73+F74-F75),0)</f>
        <v>0</v>
      </c>
      <c r="G76" s="77">
        <f>IF(G73&lt;&gt;0,-$D$76*(G73+G74-G75),0)</f>
        <v>0</v>
      </c>
      <c r="H76" s="77">
        <f t="shared" ref="H76:P76" si="39">IF(H73&lt;&gt;0,-$D$76*(H73+H74-H75),0)</f>
        <v>0</v>
      </c>
      <c r="I76" s="77">
        <f t="shared" si="39"/>
        <v>0</v>
      </c>
      <c r="J76" s="77">
        <f>IF(J73&lt;&gt;0,-$D$76*(J73+J74-J75),0)</f>
        <v>-5907256.7665992975</v>
      </c>
      <c r="K76" s="77">
        <f t="shared" si="39"/>
        <v>0</v>
      </c>
      <c r="L76" s="77">
        <f t="shared" si="39"/>
        <v>0</v>
      </c>
      <c r="M76" s="77">
        <f>IF(M73&lt;&gt;0,-$D$76*(M73+M74-M75),0)</f>
        <v>0</v>
      </c>
      <c r="N76" s="77">
        <f t="shared" si="39"/>
        <v>0</v>
      </c>
      <c r="O76" s="77">
        <f t="shared" si="39"/>
        <v>0</v>
      </c>
      <c r="P76" s="77">
        <f t="shared" si="39"/>
        <v>0</v>
      </c>
      <c r="Q76" s="121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</row>
    <row r="77" spans="1:58">
      <c r="A77" s="5"/>
      <c r="B77" s="35"/>
      <c r="C77" s="36"/>
      <c r="D77" s="36"/>
      <c r="E77" s="61"/>
      <c r="F77" s="77"/>
      <c r="G77" s="77"/>
      <c r="H77" s="77"/>
      <c r="I77" s="77"/>
      <c r="J77" s="77"/>
      <c r="K77" s="77"/>
      <c r="L77" s="77"/>
      <c r="M77" s="77"/>
      <c r="N77" s="77"/>
      <c r="O77" s="77"/>
      <c r="P77" s="77"/>
      <c r="Q77" s="121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</row>
    <row r="78" spans="1:58">
      <c r="A78" s="5"/>
      <c r="B78" s="35"/>
      <c r="C78" s="36"/>
      <c r="D78" s="36"/>
      <c r="E78" s="61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111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</row>
    <row r="79" spans="1:58" ht="15" thickBot="1">
      <c r="A79" s="5"/>
      <c r="B79" s="80" t="s">
        <v>92</v>
      </c>
      <c r="C79" s="71"/>
      <c r="D79" s="71"/>
      <c r="E79" s="93">
        <f>-H13-H14</f>
        <v>-13230000</v>
      </c>
      <c r="F79" s="73">
        <f>F73+F71+F76+F74</f>
        <v>-154300</v>
      </c>
      <c r="G79" s="73">
        <f>IF(F73&lt;&gt;0,0,IF(F79=0,0,G71+G73+G76+G74))</f>
        <v>-4315173.56630137</v>
      </c>
      <c r="H79" s="73">
        <f t="shared" ref="H79:P79" si="40">IF(G73&lt;&gt;0,0,IF(G79=0,0,H71+H73+H76+H74))</f>
        <v>45926.823678081855</v>
      </c>
      <c r="I79" s="73">
        <f t="shared" si="40"/>
        <v>3550593.1205250006</v>
      </c>
      <c r="J79" s="73">
        <f t="shared" si="40"/>
        <v>32166191.447679706</v>
      </c>
      <c r="K79" s="73">
        <f t="shared" si="40"/>
        <v>0</v>
      </c>
      <c r="L79" s="73">
        <f t="shared" si="40"/>
        <v>0</v>
      </c>
      <c r="M79" s="73">
        <f t="shared" si="40"/>
        <v>0</v>
      </c>
      <c r="N79" s="73">
        <f t="shared" si="40"/>
        <v>0</v>
      </c>
      <c r="O79" s="73">
        <f t="shared" si="40"/>
        <v>0</v>
      </c>
      <c r="P79" s="73">
        <f t="shared" si="40"/>
        <v>0</v>
      </c>
      <c r="Q79" s="92">
        <f>SUM(G79:P79)</f>
        <v>31447537.825581416</v>
      </c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</row>
    <row r="80" spans="1:58" ht="15" thickTop="1">
      <c r="A80" s="5"/>
      <c r="B80" s="81" t="s">
        <v>82</v>
      </c>
      <c r="C80" s="47"/>
      <c r="D80" s="47"/>
      <c r="E80" s="89">
        <f>E79</f>
        <v>-13230000</v>
      </c>
      <c r="F80" s="89">
        <f t="shared" ref="F80:G80" si="41">F79+E80</f>
        <v>-13384300</v>
      </c>
      <c r="G80" s="89">
        <f t="shared" si="41"/>
        <v>-17699473.566301368</v>
      </c>
      <c r="H80" s="89">
        <f>H79+G80</f>
        <v>-17653546.742623284</v>
      </c>
      <c r="I80" s="89">
        <f>I79+H80</f>
        <v>-14102953.622098284</v>
      </c>
      <c r="J80" s="89">
        <f>J79+I80</f>
        <v>18063237.825581424</v>
      </c>
      <c r="K80" s="89">
        <f t="shared" ref="K80:P80" si="42">K79+J80</f>
        <v>18063237.825581424</v>
      </c>
      <c r="L80" s="89">
        <f t="shared" si="42"/>
        <v>18063237.825581424</v>
      </c>
      <c r="M80" s="89">
        <f t="shared" si="42"/>
        <v>18063237.825581424</v>
      </c>
      <c r="N80" s="89">
        <f t="shared" si="42"/>
        <v>18063237.825581424</v>
      </c>
      <c r="O80" s="89">
        <f t="shared" si="42"/>
        <v>18063237.825581424</v>
      </c>
      <c r="P80" s="89">
        <f t="shared" si="42"/>
        <v>18063237.825581424</v>
      </c>
      <c r="Q80" s="91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</row>
    <row r="81" spans="1:58" ht="15" thickBo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</row>
    <row r="82" spans="1:58" ht="15" thickBot="1">
      <c r="A82" s="5"/>
      <c r="B82" s="136" t="s">
        <v>91</v>
      </c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</row>
    <row r="83" spans="1:58">
      <c r="A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</row>
    <row r="84" spans="1:58">
      <c r="A84" s="5"/>
      <c r="B84" s="90" t="s">
        <v>85</v>
      </c>
      <c r="C84" s="94">
        <f>XIRR(E79:P79,E34:P34)</f>
        <v>0.17124671339988704</v>
      </c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</row>
    <row r="85" spans="1:58">
      <c r="A85" s="5"/>
      <c r="B85" s="90" t="s">
        <v>86</v>
      </c>
      <c r="C85" s="95">
        <f>-SUMIF(E79:P79,"&gt;0")/SUMIF(E79:P79,"&lt;0")</f>
        <v>2.0205522643324625</v>
      </c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</row>
    <row r="86" spans="1:58">
      <c r="A86" s="5"/>
      <c r="D86" s="5"/>
      <c r="E86" s="5"/>
      <c r="F86" s="5"/>
      <c r="G86" s="5"/>
      <c r="H86" s="5"/>
      <c r="I86" s="5"/>
      <c r="J86" s="5"/>
      <c r="K86" s="13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</row>
    <row r="87" spans="1:58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</row>
    <row r="88" spans="1:58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</row>
    <row r="89" spans="1:58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</row>
    <row r="90" spans="1:58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</row>
    <row r="91" spans="1:58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</row>
    <row r="92" spans="1:58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</row>
    <row r="93" spans="1:58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</row>
    <row r="94" spans="1:58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</row>
    <row r="95" spans="1:58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</row>
    <row r="96" spans="1:58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</row>
    <row r="97" spans="1:58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</row>
    <row r="98" spans="1:58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</row>
    <row r="99" spans="1:58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</row>
    <row r="100" spans="1:58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</row>
    <row r="101" spans="1:58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</row>
    <row r="102" spans="1:58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</row>
    <row r="103" spans="1:58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</row>
    <row r="104" spans="1:58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</row>
    <row r="105" spans="1:58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</row>
    <row r="106" spans="1:58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</row>
    <row r="107" spans="1:58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</row>
    <row r="108" spans="1:58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</row>
    <row r="109" spans="1:58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</row>
    <row r="110" spans="1:58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</row>
    <row r="111" spans="1:58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</row>
    <row r="112" spans="1:58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</row>
    <row r="113" spans="1:58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</row>
    <row r="114" spans="1:58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</row>
    <row r="115" spans="1:58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</row>
    <row r="116" spans="1:58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</row>
    <row r="117" spans="1:58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</row>
    <row r="118" spans="1:58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</row>
    <row r="119" spans="1:58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</row>
    <row r="120" spans="1:58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</row>
    <row r="121" spans="1:58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</row>
    <row r="122" spans="1:58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</row>
    <row r="123" spans="1:58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</row>
    <row r="124" spans="1:58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</row>
    <row r="125" spans="1:58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</row>
    <row r="126" spans="1:58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</row>
    <row r="127" spans="1:58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</row>
    <row r="128" spans="1:58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</row>
    <row r="129" spans="1:58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</row>
    <row r="130" spans="1:58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</row>
    <row r="131" spans="1:58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</row>
    <row r="132" spans="1:58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</row>
    <row r="133" spans="1:58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</row>
    <row r="134" spans="1:58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</row>
    <row r="135" spans="1:58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</row>
    <row r="136" spans="1:58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</row>
    <row r="137" spans="1:58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</row>
    <row r="138" spans="1:58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</row>
    <row r="139" spans="1:58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</row>
    <row r="140" spans="1:58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</row>
    <row r="141" spans="1:58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</row>
    <row r="142" spans="1:58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</row>
    <row r="143" spans="1:58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</row>
    <row r="144" spans="1:58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</row>
    <row r="145" spans="1:58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</row>
    <row r="146" spans="1:58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</row>
    <row r="147" spans="1:58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</row>
    <row r="148" spans="1:58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</row>
    <row r="149" spans="1:58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</row>
    <row r="150" spans="1:58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</row>
    <row r="151" spans="1:58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</row>
    <row r="152" spans="1:58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</row>
    <row r="153" spans="1:58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</row>
    <row r="154" spans="1:58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</row>
    <row r="155" spans="1:58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</row>
    <row r="156" spans="1:58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</row>
    <row r="157" spans="1:58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</row>
    <row r="158" spans="1:58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</row>
    <row r="159" spans="1:58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</row>
    <row r="160" spans="1:58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</row>
    <row r="161" spans="1:58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</row>
    <row r="162" spans="1:58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</row>
    <row r="163" spans="1:58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</row>
    <row r="164" spans="1:58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</row>
    <row r="165" spans="1:58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</row>
    <row r="166" spans="1:58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</row>
    <row r="167" spans="1:58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</row>
    <row r="168" spans="1:58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</row>
    <row r="169" spans="1:58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</row>
    <row r="170" spans="1:58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</row>
    <row r="171" spans="1:58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</row>
    <row r="172" spans="1:58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</row>
    <row r="173" spans="1:58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</row>
    <row r="174" spans="1:58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</row>
    <row r="175" spans="1:58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</row>
    <row r="176" spans="1:58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</row>
    <row r="177" spans="1:58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</row>
    <row r="178" spans="1:58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</row>
    <row r="179" spans="1:58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</row>
    <row r="180" spans="1:58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</row>
    <row r="181" spans="1:58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</row>
    <row r="182" spans="1:58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</row>
    <row r="183" spans="1:58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</row>
    <row r="184" spans="1:58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</row>
    <row r="185" spans="1:58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</row>
    <row r="186" spans="1:58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</row>
    <row r="187" spans="1:58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</row>
    <row r="188" spans="1:58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</row>
    <row r="189" spans="1:58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</row>
    <row r="190" spans="1:58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</row>
    <row r="191" spans="1:58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</row>
    <row r="192" spans="1:58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</row>
    <row r="193" spans="1:58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</row>
    <row r="194" spans="1:58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</row>
    <row r="195" spans="1:58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</row>
    <row r="196" spans="1:58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</row>
    <row r="197" spans="1:58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</row>
    <row r="198" spans="1:58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</row>
    <row r="199" spans="1:58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</row>
    <row r="200" spans="1:58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</row>
    <row r="201" spans="1:58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</row>
    <row r="202" spans="1:58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</row>
    <row r="203" spans="1:58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</row>
    <row r="204" spans="1:58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</row>
    <row r="205" spans="1:58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</row>
    <row r="206" spans="1:58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</row>
    <row r="207" spans="1:58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</row>
    <row r="208" spans="1:58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</row>
    <row r="209" spans="1:58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</row>
    <row r="210" spans="1:58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</row>
    <row r="211" spans="1:58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</row>
    <row r="212" spans="1:58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</row>
    <row r="213" spans="1:58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</row>
    <row r="214" spans="1:58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</row>
    <row r="215" spans="1:58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</row>
    <row r="216" spans="1:58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</row>
    <row r="217" spans="1:58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</row>
    <row r="218" spans="1:58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</row>
    <row r="219" spans="1:58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</row>
    <row r="220" spans="1:58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</row>
    <row r="221" spans="1:58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</row>
    <row r="222" spans="1:58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</row>
    <row r="223" spans="1:58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</row>
    <row r="224" spans="1:58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</row>
    <row r="225" spans="1:58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</row>
    <row r="226" spans="1:58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</row>
    <row r="227" spans="1:58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</row>
    <row r="228" spans="1:58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</row>
    <row r="229" spans="1:58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</row>
    <row r="230" spans="1:58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</row>
    <row r="231" spans="1:58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</row>
    <row r="232" spans="1:58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</row>
    <row r="233" spans="1:58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</row>
    <row r="234" spans="1:58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</row>
    <row r="235" spans="1:58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</row>
    <row r="236" spans="1:58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</row>
    <row r="237" spans="1:58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</row>
    <row r="238" spans="1:58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</row>
    <row r="239" spans="1:58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</row>
    <row r="240" spans="1:58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</row>
    <row r="241" spans="1:58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</row>
    <row r="242" spans="1:58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</row>
    <row r="243" spans="1:58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</row>
    <row r="244" spans="1:58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</row>
    <row r="245" spans="1:58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</row>
    <row r="246" spans="1:58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</row>
    <row r="247" spans="1:58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</row>
    <row r="248" spans="1:58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</row>
    <row r="249" spans="1:58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</row>
    <row r="250" spans="1:58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</row>
    <row r="251" spans="1:58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</row>
    <row r="252" spans="1:58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</row>
    <row r="253" spans="1:58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</row>
    <row r="254" spans="1:58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</row>
    <row r="255" spans="1:58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</row>
    <row r="256" spans="1:58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</row>
    <row r="257" spans="1:58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</row>
    <row r="258" spans="1:58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</row>
    <row r="259" spans="1:58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</row>
    <row r="260" spans="1:58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</row>
    <row r="261" spans="1:58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</row>
    <row r="262" spans="1:58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</row>
    <row r="263" spans="1:58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</row>
    <row r="264" spans="1:58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</row>
    <row r="265" spans="1:58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</row>
    <row r="266" spans="1:58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</row>
    <row r="267" spans="1:58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</row>
    <row r="268" spans="1:58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</row>
    <row r="269" spans="1:58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</row>
    <row r="270" spans="1:58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</row>
    <row r="271" spans="1:58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</row>
    <row r="272" spans="1:58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</row>
    <row r="273" spans="1:58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</row>
    <row r="274" spans="1:58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</row>
    <row r="275" spans="1:58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</row>
    <row r="276" spans="1:58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</row>
    <row r="277" spans="1:58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</row>
    <row r="278" spans="1:58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</row>
    <row r="279" spans="1:58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</row>
    <row r="280" spans="1:58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</row>
    <row r="281" spans="1:58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</row>
    <row r="282" spans="1:58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</row>
    <row r="283" spans="1:58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</row>
    <row r="284" spans="1:58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</row>
    <row r="285" spans="1:58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</row>
    <row r="286" spans="1:58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</row>
    <row r="287" spans="1:58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</row>
    <row r="288" spans="1:58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</row>
    <row r="289" spans="1:58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</row>
    <row r="290" spans="1:58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</row>
    <row r="291" spans="1:58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</row>
    <row r="292" spans="1:58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</row>
    <row r="293" spans="1:58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</row>
    <row r="294" spans="1:58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</row>
    <row r="295" spans="1:58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</row>
    <row r="296" spans="1:58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</row>
    <row r="297" spans="1:58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</row>
    <row r="298" spans="1:58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</row>
    <row r="299" spans="1:58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</row>
    <row r="300" spans="1:58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</row>
    <row r="301" spans="1:58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</row>
    <row r="302" spans="1:58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</row>
    <row r="303" spans="1:58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</row>
    <row r="304" spans="1:58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</row>
    <row r="305" spans="1:58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</row>
    <row r="306" spans="1:58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</row>
    <row r="307" spans="1:58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</row>
    <row r="308" spans="1:58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</row>
    <row r="309" spans="1:58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  <c r="BE309" s="5"/>
      <c r="BF309" s="5"/>
    </row>
    <row r="310" spans="1:58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/>
      <c r="BD310" s="5"/>
      <c r="BE310" s="5"/>
      <c r="BF310" s="5"/>
    </row>
    <row r="311" spans="1:58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  <c r="BE311" s="5"/>
      <c r="BF311" s="5"/>
    </row>
    <row r="312" spans="1:58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  <c r="BE312" s="5"/>
      <c r="BF312" s="5"/>
    </row>
    <row r="313" spans="1:58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  <c r="BE313" s="5"/>
      <c r="BF313" s="5"/>
    </row>
    <row r="314" spans="1:58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  <c r="BE314" s="5"/>
      <c r="BF314" s="5"/>
    </row>
    <row r="315" spans="1:58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  <c r="BE315" s="5"/>
      <c r="BF315" s="5"/>
    </row>
    <row r="316" spans="1:58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  <c r="BE316" s="5"/>
      <c r="BF316" s="5"/>
    </row>
    <row r="317" spans="1:58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  <c r="BE317" s="5"/>
      <c r="BF317" s="5"/>
    </row>
    <row r="318" spans="1:58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B318" s="5"/>
      <c r="BC318" s="5"/>
      <c r="BD318" s="5"/>
      <c r="BE318" s="5"/>
      <c r="BF318" s="5"/>
    </row>
    <row r="319" spans="1:58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</row>
    <row r="320" spans="1:58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  <c r="BE320" s="5"/>
      <c r="BF320" s="5"/>
    </row>
    <row r="321" spans="1:58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  <c r="BE321" s="5"/>
      <c r="BF321" s="5"/>
    </row>
    <row r="322" spans="1:58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  <c r="BE322" s="5"/>
      <c r="BF322" s="5"/>
    </row>
    <row r="323" spans="1:58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  <c r="BE323" s="5"/>
      <c r="BF323" s="5"/>
    </row>
    <row r="324" spans="1:58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  <c r="BB324" s="5"/>
      <c r="BC324" s="5"/>
      <c r="BD324" s="5"/>
      <c r="BE324" s="5"/>
      <c r="BF324" s="5"/>
    </row>
    <row r="325" spans="1:58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  <c r="BE325" s="5"/>
      <c r="BF325" s="5"/>
    </row>
    <row r="326" spans="1:58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  <c r="BB326" s="5"/>
      <c r="BC326" s="5"/>
      <c r="BD326" s="5"/>
      <c r="BE326" s="5"/>
      <c r="BF326" s="5"/>
    </row>
    <row r="327" spans="1:58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  <c r="BE327" s="5"/>
      <c r="BF327" s="5"/>
    </row>
    <row r="328" spans="1:58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B328" s="5"/>
      <c r="BC328" s="5"/>
      <c r="BD328" s="5"/>
      <c r="BE328" s="5"/>
      <c r="BF328" s="5"/>
    </row>
    <row r="329" spans="1:58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  <c r="BE329" s="5"/>
      <c r="BF329" s="5"/>
    </row>
    <row r="330" spans="1:58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/>
      <c r="BD330" s="5"/>
      <c r="BE330" s="5"/>
      <c r="BF330" s="5"/>
    </row>
    <row r="331" spans="1:58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/>
      <c r="BD331" s="5"/>
      <c r="BE331" s="5"/>
      <c r="BF331" s="5"/>
    </row>
    <row r="332" spans="1:58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  <c r="BE332" s="5"/>
      <c r="BF332" s="5"/>
    </row>
    <row r="333" spans="1:58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  <c r="BE333" s="5"/>
      <c r="BF333" s="5"/>
    </row>
    <row r="334" spans="1:58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  <c r="BE334" s="5"/>
      <c r="BF334" s="5"/>
    </row>
    <row r="335" spans="1:58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  <c r="BE335" s="5"/>
      <c r="BF335" s="5"/>
    </row>
    <row r="336" spans="1:58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  <c r="BE336" s="5"/>
      <c r="BF336" s="5"/>
    </row>
    <row r="337" spans="1:58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B337" s="5"/>
      <c r="BC337" s="5"/>
      <c r="BD337" s="5"/>
      <c r="BE337" s="5"/>
      <c r="BF337" s="5"/>
    </row>
    <row r="338" spans="1:58"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  <c r="BE338" s="5"/>
      <c r="BF338" s="5"/>
    </row>
  </sheetData>
  <mergeCells count="7">
    <mergeCell ref="O9:P9"/>
    <mergeCell ref="F4:L4"/>
    <mergeCell ref="G7:I7"/>
    <mergeCell ref="J7:K7"/>
    <mergeCell ref="B9:C9"/>
    <mergeCell ref="F9:L9"/>
    <mergeCell ref="E5:M5"/>
  </mergeCells>
  <pageMargins left="0.7" right="0.7" top="0.75" bottom="0.75" header="0.3" footer="0.3"/>
  <pageSetup paperSize="9" scale="1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F342"/>
  <sheetViews>
    <sheetView showGridLines="0" tabSelected="1" topLeftCell="A58" zoomScale="85" zoomScaleNormal="85" workbookViewId="0">
      <selection activeCell="C85" sqref="C85"/>
    </sheetView>
  </sheetViews>
  <sheetFormatPr baseColWidth="10" defaultColWidth="11.5" defaultRowHeight="14" outlineLevelRow="1"/>
  <cols>
    <col min="1" max="1" width="4.1640625" style="1" customWidth="1"/>
    <col min="2" max="2" width="30.1640625" style="1" customWidth="1"/>
    <col min="3" max="3" width="27.33203125" style="1" bestFit="1" customWidth="1"/>
    <col min="4" max="4" width="15.5" style="1" customWidth="1"/>
    <col min="5" max="5" width="14.83203125" style="1" bestFit="1" customWidth="1"/>
    <col min="6" max="6" width="16.33203125" style="1" customWidth="1"/>
    <col min="7" max="7" width="15.6640625" style="1" customWidth="1"/>
    <col min="8" max="8" width="19.6640625" style="1" customWidth="1"/>
    <col min="9" max="9" width="18.5" style="1" bestFit="1" customWidth="1"/>
    <col min="10" max="10" width="19.83203125" style="1" bestFit="1" customWidth="1"/>
    <col min="11" max="11" width="15.6640625" style="1" customWidth="1"/>
    <col min="12" max="12" width="20.5" style="1" customWidth="1"/>
    <col min="13" max="13" width="18.83203125" style="1" bestFit="1" customWidth="1"/>
    <col min="14" max="16" width="15.6640625" style="1" customWidth="1"/>
    <col min="17" max="19" width="20.6640625" style="1" customWidth="1"/>
    <col min="20" max="25" width="11.5" style="1"/>
    <col min="26" max="26" width="17.5" style="1" bestFit="1" customWidth="1"/>
    <col min="27" max="27" width="11.5" style="1"/>
    <col min="28" max="28" width="14.5" style="1" bestFit="1" customWidth="1"/>
    <col min="29" max="29" width="16.33203125" style="1" bestFit="1" customWidth="1"/>
    <col min="30" max="38" width="14.5" style="1" bestFit="1" customWidth="1"/>
    <col min="39" max="16384" width="11.5" style="1"/>
  </cols>
  <sheetData>
    <row r="1" spans="2:58" ht="15" hidden="1" outlineLevel="1" thickBot="1">
      <c r="B1" s="5" t="s">
        <v>68</v>
      </c>
      <c r="C1" s="58">
        <f>EDATE($F$33,C15)</f>
        <v>44926</v>
      </c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</row>
    <row r="2" spans="2:58" ht="15" hidden="1" outlineLevel="1" thickBot="1">
      <c r="B2" s="5" t="s">
        <v>69</v>
      </c>
      <c r="C2" s="58">
        <f>EDATE(C1,C19+C24)</f>
        <v>45473</v>
      </c>
      <c r="W2" s="5"/>
      <c r="X2" s="5"/>
      <c r="Y2" s="5"/>
      <c r="Z2" s="46" t="s">
        <v>42</v>
      </c>
      <c r="AA2" s="47"/>
      <c r="AB2" s="47">
        <v>0</v>
      </c>
      <c r="AC2" s="47">
        <v>1</v>
      </c>
      <c r="AD2" s="47">
        <v>2</v>
      </c>
      <c r="AE2" s="47">
        <v>3</v>
      </c>
      <c r="AF2" s="47">
        <v>4</v>
      </c>
      <c r="AG2" s="47">
        <v>5</v>
      </c>
      <c r="AH2" s="47">
        <v>6</v>
      </c>
      <c r="AI2" s="47">
        <v>7</v>
      </c>
      <c r="AJ2" s="47">
        <v>8</v>
      </c>
      <c r="AK2" s="47">
        <v>9</v>
      </c>
      <c r="AL2" s="48">
        <v>10</v>
      </c>
      <c r="AM2" s="48">
        <v>11</v>
      </c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</row>
    <row r="3" spans="2:58" ht="15" hidden="1" outlineLevel="1" thickBot="1">
      <c r="B3" s="5" t="s">
        <v>70</v>
      </c>
      <c r="C3" s="58">
        <f>EDATE(C2,C25)</f>
        <v>45656</v>
      </c>
      <c r="W3" s="5"/>
      <c r="X3" s="5"/>
      <c r="Y3" s="5"/>
      <c r="Z3" s="35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7"/>
      <c r="AM3" s="37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</row>
    <row r="4" spans="2:58" ht="20" customHeight="1" collapsed="1" thickBot="1">
      <c r="F4" s="283" t="s">
        <v>110</v>
      </c>
      <c r="G4" s="284"/>
      <c r="H4" s="284"/>
      <c r="I4" s="284"/>
      <c r="J4" s="284"/>
      <c r="K4" s="284"/>
      <c r="L4" s="285"/>
      <c r="W4" s="5"/>
      <c r="X4" s="5"/>
      <c r="Y4" s="5"/>
      <c r="Z4" s="49" t="s">
        <v>46</v>
      </c>
      <c r="AA4" s="38"/>
      <c r="AB4" s="50">
        <f>H15</f>
        <v>5625000</v>
      </c>
      <c r="AC4" s="38"/>
      <c r="AD4" s="38"/>
      <c r="AE4" s="38"/>
      <c r="AF4" s="38"/>
      <c r="AG4" s="38"/>
      <c r="AH4" s="38"/>
      <c r="AI4" s="38"/>
      <c r="AJ4" s="38"/>
      <c r="AK4" s="38"/>
      <c r="AL4" s="39"/>
      <c r="AM4" s="39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</row>
    <row r="5" spans="2:58" ht="20" customHeight="1">
      <c r="B5" s="219"/>
      <c r="C5" s="219"/>
      <c r="D5" s="219"/>
      <c r="E5" s="280"/>
      <c r="F5" s="281"/>
      <c r="G5" s="281"/>
      <c r="H5" s="281"/>
      <c r="I5" s="281"/>
      <c r="J5" s="281"/>
      <c r="K5" s="281"/>
      <c r="L5" s="281"/>
      <c r="M5" s="282"/>
      <c r="N5" s="219"/>
      <c r="O5" s="219"/>
      <c r="P5" s="219"/>
      <c r="Q5" s="219"/>
      <c r="R5" s="219"/>
      <c r="W5" s="5"/>
      <c r="X5" s="5"/>
      <c r="Y5" s="5"/>
      <c r="Z5" s="35"/>
      <c r="AA5" s="36"/>
      <c r="AB5" s="40"/>
      <c r="AC5" s="36"/>
      <c r="AD5" s="36"/>
      <c r="AE5" s="36"/>
      <c r="AF5" s="36"/>
      <c r="AG5" s="36"/>
      <c r="AH5" s="36"/>
      <c r="AI5" s="36"/>
      <c r="AJ5" s="36"/>
      <c r="AK5" s="36"/>
      <c r="AL5" s="37"/>
      <c r="AM5" s="37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</row>
    <row r="6" spans="2:58" s="222" customFormat="1" ht="20" customHeight="1" thickBot="1">
      <c r="B6" s="221"/>
      <c r="C6" s="221"/>
      <c r="D6" s="221"/>
      <c r="E6" s="220"/>
      <c r="F6" s="220"/>
      <c r="G6" s="220"/>
      <c r="H6" s="220"/>
      <c r="I6" s="220"/>
      <c r="J6" s="220"/>
      <c r="K6" s="220"/>
      <c r="L6" s="220"/>
      <c r="M6" s="220"/>
      <c r="N6" s="221"/>
      <c r="O6" s="221"/>
      <c r="P6" s="221"/>
      <c r="Q6" s="221"/>
      <c r="R6" s="221"/>
      <c r="W6" s="223"/>
      <c r="X6" s="223"/>
      <c r="Y6" s="223"/>
      <c r="Z6" s="224"/>
      <c r="AA6" s="225"/>
      <c r="AB6" s="226"/>
      <c r="AC6" s="225"/>
      <c r="AD6" s="225"/>
      <c r="AE6" s="225"/>
      <c r="AF6" s="225"/>
      <c r="AG6" s="225"/>
      <c r="AH6" s="225"/>
      <c r="AI6" s="225"/>
      <c r="AJ6" s="225"/>
      <c r="AK6" s="225"/>
      <c r="AL6" s="227"/>
      <c r="AM6" s="227"/>
      <c r="AN6" s="223"/>
      <c r="AO6" s="223"/>
      <c r="AP6" s="223"/>
      <c r="AQ6" s="223"/>
      <c r="AR6" s="223"/>
      <c r="AS6" s="223"/>
      <c r="AT6" s="223"/>
      <c r="AU6" s="223"/>
      <c r="AV6" s="223"/>
      <c r="AW6" s="223"/>
      <c r="AX6" s="223"/>
      <c r="AY6" s="223"/>
      <c r="AZ6" s="223"/>
      <c r="BA6" s="223"/>
      <c r="BB6" s="223"/>
      <c r="BC6" s="223"/>
      <c r="BD6" s="223"/>
      <c r="BE6" s="223"/>
      <c r="BF6" s="223"/>
    </row>
    <row r="7" spans="2:58" ht="20" customHeight="1" thickBot="1">
      <c r="F7" s="100"/>
      <c r="G7" s="275" t="s">
        <v>88</v>
      </c>
      <c r="H7" s="276"/>
      <c r="I7" s="276"/>
      <c r="J7" s="277">
        <f>(K41)/H25</f>
        <v>0.10208026254687808</v>
      </c>
      <c r="K7" s="278"/>
      <c r="L7" s="100"/>
      <c r="M7" s="139"/>
      <c r="W7" s="5"/>
      <c r="X7" s="5"/>
      <c r="Y7" s="5"/>
      <c r="Z7" s="35"/>
      <c r="AA7" s="36"/>
      <c r="AB7" s="40"/>
      <c r="AC7" s="36"/>
      <c r="AD7" s="36"/>
      <c r="AE7" s="36"/>
      <c r="AF7" s="36"/>
      <c r="AG7" s="36"/>
      <c r="AH7" s="36"/>
      <c r="AI7" s="36"/>
      <c r="AJ7" s="36"/>
      <c r="AK7" s="36"/>
      <c r="AL7" s="37"/>
      <c r="AM7" s="37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</row>
    <row r="8" spans="2:58" ht="15" thickBot="1">
      <c r="G8" s="161" t="s">
        <v>107</v>
      </c>
      <c r="H8" s="162"/>
      <c r="I8" s="163">
        <f>H25/C11</f>
        <v>1441.4285714285713</v>
      </c>
      <c r="J8" s="162" t="s">
        <v>108</v>
      </c>
      <c r="K8" s="164">
        <f>MAX(F73,G73,H73,I73,J73,K73,L73,M73,N73,O73,P73)/$C$11</f>
        <v>2404.0356666666662</v>
      </c>
      <c r="W8" s="5"/>
      <c r="X8" s="5"/>
      <c r="Y8" s="5"/>
      <c r="Z8" s="35" t="s">
        <v>47</v>
      </c>
      <c r="AA8" s="36"/>
      <c r="AB8" s="36"/>
      <c r="AC8" s="40">
        <f>AB4+AB8-AB10</f>
        <v>5625000</v>
      </c>
      <c r="AD8" s="40">
        <f t="shared" ref="AD8:AL8" si="0">AC4+AC8-AC10</f>
        <v>5596875</v>
      </c>
      <c r="AE8" s="40">
        <f t="shared" si="0"/>
        <v>5568890.625</v>
      </c>
      <c r="AF8" s="40">
        <f t="shared" si="0"/>
        <v>5541046.171875</v>
      </c>
      <c r="AG8" s="40">
        <f t="shared" si="0"/>
        <v>0</v>
      </c>
      <c r="AH8" s="40">
        <f>AG4+AG8-AG10</f>
        <v>0</v>
      </c>
      <c r="AI8" s="40">
        <f t="shared" si="0"/>
        <v>0</v>
      </c>
      <c r="AJ8" s="40">
        <f t="shared" si="0"/>
        <v>0</v>
      </c>
      <c r="AK8" s="40">
        <f t="shared" si="0"/>
        <v>0</v>
      </c>
      <c r="AL8" s="41">
        <f t="shared" si="0"/>
        <v>0</v>
      </c>
      <c r="AM8" s="41">
        <f>AL4+AL8-AL10</f>
        <v>0</v>
      </c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</row>
    <row r="9" spans="2:58" ht="16">
      <c r="B9" s="270" t="s">
        <v>15</v>
      </c>
      <c r="C9" s="271"/>
      <c r="F9" s="279" t="s">
        <v>38</v>
      </c>
      <c r="G9" s="286"/>
      <c r="H9" s="286"/>
      <c r="I9" s="286"/>
      <c r="J9" s="286"/>
      <c r="K9" s="286"/>
      <c r="L9" s="279"/>
      <c r="O9" s="270" t="s">
        <v>39</v>
      </c>
      <c r="P9" s="271"/>
      <c r="W9" s="5"/>
      <c r="X9" s="5"/>
      <c r="Y9" s="5"/>
      <c r="Z9" s="35" t="s">
        <v>48</v>
      </c>
      <c r="AA9" s="36"/>
      <c r="AB9" s="36"/>
      <c r="AC9" s="40">
        <f t="shared" ref="AC9:AM9" si="1">$P$13*AC8</f>
        <v>168750</v>
      </c>
      <c r="AD9" s="40">
        <f t="shared" si="1"/>
        <v>167906.25</v>
      </c>
      <c r="AE9" s="40">
        <f t="shared" si="1"/>
        <v>167066.71875</v>
      </c>
      <c r="AF9" s="40">
        <f t="shared" si="1"/>
        <v>166231.38515625001</v>
      </c>
      <c r="AG9" s="40">
        <f t="shared" si="1"/>
        <v>0</v>
      </c>
      <c r="AH9" s="40">
        <f t="shared" si="1"/>
        <v>0</v>
      </c>
      <c r="AI9" s="40">
        <f t="shared" si="1"/>
        <v>0</v>
      </c>
      <c r="AJ9" s="40">
        <f t="shared" si="1"/>
        <v>0</v>
      </c>
      <c r="AK9" s="40">
        <f t="shared" si="1"/>
        <v>0</v>
      </c>
      <c r="AL9" s="41">
        <f t="shared" si="1"/>
        <v>0</v>
      </c>
      <c r="AM9" s="41">
        <f t="shared" si="1"/>
        <v>0</v>
      </c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</row>
    <row r="10" spans="2:58" ht="15" thickBot="1">
      <c r="B10" s="108" t="s">
        <v>96</v>
      </c>
      <c r="C10" s="141">
        <v>44926</v>
      </c>
      <c r="F10" s="4"/>
      <c r="G10" s="2"/>
      <c r="H10" s="2"/>
      <c r="I10" s="2"/>
      <c r="J10" s="2"/>
      <c r="K10" s="2"/>
      <c r="L10" s="3"/>
      <c r="O10" s="4"/>
      <c r="P10" s="3"/>
      <c r="W10" s="5"/>
      <c r="X10" s="5"/>
      <c r="Y10" s="5"/>
      <c r="Z10" s="35" t="s">
        <v>49</v>
      </c>
      <c r="AA10" s="36"/>
      <c r="AB10" s="36"/>
      <c r="AC10" s="40">
        <f t="shared" ref="AC10:AM10" si="2">IF($P$15&gt;AC2,AC8*$P$14,IF($P$15=AC2,AC8,0))</f>
        <v>28125</v>
      </c>
      <c r="AD10" s="40">
        <f t="shared" si="2"/>
        <v>27984.375</v>
      </c>
      <c r="AE10" s="40">
        <f t="shared" si="2"/>
        <v>27844.453125</v>
      </c>
      <c r="AF10" s="40">
        <f t="shared" si="2"/>
        <v>5541046.171875</v>
      </c>
      <c r="AG10" s="40">
        <f t="shared" si="2"/>
        <v>0</v>
      </c>
      <c r="AH10" s="40">
        <f t="shared" si="2"/>
        <v>0</v>
      </c>
      <c r="AI10" s="40">
        <f t="shared" si="2"/>
        <v>0</v>
      </c>
      <c r="AJ10" s="40">
        <f t="shared" si="2"/>
        <v>0</v>
      </c>
      <c r="AK10" s="40">
        <f t="shared" si="2"/>
        <v>0</v>
      </c>
      <c r="AL10" s="41">
        <f t="shared" si="2"/>
        <v>0</v>
      </c>
      <c r="AM10" s="41">
        <f t="shared" si="2"/>
        <v>0</v>
      </c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</row>
    <row r="11" spans="2:58" ht="15" thickTop="1">
      <c r="B11" s="12" t="s">
        <v>16</v>
      </c>
      <c r="C11" s="14">
        <f>35000*0.75</f>
        <v>26250</v>
      </c>
      <c r="F11" s="4"/>
      <c r="G11" s="52"/>
      <c r="H11" s="2"/>
      <c r="I11" s="2"/>
      <c r="J11" s="2"/>
      <c r="K11" s="2"/>
      <c r="L11" s="3"/>
      <c r="O11" s="4"/>
      <c r="P11" s="3"/>
      <c r="W11" s="5"/>
      <c r="X11" s="5"/>
      <c r="Y11" s="5"/>
      <c r="Z11" s="42" t="s">
        <v>50</v>
      </c>
      <c r="AA11" s="43"/>
      <c r="AB11" s="43"/>
      <c r="AC11" s="44">
        <f>AC10+AC9</f>
        <v>196875</v>
      </c>
      <c r="AD11" s="44">
        <f t="shared" ref="AD11:AM11" si="3">AD10+AD9</f>
        <v>195890.625</v>
      </c>
      <c r="AE11" s="44">
        <f t="shared" si="3"/>
        <v>194911.171875</v>
      </c>
      <c r="AF11" s="44">
        <f t="shared" si="3"/>
        <v>5707277.5570312496</v>
      </c>
      <c r="AG11" s="44">
        <f t="shared" si="3"/>
        <v>0</v>
      </c>
      <c r="AH11" s="44">
        <f t="shared" si="3"/>
        <v>0</v>
      </c>
      <c r="AI11" s="44">
        <f t="shared" si="3"/>
        <v>0</v>
      </c>
      <c r="AJ11" s="44">
        <f t="shared" si="3"/>
        <v>0</v>
      </c>
      <c r="AK11" s="44">
        <f t="shared" si="3"/>
        <v>0</v>
      </c>
      <c r="AL11" s="45">
        <f t="shared" si="3"/>
        <v>0</v>
      </c>
      <c r="AM11" s="45">
        <f t="shared" si="3"/>
        <v>0</v>
      </c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</row>
    <row r="12" spans="2:58" ht="15" thickBot="1">
      <c r="B12" s="12" t="s">
        <v>17</v>
      </c>
      <c r="C12" s="15">
        <v>0</v>
      </c>
      <c r="F12" s="108" t="s">
        <v>35</v>
      </c>
      <c r="G12" s="98"/>
      <c r="H12" s="110"/>
      <c r="I12" s="98"/>
      <c r="J12" s="108" t="s">
        <v>30</v>
      </c>
      <c r="K12" s="109"/>
      <c r="L12" s="110"/>
      <c r="O12" s="26" t="s">
        <v>42</v>
      </c>
      <c r="P12" s="3"/>
      <c r="W12" s="5"/>
      <c r="X12" s="5"/>
      <c r="Y12" s="5"/>
      <c r="Z12" s="4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7"/>
      <c r="AM12" s="37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</row>
    <row r="13" spans="2:58" ht="15" thickTop="1">
      <c r="B13" s="12" t="s">
        <v>18</v>
      </c>
      <c r="C13" s="16">
        <f>C14*C11*C12</f>
        <v>0</v>
      </c>
      <c r="D13" s="139"/>
      <c r="F13" s="26" t="s">
        <v>141</v>
      </c>
      <c r="G13" s="160">
        <f>a!O8</f>
        <v>0.95</v>
      </c>
      <c r="H13" s="24">
        <f>($L$25-$H$15-H16)*G13</f>
        <v>18133125</v>
      </c>
      <c r="I13" s="2"/>
      <c r="J13" s="26" t="s">
        <v>31</v>
      </c>
      <c r="K13" s="53"/>
      <c r="L13" s="114">
        <f>15000000*0.75</f>
        <v>11250000</v>
      </c>
      <c r="M13" s="21"/>
      <c r="O13" s="31" t="s">
        <v>43</v>
      </c>
      <c r="P13" s="32">
        <v>0.03</v>
      </c>
      <c r="W13" s="5"/>
      <c r="X13" s="5"/>
      <c r="Y13" s="5"/>
      <c r="Z13" s="35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7"/>
      <c r="AM13" s="37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</row>
    <row r="14" spans="2:58">
      <c r="B14" s="13" t="s">
        <v>19</v>
      </c>
      <c r="C14" s="16">
        <v>0</v>
      </c>
      <c r="F14" s="26" t="s">
        <v>36</v>
      </c>
      <c r="G14" s="160">
        <f>a!O9</f>
        <v>5.0000000000000044E-2</v>
      </c>
      <c r="H14" s="24">
        <f>($L$25-$H$15-H16)*G14</f>
        <v>954375.00000000081</v>
      </c>
      <c r="I14" s="2"/>
      <c r="J14" s="26" t="s">
        <v>40</v>
      </c>
      <c r="K14" s="52"/>
      <c r="L14" s="115">
        <f>C18*C11</f>
        <v>26250000</v>
      </c>
      <c r="O14" s="31" t="s">
        <v>44</v>
      </c>
      <c r="P14" s="32">
        <v>5.0000000000000001E-3</v>
      </c>
      <c r="W14" s="5"/>
      <c r="X14" s="5"/>
      <c r="Y14" s="5"/>
      <c r="Z14" s="35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7"/>
      <c r="AM14" s="37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</row>
    <row r="15" spans="2:58">
      <c r="B15" s="12" t="s">
        <v>20</v>
      </c>
      <c r="C15" s="17">
        <v>0</v>
      </c>
      <c r="F15" s="26" t="s">
        <v>42</v>
      </c>
      <c r="G15" s="218">
        <v>0.5</v>
      </c>
      <c r="H15" s="24">
        <f>G15*L13</f>
        <v>5625000</v>
      </c>
      <c r="I15" s="2"/>
      <c r="J15" s="26" t="s">
        <v>32</v>
      </c>
      <c r="K15" s="54">
        <v>2.5000000000000001E-2</v>
      </c>
      <c r="L15" s="116">
        <f>L13*K15</f>
        <v>281250</v>
      </c>
      <c r="O15" s="31" t="s">
        <v>45</v>
      </c>
      <c r="P15" s="33">
        <v>4</v>
      </c>
      <c r="W15" s="5"/>
      <c r="X15" s="5"/>
      <c r="Y15" s="5"/>
      <c r="Z15" s="4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7"/>
      <c r="AM15" s="37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</row>
    <row r="16" spans="2:58">
      <c r="B16" s="12" t="s">
        <v>21</v>
      </c>
      <c r="C16" s="16">
        <v>10</v>
      </c>
      <c r="F16" s="26" t="s">
        <v>41</v>
      </c>
      <c r="G16" s="6">
        <f>C20</f>
        <v>0.5</v>
      </c>
      <c r="H16" s="24">
        <f>L14*G16</f>
        <v>13125000</v>
      </c>
      <c r="I16" s="2"/>
      <c r="J16" s="26" t="s">
        <v>33</v>
      </c>
      <c r="K16" s="54">
        <v>0.01</v>
      </c>
      <c r="L16" s="116">
        <f>K16*H15</f>
        <v>56250</v>
      </c>
      <c r="O16" s="31"/>
      <c r="P16" s="34"/>
      <c r="W16" s="5"/>
      <c r="X16" s="5"/>
      <c r="Y16" s="5"/>
      <c r="Z16" s="35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7"/>
      <c r="AM16" s="37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</row>
    <row r="17" spans="1:58">
      <c r="B17" s="12" t="s">
        <v>97</v>
      </c>
      <c r="C17" s="18">
        <v>0.01</v>
      </c>
      <c r="F17" s="30"/>
      <c r="G17" s="28"/>
      <c r="H17" s="29"/>
      <c r="I17" s="20"/>
      <c r="J17" s="30" t="s">
        <v>3</v>
      </c>
      <c r="K17" s="55"/>
      <c r="L17" s="159">
        <f>a!E14</f>
        <v>0</v>
      </c>
      <c r="M17" s="21"/>
      <c r="O17" s="26" t="s">
        <v>24</v>
      </c>
      <c r="P17" s="34"/>
      <c r="W17" s="5"/>
      <c r="X17" s="5"/>
      <c r="Y17" s="5"/>
      <c r="Z17" s="35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7"/>
      <c r="AM17" s="37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</row>
    <row r="18" spans="1:58">
      <c r="B18" s="12" t="s">
        <v>22</v>
      </c>
      <c r="C18" s="16">
        <v>1000</v>
      </c>
      <c r="F18" s="4"/>
      <c r="G18" s="2"/>
      <c r="H18" s="2"/>
      <c r="I18" s="156"/>
      <c r="J18" s="36"/>
      <c r="K18" s="102"/>
      <c r="L18" s="24"/>
      <c r="O18" s="31" t="s">
        <v>43</v>
      </c>
      <c r="P18" s="32">
        <v>0.03</v>
      </c>
      <c r="W18" s="5"/>
      <c r="X18" s="5"/>
      <c r="Y18" s="5"/>
      <c r="Z18" s="46" t="s">
        <v>53</v>
      </c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8"/>
      <c r="AM18" s="48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</row>
    <row r="19" spans="1:58">
      <c r="B19" s="13" t="s">
        <v>23</v>
      </c>
      <c r="C19" s="17">
        <v>18</v>
      </c>
      <c r="F19" s="4"/>
      <c r="G19" s="2"/>
      <c r="H19" s="2"/>
      <c r="I19" s="59"/>
      <c r="J19" s="2"/>
      <c r="K19" s="2"/>
      <c r="L19" s="3"/>
      <c r="O19" s="31" t="s">
        <v>44</v>
      </c>
      <c r="P19" s="32">
        <v>0</v>
      </c>
      <c r="W19" s="5"/>
      <c r="X19" s="5"/>
      <c r="Y19" s="5"/>
      <c r="Z19" s="35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7"/>
      <c r="AM19" s="37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</row>
    <row r="20" spans="1:58">
      <c r="B20" s="13" t="s">
        <v>24</v>
      </c>
      <c r="C20" s="18">
        <v>0.5</v>
      </c>
      <c r="F20" s="4"/>
      <c r="G20" s="2"/>
      <c r="H20" s="2"/>
      <c r="I20" s="59"/>
      <c r="J20" s="2"/>
      <c r="K20" s="2"/>
      <c r="L20" s="3"/>
      <c r="O20" s="31" t="s">
        <v>45</v>
      </c>
      <c r="P20" s="33">
        <v>4</v>
      </c>
      <c r="W20" s="5"/>
      <c r="X20" s="5"/>
      <c r="Y20" s="5"/>
      <c r="Z20" s="49" t="s">
        <v>46</v>
      </c>
      <c r="AA20" s="38"/>
      <c r="AB20" s="50">
        <f>H16</f>
        <v>13125000</v>
      </c>
      <c r="AC20" s="38"/>
      <c r="AD20" s="38"/>
      <c r="AE20" s="38"/>
      <c r="AF20" s="38"/>
      <c r="AG20" s="38"/>
      <c r="AH20" s="38"/>
      <c r="AI20" s="38"/>
      <c r="AJ20" s="38"/>
      <c r="AK20" s="38"/>
      <c r="AL20" s="39"/>
      <c r="AM20" s="39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</row>
    <row r="21" spans="1:58">
      <c r="B21" s="13" t="s">
        <v>25</v>
      </c>
      <c r="C21" s="18">
        <v>1</v>
      </c>
      <c r="F21" s="4"/>
      <c r="G21" s="2"/>
      <c r="H21" s="2"/>
      <c r="I21" s="59"/>
      <c r="J21" s="2"/>
      <c r="K21" s="2"/>
      <c r="L21" s="3"/>
      <c r="O21" s="26"/>
      <c r="P21" s="3"/>
      <c r="W21" s="5"/>
      <c r="X21" s="5"/>
      <c r="Y21" s="5"/>
      <c r="Z21" s="35" t="s">
        <v>47</v>
      </c>
      <c r="AA21" s="36"/>
      <c r="AB21" s="36"/>
      <c r="AC21" s="40">
        <f>AB20+AB21-AB23</f>
        <v>13125000</v>
      </c>
      <c r="AD21" s="40">
        <f t="shared" ref="AD21:AM21" si="4">AC20+AC21-AC23</f>
        <v>13125000</v>
      </c>
      <c r="AE21" s="40">
        <f t="shared" si="4"/>
        <v>13125000</v>
      </c>
      <c r="AF21" s="40">
        <f t="shared" si="4"/>
        <v>13125000</v>
      </c>
      <c r="AG21" s="40">
        <f t="shared" si="4"/>
        <v>0</v>
      </c>
      <c r="AH21" s="40">
        <f t="shared" si="4"/>
        <v>0</v>
      </c>
      <c r="AI21" s="40">
        <f t="shared" si="4"/>
        <v>0</v>
      </c>
      <c r="AJ21" s="40">
        <f t="shared" si="4"/>
        <v>0</v>
      </c>
      <c r="AK21" s="40">
        <f t="shared" si="4"/>
        <v>0</v>
      </c>
      <c r="AL21" s="41">
        <f t="shared" si="4"/>
        <v>0</v>
      </c>
      <c r="AM21" s="41">
        <f t="shared" si="4"/>
        <v>0</v>
      </c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</row>
    <row r="22" spans="1:58">
      <c r="B22" s="13" t="s">
        <v>26</v>
      </c>
      <c r="C22" s="18">
        <v>0.01</v>
      </c>
      <c r="F22" s="4"/>
      <c r="G22" s="2"/>
      <c r="H22" s="2"/>
      <c r="I22" s="59"/>
      <c r="J22" s="2"/>
      <c r="K22" s="2"/>
      <c r="L22" s="3"/>
      <c r="O22" s="26"/>
      <c r="P22" s="3"/>
      <c r="W22" s="5"/>
      <c r="X22" s="5"/>
      <c r="Y22" s="5"/>
      <c r="Z22" s="35" t="s">
        <v>48</v>
      </c>
      <c r="AA22" s="36"/>
      <c r="AB22" s="36"/>
      <c r="AC22" s="40">
        <f>$P$18*AC21</f>
        <v>393750</v>
      </c>
      <c r="AD22" s="40">
        <f t="shared" ref="AD22:AM22" si="5">$P$18*AD21</f>
        <v>393750</v>
      </c>
      <c r="AE22" s="40">
        <f t="shared" si="5"/>
        <v>393750</v>
      </c>
      <c r="AF22" s="40">
        <f t="shared" si="5"/>
        <v>393750</v>
      </c>
      <c r="AG22" s="40">
        <f t="shared" si="5"/>
        <v>0</v>
      </c>
      <c r="AH22" s="40">
        <f t="shared" si="5"/>
        <v>0</v>
      </c>
      <c r="AI22" s="40">
        <f t="shared" si="5"/>
        <v>0</v>
      </c>
      <c r="AJ22" s="40">
        <f t="shared" si="5"/>
        <v>0</v>
      </c>
      <c r="AK22" s="40">
        <f t="shared" si="5"/>
        <v>0</v>
      </c>
      <c r="AL22" s="41">
        <f t="shared" si="5"/>
        <v>0</v>
      </c>
      <c r="AM22" s="41">
        <f t="shared" si="5"/>
        <v>0</v>
      </c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</row>
    <row r="23" spans="1:58">
      <c r="B23" s="12" t="s">
        <v>95</v>
      </c>
      <c r="C23" s="16">
        <v>140</v>
      </c>
      <c r="F23" s="4"/>
      <c r="G23" s="2"/>
      <c r="H23" s="2"/>
      <c r="I23" s="59"/>
      <c r="J23" s="2"/>
      <c r="K23" s="2"/>
      <c r="L23" s="3"/>
      <c r="O23" s="26"/>
      <c r="P23" s="3"/>
      <c r="W23" s="5"/>
      <c r="X23" s="5"/>
      <c r="Y23" s="5"/>
      <c r="Z23" s="35" t="s">
        <v>49</v>
      </c>
      <c r="AA23" s="36"/>
      <c r="AB23" s="36"/>
      <c r="AC23" s="40">
        <f t="shared" ref="AC23:AM23" si="6">IF($P$20&gt;AC2,AC21*$P$19,IF($P$20=AC2,AC21,0))</f>
        <v>0</v>
      </c>
      <c r="AD23" s="40">
        <f t="shared" si="6"/>
        <v>0</v>
      </c>
      <c r="AE23" s="40">
        <f t="shared" si="6"/>
        <v>0</v>
      </c>
      <c r="AF23" s="40">
        <f t="shared" si="6"/>
        <v>13125000</v>
      </c>
      <c r="AG23" s="40">
        <f t="shared" si="6"/>
        <v>0</v>
      </c>
      <c r="AH23" s="40">
        <f t="shared" si="6"/>
        <v>0</v>
      </c>
      <c r="AI23" s="40">
        <f t="shared" si="6"/>
        <v>0</v>
      </c>
      <c r="AJ23" s="40">
        <f t="shared" si="6"/>
        <v>0</v>
      </c>
      <c r="AK23" s="40">
        <f t="shared" si="6"/>
        <v>0</v>
      </c>
      <c r="AL23" s="41">
        <f t="shared" si="6"/>
        <v>0</v>
      </c>
      <c r="AM23" s="41">
        <f t="shared" si="6"/>
        <v>0</v>
      </c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</row>
    <row r="24" spans="1:58" ht="15" thickBot="1">
      <c r="B24" s="12" t="s">
        <v>27</v>
      </c>
      <c r="C24" s="17">
        <v>0</v>
      </c>
      <c r="F24" s="122"/>
      <c r="G24" s="23"/>
      <c r="H24" s="23"/>
      <c r="I24" s="157"/>
      <c r="J24" s="155"/>
      <c r="K24" s="123"/>
      <c r="L24" s="25"/>
      <c r="O24" s="26"/>
      <c r="P24" s="3"/>
      <c r="W24" s="5"/>
      <c r="X24" s="5"/>
      <c r="Y24" s="5"/>
      <c r="Z24" s="42" t="s">
        <v>50</v>
      </c>
      <c r="AA24" s="43"/>
      <c r="AB24" s="43"/>
      <c r="AC24" s="44">
        <f>AC23+AC22</f>
        <v>393750</v>
      </c>
      <c r="AD24" s="44">
        <f>AD23+AD22</f>
        <v>393750</v>
      </c>
      <c r="AE24" s="44">
        <f t="shared" ref="AE24:AM24" si="7">AE23+AE22</f>
        <v>393750</v>
      </c>
      <c r="AF24" s="44">
        <f t="shared" si="7"/>
        <v>13518750</v>
      </c>
      <c r="AG24" s="44">
        <f t="shared" si="7"/>
        <v>0</v>
      </c>
      <c r="AH24" s="44">
        <f t="shared" si="7"/>
        <v>0</v>
      </c>
      <c r="AI24" s="44">
        <f t="shared" si="7"/>
        <v>0</v>
      </c>
      <c r="AJ24" s="44">
        <f t="shared" si="7"/>
        <v>0</v>
      </c>
      <c r="AK24" s="44">
        <f t="shared" si="7"/>
        <v>0</v>
      </c>
      <c r="AL24" s="45">
        <f t="shared" si="7"/>
        <v>0</v>
      </c>
      <c r="AM24" s="45">
        <f t="shared" si="7"/>
        <v>0</v>
      </c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</row>
    <row r="25" spans="1:58" ht="16" thickTop="1" thickBot="1">
      <c r="A25" s="5"/>
      <c r="B25" s="12" t="s">
        <v>28</v>
      </c>
      <c r="C25" s="17">
        <v>6</v>
      </c>
      <c r="D25" s="5"/>
      <c r="E25" s="5"/>
      <c r="F25" s="27" t="s">
        <v>37</v>
      </c>
      <c r="G25" s="117"/>
      <c r="H25" s="118">
        <f>SUM(H13:H18)</f>
        <v>37837500</v>
      </c>
      <c r="I25" s="117"/>
      <c r="J25" s="27" t="s">
        <v>34</v>
      </c>
      <c r="K25" s="22"/>
      <c r="L25" s="118">
        <f>SUM(L13:L18)</f>
        <v>37837500</v>
      </c>
      <c r="M25" s="5"/>
      <c r="N25" s="5"/>
      <c r="O25" s="26"/>
      <c r="P25" s="37"/>
      <c r="Q25" s="5"/>
      <c r="R25" s="5"/>
      <c r="S25" s="5"/>
      <c r="T25" s="5"/>
      <c r="U25" s="5"/>
      <c r="V25" s="5"/>
      <c r="W25" s="5"/>
      <c r="X25" s="5"/>
      <c r="Y25" s="5"/>
      <c r="Z25" s="35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7"/>
      <c r="AM25" s="37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</row>
    <row r="26" spans="1:58" ht="15" thickTop="1">
      <c r="A26" s="5"/>
      <c r="B26" s="12" t="s">
        <v>29</v>
      </c>
      <c r="C26" s="15">
        <v>0.06</v>
      </c>
      <c r="D26" s="5"/>
      <c r="E26" s="5"/>
      <c r="I26" s="5"/>
      <c r="J26" s="5"/>
      <c r="K26" s="5"/>
      <c r="L26" s="5"/>
      <c r="M26" s="5"/>
      <c r="N26" s="5"/>
      <c r="O26" s="19"/>
      <c r="P26" s="5"/>
      <c r="Q26" s="5"/>
      <c r="R26" s="5"/>
      <c r="S26" s="5"/>
      <c r="T26" s="5"/>
      <c r="U26" s="5"/>
      <c r="V26" s="5"/>
      <c r="W26" s="5"/>
      <c r="X26" s="5"/>
      <c r="Y26" s="5"/>
      <c r="Z26" s="35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7"/>
      <c r="AM26" s="37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</row>
    <row r="27" spans="1:58">
      <c r="A27" s="5"/>
      <c r="B27" s="12" t="s">
        <v>120</v>
      </c>
      <c r="C27" s="167">
        <v>3</v>
      </c>
      <c r="D27" s="5"/>
      <c r="E27" s="5"/>
      <c r="H27" s="21"/>
      <c r="I27" s="5"/>
      <c r="J27" s="5"/>
      <c r="K27" s="5"/>
      <c r="L27" s="5"/>
      <c r="M27" s="5"/>
      <c r="N27" s="5"/>
      <c r="O27" s="19"/>
      <c r="P27" s="5"/>
      <c r="Q27" s="5"/>
      <c r="R27" s="5"/>
      <c r="S27" s="5"/>
      <c r="T27" s="5"/>
      <c r="U27" s="5"/>
      <c r="V27" s="5"/>
      <c r="W27" s="5"/>
      <c r="X27" s="5"/>
      <c r="Y27" s="5"/>
      <c r="Z27" s="35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7"/>
      <c r="AM27" s="37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</row>
    <row r="28" spans="1:58" ht="17.25" customHeight="1">
      <c r="A28" s="5"/>
      <c r="B28" s="12" t="s">
        <v>121</v>
      </c>
      <c r="C28" s="169">
        <f>IF(C27=E35,F36,IF(C27=F35,G36,IF(C27=G35,H36,IF(C27=H35,I36,IF(C27=I35,J36,IF(J35=C27,K36,IF(C27=K35,L36,IF(C27=L35,M36,IF(M35=C27,N36,IF(C27=N35,O36,IF(C27=O35,P36,0)))))))))))</f>
        <v>6</v>
      </c>
      <c r="D28" s="5"/>
      <c r="E28" s="5"/>
      <c r="G28" s="21"/>
      <c r="I28" s="5"/>
      <c r="J28" s="5"/>
      <c r="K28" s="5"/>
      <c r="L28" s="5"/>
      <c r="M28" s="5"/>
      <c r="N28" s="5"/>
      <c r="O28" s="19"/>
      <c r="P28" s="5"/>
      <c r="Q28" s="5"/>
      <c r="R28" s="5"/>
      <c r="S28" s="5"/>
      <c r="T28" s="5"/>
      <c r="U28" s="5"/>
      <c r="V28" s="5"/>
      <c r="W28" s="5"/>
      <c r="X28" s="5"/>
      <c r="Y28" s="5"/>
      <c r="Z28" s="35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7"/>
      <c r="AM28" s="37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</row>
    <row r="29" spans="1:58">
      <c r="A29" s="5"/>
      <c r="B29" s="154" t="s">
        <v>138</v>
      </c>
      <c r="C29" s="168">
        <f>IF(C27=F35,F41,IF(C27=G35,G41,IF(C27=H35,H41,IF(C27=I35,I41,IF(C27=J35,J41,IF(K35=C27,K41,IF(C27=L35,L41,IF(C27=M35,M41,IF(N35=C27,N41,IF(C27=O35,O41,IF(C27=P35,P41,0)))))))))))</f>
        <v>3748867.5</v>
      </c>
      <c r="D29" s="5"/>
      <c r="E29" s="5"/>
      <c r="Q29" s="5"/>
      <c r="R29" s="5"/>
      <c r="S29" s="5"/>
      <c r="T29" s="5"/>
      <c r="U29" s="5"/>
      <c r="V29" s="5"/>
      <c r="W29" s="5"/>
      <c r="X29" s="5"/>
      <c r="Y29" s="5"/>
      <c r="Z29" s="35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7"/>
      <c r="AM29" s="37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</row>
    <row r="30" spans="1:58">
      <c r="A30" s="5"/>
      <c r="D30" s="5"/>
      <c r="E30" s="5"/>
      <c r="F30" s="138"/>
      <c r="G30" s="138"/>
      <c r="H30" s="138"/>
      <c r="I30" s="138"/>
      <c r="J30" s="138"/>
      <c r="K30" s="138"/>
      <c r="L30" s="138"/>
      <c r="M30" s="138"/>
      <c r="N30" s="138"/>
      <c r="O30" s="138"/>
      <c r="P30" s="138"/>
      <c r="Q30" s="138"/>
      <c r="R30" s="5"/>
      <c r="S30" s="5"/>
      <c r="T30" s="5"/>
      <c r="U30" s="5"/>
      <c r="V30" s="5"/>
      <c r="W30" s="5"/>
      <c r="X30" s="5"/>
      <c r="Y30" s="5"/>
      <c r="Z30" s="49" t="s">
        <v>51</v>
      </c>
      <c r="AA30" s="38"/>
      <c r="AB30" s="38"/>
      <c r="AC30" s="50">
        <f t="shared" ref="AC30:AM31" si="8">AC9+AC22</f>
        <v>562500</v>
      </c>
      <c r="AD30" s="50">
        <f t="shared" si="8"/>
        <v>561656.25</v>
      </c>
      <c r="AE30" s="50">
        <f t="shared" si="8"/>
        <v>560816.71875</v>
      </c>
      <c r="AF30" s="50">
        <f t="shared" si="8"/>
        <v>559981.38515624998</v>
      </c>
      <c r="AG30" s="50">
        <f t="shared" si="8"/>
        <v>0</v>
      </c>
      <c r="AH30" s="50">
        <f t="shared" si="8"/>
        <v>0</v>
      </c>
      <c r="AI30" s="50">
        <f t="shared" si="8"/>
        <v>0</v>
      </c>
      <c r="AJ30" s="50">
        <f t="shared" si="8"/>
        <v>0</v>
      </c>
      <c r="AK30" s="50">
        <f t="shared" si="8"/>
        <v>0</v>
      </c>
      <c r="AL30" s="51">
        <f t="shared" si="8"/>
        <v>0</v>
      </c>
      <c r="AM30" s="51">
        <f t="shared" si="8"/>
        <v>0</v>
      </c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</row>
    <row r="31" spans="1:58">
      <c r="A31" s="5"/>
      <c r="D31" s="5"/>
      <c r="E31" s="5"/>
      <c r="F31" s="5"/>
      <c r="G31" s="5"/>
      <c r="H31" s="5"/>
      <c r="I31" s="5"/>
      <c r="J31" s="13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35" t="s">
        <v>52</v>
      </c>
      <c r="AA31" s="36"/>
      <c r="AB31" s="36"/>
      <c r="AC31" s="40">
        <f t="shared" si="8"/>
        <v>28125</v>
      </c>
      <c r="AD31" s="40">
        <f t="shared" si="8"/>
        <v>27984.375</v>
      </c>
      <c r="AE31" s="40">
        <f t="shared" si="8"/>
        <v>27844.453125</v>
      </c>
      <c r="AF31" s="40">
        <f t="shared" si="8"/>
        <v>18666046.171875</v>
      </c>
      <c r="AG31" s="40">
        <f t="shared" si="8"/>
        <v>0</v>
      </c>
      <c r="AH31" s="40">
        <f t="shared" si="8"/>
        <v>0</v>
      </c>
      <c r="AI31" s="40">
        <f t="shared" si="8"/>
        <v>0</v>
      </c>
      <c r="AJ31" s="40">
        <f t="shared" si="8"/>
        <v>0</v>
      </c>
      <c r="AK31" s="40">
        <f t="shared" si="8"/>
        <v>0</v>
      </c>
      <c r="AL31" s="41">
        <f t="shared" si="8"/>
        <v>0</v>
      </c>
      <c r="AM31" s="41">
        <f t="shared" si="8"/>
        <v>0</v>
      </c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</row>
    <row r="32" spans="1:58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42" t="s">
        <v>50</v>
      </c>
      <c r="AA32" s="43"/>
      <c r="AB32" s="43"/>
      <c r="AC32" s="44">
        <f>AC30+AC31</f>
        <v>590625</v>
      </c>
      <c r="AD32" s="44">
        <f t="shared" ref="AD32:AM32" si="9">AD30+AD31</f>
        <v>589640.625</v>
      </c>
      <c r="AE32" s="44">
        <f t="shared" si="9"/>
        <v>588661.171875</v>
      </c>
      <c r="AF32" s="44">
        <f t="shared" si="9"/>
        <v>19226027.557031251</v>
      </c>
      <c r="AG32" s="44">
        <f t="shared" si="9"/>
        <v>0</v>
      </c>
      <c r="AH32" s="44">
        <f t="shared" si="9"/>
        <v>0</v>
      </c>
      <c r="AI32" s="44">
        <f t="shared" si="9"/>
        <v>0</v>
      </c>
      <c r="AJ32" s="44">
        <f t="shared" si="9"/>
        <v>0</v>
      </c>
      <c r="AK32" s="44">
        <f t="shared" si="9"/>
        <v>0</v>
      </c>
      <c r="AL32" s="45">
        <f t="shared" si="9"/>
        <v>0</v>
      </c>
      <c r="AM32" s="45">
        <f t="shared" si="9"/>
        <v>0</v>
      </c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</row>
    <row r="33" spans="1:58">
      <c r="A33" s="5"/>
      <c r="B33" s="81" t="s">
        <v>79</v>
      </c>
      <c r="C33" s="47"/>
      <c r="D33" s="47"/>
      <c r="E33" s="84" t="s">
        <v>98</v>
      </c>
      <c r="F33" s="82">
        <f>C10</f>
        <v>44926</v>
      </c>
      <c r="G33" s="82">
        <f>EDATE(F33,12)</f>
        <v>45291</v>
      </c>
      <c r="H33" s="82">
        <f t="shared" ref="H33:P33" si="10">EDATE(G33,12)</f>
        <v>45657</v>
      </c>
      <c r="I33" s="82">
        <f t="shared" si="10"/>
        <v>46022</v>
      </c>
      <c r="J33" s="82">
        <f t="shared" si="10"/>
        <v>46387</v>
      </c>
      <c r="K33" s="82">
        <f t="shared" si="10"/>
        <v>46752</v>
      </c>
      <c r="L33" s="82">
        <f t="shared" si="10"/>
        <v>47118</v>
      </c>
      <c r="M33" s="82">
        <f t="shared" si="10"/>
        <v>47483</v>
      </c>
      <c r="N33" s="82">
        <f t="shared" si="10"/>
        <v>47848</v>
      </c>
      <c r="O33" s="82">
        <f t="shared" si="10"/>
        <v>48213</v>
      </c>
      <c r="P33" s="83">
        <f t="shared" si="10"/>
        <v>48579</v>
      </c>
      <c r="Q33" s="83" t="s">
        <v>80</v>
      </c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</row>
    <row r="34" spans="1:58" hidden="1" outlineLevel="1">
      <c r="A34" s="5"/>
      <c r="B34" s="81"/>
      <c r="C34" s="47"/>
      <c r="D34" s="47"/>
      <c r="E34" s="147">
        <f>F33</f>
        <v>44926</v>
      </c>
      <c r="F34" s="82">
        <f t="shared" ref="F34:P34" si="11">EDATE(F33,12)-1</f>
        <v>45290</v>
      </c>
      <c r="G34" s="82">
        <f t="shared" si="11"/>
        <v>45656</v>
      </c>
      <c r="H34" s="82">
        <f t="shared" si="11"/>
        <v>46021</v>
      </c>
      <c r="I34" s="82">
        <f t="shared" si="11"/>
        <v>46386</v>
      </c>
      <c r="J34" s="82">
        <f t="shared" si="11"/>
        <v>46751</v>
      </c>
      <c r="K34" s="82">
        <f t="shared" si="11"/>
        <v>47117</v>
      </c>
      <c r="L34" s="82">
        <f t="shared" si="11"/>
        <v>47482</v>
      </c>
      <c r="M34" s="82">
        <f t="shared" si="11"/>
        <v>47847</v>
      </c>
      <c r="N34" s="82">
        <f t="shared" si="11"/>
        <v>48212</v>
      </c>
      <c r="O34" s="82">
        <f t="shared" si="11"/>
        <v>48578</v>
      </c>
      <c r="P34" s="83">
        <f t="shared" si="11"/>
        <v>48943</v>
      </c>
      <c r="Q34" s="83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</row>
    <row r="35" spans="1:58" collapsed="1">
      <c r="A35" s="5"/>
      <c r="B35" s="81" t="s">
        <v>83</v>
      </c>
      <c r="C35" s="47"/>
      <c r="D35" s="47"/>
      <c r="E35" s="88">
        <v>0</v>
      </c>
      <c r="F35" s="142">
        <v>1</v>
      </c>
      <c r="G35" s="85">
        <v>2</v>
      </c>
      <c r="H35" s="85">
        <v>3</v>
      </c>
      <c r="I35" s="85">
        <v>4</v>
      </c>
      <c r="J35" s="85">
        <v>5</v>
      </c>
      <c r="K35" s="85">
        <v>6</v>
      </c>
      <c r="L35" s="85">
        <v>7</v>
      </c>
      <c r="M35" s="85">
        <v>8</v>
      </c>
      <c r="N35" s="85">
        <v>9</v>
      </c>
      <c r="O35" s="85">
        <v>10</v>
      </c>
      <c r="P35" s="85">
        <v>11</v>
      </c>
      <c r="Q35" s="84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</row>
    <row r="36" spans="1:58">
      <c r="A36" s="5"/>
      <c r="B36" s="35" t="s">
        <v>84</v>
      </c>
      <c r="C36" s="36"/>
      <c r="D36" s="36"/>
      <c r="E36" s="61">
        <v>3</v>
      </c>
      <c r="F36" s="144">
        <v>3</v>
      </c>
      <c r="G36" s="145">
        <v>4</v>
      </c>
      <c r="H36" s="145">
        <v>5</v>
      </c>
      <c r="I36" s="145">
        <v>6</v>
      </c>
      <c r="J36" s="145">
        <v>7</v>
      </c>
      <c r="K36" s="145">
        <v>8</v>
      </c>
      <c r="L36" s="145">
        <v>9</v>
      </c>
      <c r="M36" s="145">
        <v>10</v>
      </c>
      <c r="N36" s="145">
        <v>11</v>
      </c>
      <c r="O36" s="145">
        <v>12</v>
      </c>
      <c r="P36" s="145">
        <v>13</v>
      </c>
      <c r="Q36" s="59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</row>
    <row r="37" spans="1:58">
      <c r="A37" s="5"/>
      <c r="B37" s="81" t="s">
        <v>73</v>
      </c>
      <c r="C37" s="47"/>
      <c r="D37" s="47"/>
      <c r="E37" s="88"/>
      <c r="F37" s="146">
        <f>IF(F38&lt;&gt;0,$C$12*(F38/$C$13),IF(F39&lt;&gt;0,F39/(($C$23*(((1+$C$22)^E35)))*$C$11),0))</f>
        <v>0</v>
      </c>
      <c r="G37" s="101">
        <f t="shared" ref="G37:P37" si="12">IF(G38&lt;&gt;0,$C$12*(G38/$C$13),IF(G39&lt;&gt;0,G39/(($C$23*(((1+$C$22)^F35)))*$C$11),0))</f>
        <v>0.50136986301369868</v>
      </c>
      <c r="H37" s="101">
        <f t="shared" si="12"/>
        <v>1</v>
      </c>
      <c r="I37" s="101">
        <f t="shared" si="12"/>
        <v>1</v>
      </c>
      <c r="J37" s="101">
        <f t="shared" si="12"/>
        <v>1</v>
      </c>
      <c r="K37" s="101">
        <f t="shared" si="12"/>
        <v>1</v>
      </c>
      <c r="L37" s="101">
        <f t="shared" si="12"/>
        <v>1</v>
      </c>
      <c r="M37" s="101">
        <f t="shared" si="12"/>
        <v>1</v>
      </c>
      <c r="N37" s="101">
        <f t="shared" si="12"/>
        <v>1</v>
      </c>
      <c r="O37" s="101">
        <f t="shared" si="12"/>
        <v>1</v>
      </c>
      <c r="P37" s="166">
        <f t="shared" si="12"/>
        <v>1</v>
      </c>
      <c r="Q37" s="151"/>
      <c r="R37" s="5"/>
      <c r="S37" s="5"/>
      <c r="T37" s="5"/>
      <c r="U37" s="5"/>
      <c r="V37" s="5"/>
      <c r="W37" s="5"/>
      <c r="X37" s="5"/>
      <c r="Y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</row>
    <row r="38" spans="1:58" hidden="1" outlineLevel="1">
      <c r="A38" s="5"/>
      <c r="B38" s="35"/>
      <c r="C38" s="75" t="s">
        <v>72</v>
      </c>
      <c r="D38" s="36"/>
      <c r="E38" s="61"/>
      <c r="F38" s="143">
        <f t="shared" ref="F38:P38" si="13">IF($C$1&gt;F$34,$C$11*$C$12*($C$14*(((1+$C$22)^E35))),IF(AND(F$33&lt;=$C$1,$C$1&lt;=F$34),($C$11*$C$12*($C$14*(((1+$C$22)^E35))))*($C$1-F33)/365,0))</f>
        <v>0</v>
      </c>
      <c r="G38" s="76">
        <f t="shared" si="13"/>
        <v>0</v>
      </c>
      <c r="H38" s="76">
        <f t="shared" si="13"/>
        <v>0</v>
      </c>
      <c r="I38" s="76">
        <f t="shared" si="13"/>
        <v>0</v>
      </c>
      <c r="J38" s="76">
        <f t="shared" si="13"/>
        <v>0</v>
      </c>
      <c r="K38" s="76">
        <f t="shared" si="13"/>
        <v>0</v>
      </c>
      <c r="L38" s="76">
        <f t="shared" si="13"/>
        <v>0</v>
      </c>
      <c r="M38" s="76">
        <f t="shared" si="13"/>
        <v>0</v>
      </c>
      <c r="N38" s="76">
        <f t="shared" si="13"/>
        <v>0</v>
      </c>
      <c r="O38" s="76">
        <f t="shared" si="13"/>
        <v>0</v>
      </c>
      <c r="P38" s="76">
        <f t="shared" si="13"/>
        <v>0</v>
      </c>
      <c r="Q38" s="59"/>
      <c r="R38" s="5"/>
      <c r="S38" s="5"/>
      <c r="T38" s="5"/>
      <c r="U38" s="5"/>
      <c r="V38" s="5"/>
      <c r="W38" s="5"/>
      <c r="X38" s="5"/>
      <c r="Y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</row>
    <row r="39" spans="1:58" s="57" customFormat="1" hidden="1" outlineLevel="1">
      <c r="A39" s="56"/>
      <c r="B39" s="74"/>
      <c r="C39" s="75" t="s">
        <v>71</v>
      </c>
      <c r="D39" s="75"/>
      <c r="E39" s="148"/>
      <c r="F39" s="143">
        <f t="shared" ref="F39:P39" si="14">IF($C$2&lt;F$33,($C$23*(((1+$C$22)^E35)))*$C$11*$C$21,IF(AND(F$33&lt;=$C$2,$C$2&lt;=F$34),(($C$23*(((1+$C$22)^E35)))*$C$11*$C$21)*((F$34-$C$2)/365),0))</f>
        <v>0</v>
      </c>
      <c r="G39" s="76">
        <f t="shared" si="14"/>
        <v>1860959.5890410962</v>
      </c>
      <c r="H39" s="76">
        <f t="shared" si="14"/>
        <v>3748867.5</v>
      </c>
      <c r="I39" s="76">
        <f t="shared" si="14"/>
        <v>3786356.1749999993</v>
      </c>
      <c r="J39" s="76">
        <f t="shared" si="14"/>
        <v>3824219.7367500002</v>
      </c>
      <c r="K39" s="76">
        <f t="shared" si="14"/>
        <v>3862461.9341174993</v>
      </c>
      <c r="L39" s="76">
        <f t="shared" si="14"/>
        <v>3901086.5534586757</v>
      </c>
      <c r="M39" s="76">
        <f t="shared" si="14"/>
        <v>3940097.4189932607</v>
      </c>
      <c r="N39" s="76">
        <f t="shared" si="14"/>
        <v>3979498.3931831946</v>
      </c>
      <c r="O39" s="76">
        <f t="shared" si="14"/>
        <v>4019293.377115027</v>
      </c>
      <c r="P39" s="76">
        <f t="shared" si="14"/>
        <v>4059486.3108861772</v>
      </c>
      <c r="Q39" s="60"/>
      <c r="R39" s="56"/>
      <c r="S39" s="56"/>
      <c r="T39" s="56"/>
      <c r="U39" s="56"/>
      <c r="V39" s="56"/>
      <c r="W39" s="56"/>
      <c r="X39" s="56"/>
      <c r="Y39" s="56"/>
      <c r="AB39" s="56"/>
      <c r="AC39" s="56"/>
      <c r="AD39" s="56"/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6"/>
      <c r="BC39" s="56"/>
      <c r="BD39" s="56"/>
      <c r="BE39" s="56"/>
      <c r="BF39" s="56"/>
    </row>
    <row r="40" spans="1:58" s="57" customFormat="1" collapsed="1">
      <c r="A40" s="56"/>
      <c r="B40" s="140"/>
      <c r="C40" s="75"/>
      <c r="D40" s="75"/>
      <c r="E40" s="148"/>
      <c r="F40" s="149"/>
      <c r="G40" s="150"/>
      <c r="H40" s="150"/>
      <c r="I40" s="150"/>
      <c r="J40" s="150"/>
      <c r="K40" s="150"/>
      <c r="L40" s="150"/>
      <c r="M40" s="150"/>
      <c r="N40" s="150"/>
      <c r="O40" s="150"/>
      <c r="P40" s="150"/>
      <c r="Q40" s="152"/>
      <c r="R40" s="56"/>
      <c r="S40" s="56"/>
      <c r="T40" s="56"/>
      <c r="U40" s="56"/>
      <c r="V40" s="56"/>
      <c r="W40" s="56"/>
      <c r="X40" s="56"/>
      <c r="Y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  <c r="AY40" s="56"/>
      <c r="AZ40" s="56"/>
      <c r="BA40" s="56"/>
      <c r="BB40" s="56"/>
      <c r="BC40" s="56"/>
      <c r="BD40" s="56"/>
      <c r="BE40" s="56"/>
      <c r="BF40" s="56"/>
    </row>
    <row r="41" spans="1:58">
      <c r="A41" s="5"/>
      <c r="B41" s="86" t="s">
        <v>54</v>
      </c>
      <c r="C41" s="47"/>
      <c r="D41" s="47"/>
      <c r="E41" s="88"/>
      <c r="F41" s="87">
        <f>SUM(F38:F39)</f>
        <v>0</v>
      </c>
      <c r="G41" s="87">
        <f t="shared" ref="G41:P41" si="15">SUM(G38:G39)</f>
        <v>1860959.5890410962</v>
      </c>
      <c r="H41" s="87">
        <f t="shared" si="15"/>
        <v>3748867.5</v>
      </c>
      <c r="I41" s="87">
        <f t="shared" si="15"/>
        <v>3786356.1749999993</v>
      </c>
      <c r="J41" s="87">
        <f t="shared" si="15"/>
        <v>3824219.7367500002</v>
      </c>
      <c r="K41" s="87">
        <f t="shared" si="15"/>
        <v>3862461.9341174993</v>
      </c>
      <c r="L41" s="87">
        <f t="shared" si="15"/>
        <v>3901086.5534586757</v>
      </c>
      <c r="M41" s="87">
        <f t="shared" si="15"/>
        <v>3940097.4189932607</v>
      </c>
      <c r="N41" s="87">
        <f t="shared" si="15"/>
        <v>3979498.3931831946</v>
      </c>
      <c r="O41" s="87">
        <f t="shared" si="15"/>
        <v>4019293.377115027</v>
      </c>
      <c r="P41" s="87">
        <f t="shared" si="15"/>
        <v>4059486.3108861772</v>
      </c>
      <c r="Q41" s="153">
        <f>SUM(G41:P41)</f>
        <v>36982326.988544926</v>
      </c>
      <c r="R41" s="5"/>
      <c r="S41" s="5"/>
      <c r="T41" s="5"/>
      <c r="U41" s="5"/>
      <c r="V41" s="5"/>
      <c r="W41" s="5"/>
      <c r="X41" s="5"/>
      <c r="Y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</row>
    <row r="42" spans="1:58" hidden="1" outlineLevel="1">
      <c r="A42" s="5"/>
      <c r="B42" s="35" t="s">
        <v>102</v>
      </c>
      <c r="C42" s="36"/>
      <c r="D42" s="36"/>
      <c r="E42" s="61"/>
      <c r="F42" s="77">
        <f>IF(AND(F33&lt;=$C$2,$C$2&lt;=F34),-F41*$C$25/12,0)</f>
        <v>0</v>
      </c>
      <c r="G42" s="77">
        <f t="shared" ref="G42:P42" si="16">IF(AND(G33&lt;=$C$2,$C$2&lt;=G34),-H41*$C$25/12,0)</f>
        <v>-1874433.75</v>
      </c>
      <c r="H42" s="77">
        <f t="shared" si="16"/>
        <v>0</v>
      </c>
      <c r="I42" s="77">
        <f t="shared" si="16"/>
        <v>0</v>
      </c>
      <c r="J42" s="77">
        <f t="shared" si="16"/>
        <v>0</v>
      </c>
      <c r="K42" s="77">
        <f t="shared" si="16"/>
        <v>0</v>
      </c>
      <c r="L42" s="77">
        <f t="shared" si="16"/>
        <v>0</v>
      </c>
      <c r="M42" s="77">
        <f t="shared" si="16"/>
        <v>0</v>
      </c>
      <c r="N42" s="77">
        <f t="shared" si="16"/>
        <v>0</v>
      </c>
      <c r="O42" s="77">
        <f t="shared" si="16"/>
        <v>0</v>
      </c>
      <c r="P42" s="77">
        <f t="shared" si="16"/>
        <v>0</v>
      </c>
      <c r="Q42" s="121"/>
      <c r="R42" s="5"/>
      <c r="S42" s="5"/>
      <c r="T42" s="5"/>
      <c r="U42" s="5"/>
      <c r="V42" s="5"/>
      <c r="W42" s="5"/>
      <c r="X42" s="5"/>
      <c r="Y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</row>
    <row r="43" spans="1:58" hidden="1" outlineLevel="1">
      <c r="A43" s="5"/>
      <c r="B43" s="35"/>
      <c r="C43" s="36" t="s">
        <v>103</v>
      </c>
      <c r="D43" s="36"/>
      <c r="E43" s="61"/>
      <c r="F43" s="77">
        <f t="shared" ref="F43:P43" si="17">IF(-F42&lt;=F41,F42,IF(-F42&gt;F41,-F41,0))</f>
        <v>0</v>
      </c>
      <c r="G43" s="77">
        <f t="shared" si="17"/>
        <v>-1860959.5890410962</v>
      </c>
      <c r="H43" s="77">
        <f t="shared" si="17"/>
        <v>0</v>
      </c>
      <c r="I43" s="77">
        <f t="shared" si="17"/>
        <v>0</v>
      </c>
      <c r="J43" s="77">
        <f t="shared" si="17"/>
        <v>0</v>
      </c>
      <c r="K43" s="77">
        <f t="shared" si="17"/>
        <v>0</v>
      </c>
      <c r="L43" s="77">
        <f t="shared" si="17"/>
        <v>0</v>
      </c>
      <c r="M43" s="77">
        <f t="shared" si="17"/>
        <v>0</v>
      </c>
      <c r="N43" s="77">
        <f t="shared" si="17"/>
        <v>0</v>
      </c>
      <c r="O43" s="77">
        <f t="shared" si="17"/>
        <v>0</v>
      </c>
      <c r="P43" s="77">
        <f t="shared" si="17"/>
        <v>0</v>
      </c>
      <c r="Q43" s="121"/>
      <c r="R43" s="5"/>
      <c r="S43" s="5"/>
      <c r="T43" s="5"/>
      <c r="U43" s="5"/>
      <c r="V43" s="5"/>
      <c r="W43" s="5"/>
      <c r="X43" s="5"/>
      <c r="Y43" s="5"/>
      <c r="Z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</row>
    <row r="44" spans="1:58" hidden="1" outlineLevel="1">
      <c r="A44" s="5"/>
      <c r="B44" s="35"/>
      <c r="C44" s="36" t="s">
        <v>104</v>
      </c>
      <c r="D44" s="36"/>
      <c r="E44" s="61"/>
      <c r="F44" s="77">
        <f t="shared" ref="F44:P44" si="18">IF((-E42+E43)&lt;F41,E42-E43,IF((-E42+E43)&gt;=F41,-F41))</f>
        <v>0</v>
      </c>
      <c r="G44" s="77">
        <f t="shared" si="18"/>
        <v>0</v>
      </c>
      <c r="H44" s="77">
        <f t="shared" si="18"/>
        <v>-13474.160958903842</v>
      </c>
      <c r="I44" s="77">
        <f t="shared" si="18"/>
        <v>0</v>
      </c>
      <c r="J44" s="77">
        <f t="shared" si="18"/>
        <v>0</v>
      </c>
      <c r="K44" s="77">
        <f t="shared" si="18"/>
        <v>0</v>
      </c>
      <c r="L44" s="77">
        <f t="shared" si="18"/>
        <v>0</v>
      </c>
      <c r="M44" s="77">
        <f t="shared" si="18"/>
        <v>0</v>
      </c>
      <c r="N44" s="77">
        <f t="shared" si="18"/>
        <v>0</v>
      </c>
      <c r="O44" s="77">
        <f t="shared" si="18"/>
        <v>0</v>
      </c>
      <c r="P44" s="77">
        <f t="shared" si="18"/>
        <v>0</v>
      </c>
      <c r="Q44" s="121"/>
      <c r="R44" s="5"/>
      <c r="S44" s="5"/>
      <c r="T44" s="5"/>
      <c r="U44" s="5"/>
      <c r="V44" s="5"/>
      <c r="W44" s="5"/>
      <c r="X44" s="5"/>
      <c r="Y44" s="5"/>
      <c r="Z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</row>
    <row r="45" spans="1:58" hidden="1" outlineLevel="1">
      <c r="A45" s="5"/>
      <c r="B45" s="35"/>
      <c r="C45" s="36" t="s">
        <v>105</v>
      </c>
      <c r="D45" s="36"/>
      <c r="E45" s="61"/>
      <c r="F45" s="77">
        <f t="shared" ref="F45:I45" si="19">-(-D42+D43+E44)</f>
        <v>0</v>
      </c>
      <c r="G45" s="77">
        <f t="shared" si="19"/>
        <v>0</v>
      </c>
      <c r="H45" s="77">
        <f t="shared" si="19"/>
        <v>0</v>
      </c>
      <c r="I45" s="77">
        <f t="shared" si="19"/>
        <v>0</v>
      </c>
      <c r="J45" s="77">
        <f>-(-H42+H43+I44)</f>
        <v>0</v>
      </c>
      <c r="K45" s="77">
        <f t="shared" ref="K45:P45" si="20">-(-I42+I43+J44)</f>
        <v>0</v>
      </c>
      <c r="L45" s="77">
        <f t="shared" si="20"/>
        <v>0</v>
      </c>
      <c r="M45" s="77">
        <f t="shared" si="20"/>
        <v>0</v>
      </c>
      <c r="N45" s="77">
        <f t="shared" si="20"/>
        <v>0</v>
      </c>
      <c r="O45" s="77">
        <f t="shared" si="20"/>
        <v>0</v>
      </c>
      <c r="P45" s="77">
        <f t="shared" si="20"/>
        <v>0</v>
      </c>
      <c r="Q45" s="121"/>
      <c r="R45" s="5"/>
      <c r="S45" s="5"/>
      <c r="T45" s="5"/>
      <c r="U45" s="5"/>
      <c r="V45" s="5"/>
      <c r="W45" s="5"/>
      <c r="X45" s="5"/>
      <c r="Y45" s="5"/>
      <c r="Z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</row>
    <row r="46" spans="1:58" collapsed="1">
      <c r="A46" s="5"/>
      <c r="B46" s="35" t="s">
        <v>101</v>
      </c>
      <c r="C46" s="36"/>
      <c r="D46" s="36"/>
      <c r="E46" s="61"/>
      <c r="F46" s="77">
        <f>SUM(F43+F44+F45)</f>
        <v>0</v>
      </c>
      <c r="G46" s="77">
        <f t="shared" ref="G46:P46" si="21">SUM(G43+G44+G45)</f>
        <v>-1860959.5890410962</v>
      </c>
      <c r="H46" s="77">
        <f t="shared" si="21"/>
        <v>-13474.160958903842</v>
      </c>
      <c r="I46" s="77">
        <f t="shared" si="21"/>
        <v>0</v>
      </c>
      <c r="J46" s="77">
        <f t="shared" si="21"/>
        <v>0</v>
      </c>
      <c r="K46" s="77">
        <f t="shared" si="21"/>
        <v>0</v>
      </c>
      <c r="L46" s="77">
        <f t="shared" si="21"/>
        <v>0</v>
      </c>
      <c r="M46" s="77">
        <f t="shared" si="21"/>
        <v>0</v>
      </c>
      <c r="N46" s="77">
        <f t="shared" si="21"/>
        <v>0</v>
      </c>
      <c r="O46" s="77">
        <f t="shared" si="21"/>
        <v>0</v>
      </c>
      <c r="P46" s="77">
        <f t="shared" si="21"/>
        <v>0</v>
      </c>
      <c r="Q46" s="121"/>
      <c r="R46" s="5"/>
      <c r="S46" s="5"/>
      <c r="T46" s="5"/>
      <c r="U46" s="5"/>
      <c r="V46" s="5"/>
      <c r="W46" s="5"/>
      <c r="X46" s="5"/>
      <c r="Y46" s="5"/>
      <c r="Z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</row>
    <row r="47" spans="1:58">
      <c r="A47" s="5"/>
      <c r="B47" s="35" t="s">
        <v>55</v>
      </c>
      <c r="C47" s="36"/>
      <c r="D47" s="36"/>
      <c r="E47" s="61"/>
      <c r="F47" s="77">
        <f t="shared" ref="F47:P47" si="22">-(1-F37)*($C$16*(((1+$C$22)^E35)))*$C$11</f>
        <v>-262500</v>
      </c>
      <c r="G47" s="77">
        <f t="shared" si="22"/>
        <v>-132199.31506849313</v>
      </c>
      <c r="H47" s="77">
        <f t="shared" si="22"/>
        <v>0</v>
      </c>
      <c r="I47" s="77">
        <f t="shared" si="22"/>
        <v>0</v>
      </c>
      <c r="J47" s="77">
        <f t="shared" si="22"/>
        <v>0</v>
      </c>
      <c r="K47" s="77">
        <f t="shared" si="22"/>
        <v>0</v>
      </c>
      <c r="L47" s="77">
        <f t="shared" si="22"/>
        <v>0</v>
      </c>
      <c r="M47" s="77">
        <f t="shared" si="22"/>
        <v>0</v>
      </c>
      <c r="N47" s="77">
        <f t="shared" si="22"/>
        <v>0</v>
      </c>
      <c r="O47" s="77">
        <f t="shared" si="22"/>
        <v>0</v>
      </c>
      <c r="P47" s="77">
        <f t="shared" si="22"/>
        <v>0</v>
      </c>
      <c r="Q47" s="121">
        <f>SUM(G47:P47)</f>
        <v>-132199.31506849313</v>
      </c>
      <c r="R47" s="5"/>
      <c r="S47" s="5"/>
      <c r="T47" s="5"/>
      <c r="U47" s="5"/>
      <c r="V47" s="5"/>
      <c r="W47" s="5"/>
      <c r="X47" s="5"/>
      <c r="Y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</row>
    <row r="48" spans="1:58">
      <c r="A48" s="5"/>
      <c r="B48" s="35"/>
      <c r="C48" s="36"/>
      <c r="D48" s="36"/>
      <c r="E48" s="61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121"/>
      <c r="R48" s="5"/>
      <c r="S48" s="5"/>
      <c r="T48" s="5"/>
      <c r="U48" s="5"/>
      <c r="V48" s="5"/>
      <c r="W48" s="5"/>
      <c r="X48" s="5"/>
      <c r="Y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</row>
    <row r="49" spans="1:58">
      <c r="A49" s="5"/>
      <c r="B49" s="81" t="s">
        <v>56</v>
      </c>
      <c r="C49" s="47"/>
      <c r="D49" s="47"/>
      <c r="E49" s="88"/>
      <c r="F49" s="89">
        <f>F41+F46+F47</f>
        <v>-262500</v>
      </c>
      <c r="G49" s="89">
        <f>G41+G46+G47</f>
        <v>-132199.31506849313</v>
      </c>
      <c r="H49" s="89">
        <f t="shared" ref="H49:P49" si="23">H41+H46+H47</f>
        <v>3735393.3390410962</v>
      </c>
      <c r="I49" s="89">
        <f t="shared" si="23"/>
        <v>3786356.1749999993</v>
      </c>
      <c r="J49" s="89">
        <f t="shared" si="23"/>
        <v>3824219.7367500002</v>
      </c>
      <c r="K49" s="89">
        <f t="shared" si="23"/>
        <v>3862461.9341174993</v>
      </c>
      <c r="L49" s="89">
        <f t="shared" si="23"/>
        <v>3901086.5534586757</v>
      </c>
      <c r="M49" s="89">
        <f t="shared" si="23"/>
        <v>3940097.4189932607</v>
      </c>
      <c r="N49" s="89">
        <f t="shared" si="23"/>
        <v>3979498.3931831946</v>
      </c>
      <c r="O49" s="89">
        <f t="shared" si="23"/>
        <v>4019293.377115027</v>
      </c>
      <c r="P49" s="89">
        <f t="shared" si="23"/>
        <v>4059486.3108861772</v>
      </c>
      <c r="Q49" s="91">
        <f>SUM(G49:P49)</f>
        <v>34975693.923476435</v>
      </c>
      <c r="R49" s="5"/>
      <c r="S49" s="5"/>
      <c r="T49" s="5"/>
      <c r="U49" s="5"/>
      <c r="V49" s="5"/>
      <c r="W49" s="5"/>
      <c r="X49" s="5"/>
      <c r="Y49" s="5"/>
      <c r="Z49" s="62" t="s">
        <v>75</v>
      </c>
      <c r="AA49" s="51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</row>
    <row r="50" spans="1:58">
      <c r="A50" s="5"/>
      <c r="B50" s="35"/>
      <c r="C50" s="36"/>
      <c r="D50" s="36"/>
      <c r="E50" s="61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121"/>
      <c r="R50" s="5"/>
      <c r="S50" s="5"/>
      <c r="T50" s="5"/>
      <c r="U50" s="5"/>
      <c r="V50" s="5"/>
      <c r="W50" s="5"/>
      <c r="X50" s="5"/>
      <c r="Y50" s="5"/>
      <c r="Z50" s="62" t="s">
        <v>76</v>
      </c>
      <c r="AA50" s="65">
        <v>50</v>
      </c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</row>
    <row r="51" spans="1:58">
      <c r="A51" s="5"/>
      <c r="B51" s="35" t="s">
        <v>57</v>
      </c>
      <c r="C51" s="36"/>
      <c r="D51" s="8">
        <v>0.3</v>
      </c>
      <c r="E51" s="61"/>
      <c r="F51" s="78">
        <f t="shared" ref="F51:P51" si="24">-IF(AND(F33&lt;$C$2,$C$2&lt;F34),$C$23*$C$21*$C$11*$D$51,0)</f>
        <v>0</v>
      </c>
      <c r="G51" s="78">
        <f t="shared" si="24"/>
        <v>-1102500</v>
      </c>
      <c r="H51" s="78">
        <f t="shared" si="24"/>
        <v>0</v>
      </c>
      <c r="I51" s="78">
        <f t="shared" si="24"/>
        <v>0</v>
      </c>
      <c r="J51" s="78">
        <f t="shared" si="24"/>
        <v>0</v>
      </c>
      <c r="K51" s="78">
        <f t="shared" si="24"/>
        <v>0</v>
      </c>
      <c r="L51" s="78">
        <f t="shared" si="24"/>
        <v>0</v>
      </c>
      <c r="M51" s="78">
        <f t="shared" si="24"/>
        <v>0</v>
      </c>
      <c r="N51" s="78">
        <f t="shared" si="24"/>
        <v>0</v>
      </c>
      <c r="O51" s="78">
        <f t="shared" si="24"/>
        <v>0</v>
      </c>
      <c r="P51" s="78">
        <f t="shared" si="24"/>
        <v>0</v>
      </c>
      <c r="Q51" s="121">
        <f>SUM(G51:P51)</f>
        <v>-1102500</v>
      </c>
      <c r="R51" s="5"/>
      <c r="S51" s="5"/>
      <c r="T51" s="5"/>
      <c r="U51" s="5"/>
      <c r="V51" s="5"/>
      <c r="W51" s="5"/>
      <c r="X51" s="5"/>
      <c r="Y51" s="5"/>
      <c r="Z51" s="63" t="s">
        <v>77</v>
      </c>
      <c r="AA51" s="66">
        <f>1-AA52</f>
        <v>0.19999999999999996</v>
      </c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</row>
    <row r="52" spans="1:58">
      <c r="A52" s="5"/>
      <c r="B52" s="35"/>
      <c r="C52" s="36"/>
      <c r="D52" s="120"/>
      <c r="E52" s="61"/>
      <c r="F52" s="78"/>
      <c r="G52" s="78"/>
      <c r="H52" s="78"/>
      <c r="I52" s="78"/>
      <c r="J52" s="78"/>
      <c r="K52" s="78"/>
      <c r="L52" s="78"/>
      <c r="M52" s="78"/>
      <c r="N52" s="78"/>
      <c r="O52" s="78"/>
      <c r="P52" s="78"/>
      <c r="Q52" s="121"/>
      <c r="R52" s="5"/>
      <c r="S52" s="5"/>
      <c r="T52" s="5"/>
      <c r="U52" s="5"/>
      <c r="V52" s="5"/>
      <c r="W52" s="5"/>
      <c r="X52" s="5"/>
      <c r="Y52" s="5"/>
      <c r="Z52" s="64" t="s">
        <v>78</v>
      </c>
      <c r="AA52" s="67">
        <v>0.8</v>
      </c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</row>
    <row r="53" spans="1:58">
      <c r="A53" s="5"/>
      <c r="B53" s="35" t="s">
        <v>58</v>
      </c>
      <c r="C53" s="36"/>
      <c r="D53" s="119">
        <v>1.4999999999999999E-2</v>
      </c>
      <c r="E53" s="61"/>
      <c r="F53" s="77">
        <f t="shared" ref="F53:P53" si="25">-$D$53*F41</f>
        <v>0</v>
      </c>
      <c r="G53" s="77">
        <f t="shared" si="25"/>
        <v>-27914.39383561644</v>
      </c>
      <c r="H53" s="77">
        <f t="shared" si="25"/>
        <v>-56233.012499999997</v>
      </c>
      <c r="I53" s="77">
        <f t="shared" si="25"/>
        <v>-56795.34262499999</v>
      </c>
      <c r="J53" s="77">
        <f t="shared" si="25"/>
        <v>-57363.296051249999</v>
      </c>
      <c r="K53" s="77">
        <f t="shared" si="25"/>
        <v>-57936.929011762484</v>
      </c>
      <c r="L53" s="77">
        <f t="shared" si="25"/>
        <v>-58516.298301880131</v>
      </c>
      <c r="M53" s="77">
        <f t="shared" si="25"/>
        <v>-59101.461284898905</v>
      </c>
      <c r="N53" s="77">
        <f t="shared" si="25"/>
        <v>-59692.475897747914</v>
      </c>
      <c r="O53" s="77">
        <f t="shared" si="25"/>
        <v>-60289.400656725404</v>
      </c>
      <c r="P53" s="77">
        <f t="shared" si="25"/>
        <v>-60892.294663292654</v>
      </c>
      <c r="Q53" s="121">
        <f>SUM(G53:P53)</f>
        <v>-554734.90482817392</v>
      </c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</row>
    <row r="54" spans="1:58">
      <c r="A54" s="5"/>
      <c r="B54" s="4"/>
      <c r="C54" s="36"/>
      <c r="D54" s="36"/>
      <c r="E54" s="61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121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</row>
    <row r="55" spans="1:58">
      <c r="A55" s="5"/>
      <c r="B55" s="81" t="s">
        <v>59</v>
      </c>
      <c r="C55" s="47"/>
      <c r="D55" s="47"/>
      <c r="E55" s="88"/>
      <c r="F55" s="89">
        <f t="shared" ref="F55:P55" si="26">SUM(F49:F53)</f>
        <v>-262500</v>
      </c>
      <c r="G55" s="89">
        <f t="shared" si="26"/>
        <v>-1262613.7089041097</v>
      </c>
      <c r="H55" s="89">
        <f>SUM(H49:H53)</f>
        <v>3679160.326541096</v>
      </c>
      <c r="I55" s="89">
        <f t="shared" si="26"/>
        <v>3729560.8323749993</v>
      </c>
      <c r="J55" s="89">
        <f t="shared" si="26"/>
        <v>3766856.4406987503</v>
      </c>
      <c r="K55" s="89">
        <f t="shared" si="26"/>
        <v>3804525.0051057367</v>
      </c>
      <c r="L55" s="89">
        <f t="shared" si="26"/>
        <v>3842570.2551567955</v>
      </c>
      <c r="M55" s="89">
        <f t="shared" si="26"/>
        <v>3880995.957708362</v>
      </c>
      <c r="N55" s="89">
        <f t="shared" si="26"/>
        <v>3919805.9172854465</v>
      </c>
      <c r="O55" s="89">
        <f t="shared" si="26"/>
        <v>3959003.9764583018</v>
      </c>
      <c r="P55" s="89">
        <f t="shared" si="26"/>
        <v>3998594.0162228844</v>
      </c>
      <c r="Q55" s="121">
        <f>SUM(G55:P55)</f>
        <v>33318459.018648263</v>
      </c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</row>
    <row r="56" spans="1:58">
      <c r="A56" s="5"/>
      <c r="B56" s="4"/>
      <c r="C56" s="36"/>
      <c r="D56" s="36"/>
      <c r="E56" s="61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121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</row>
    <row r="57" spans="1:58">
      <c r="A57" s="5"/>
      <c r="B57" s="35" t="s">
        <v>60</v>
      </c>
      <c r="C57" s="36"/>
      <c r="D57" s="36"/>
      <c r="E57" s="61"/>
      <c r="F57" s="77">
        <f t="shared" ref="F57:P57" si="27">IF(AND(F33&lt;=$C$1,$C$1&lt;=F34),-$L$14,0)</f>
        <v>-26250000</v>
      </c>
      <c r="G57" s="77">
        <f t="shared" si="27"/>
        <v>0</v>
      </c>
      <c r="H57" s="77">
        <f t="shared" si="27"/>
        <v>0</v>
      </c>
      <c r="I57" s="77">
        <f t="shared" si="27"/>
        <v>0</v>
      </c>
      <c r="J57" s="77">
        <f t="shared" si="27"/>
        <v>0</v>
      </c>
      <c r="K57" s="77">
        <f t="shared" si="27"/>
        <v>0</v>
      </c>
      <c r="L57" s="77">
        <f t="shared" si="27"/>
        <v>0</v>
      </c>
      <c r="M57" s="77">
        <f t="shared" si="27"/>
        <v>0</v>
      </c>
      <c r="N57" s="77">
        <f t="shared" si="27"/>
        <v>0</v>
      </c>
      <c r="O57" s="77">
        <f t="shared" si="27"/>
        <v>0</v>
      </c>
      <c r="P57" s="77">
        <f t="shared" si="27"/>
        <v>0</v>
      </c>
      <c r="Q57" s="121">
        <f>SUM(G57:P57)</f>
        <v>0</v>
      </c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</row>
    <row r="58" spans="1:58">
      <c r="A58" s="5"/>
      <c r="B58" s="35" t="s">
        <v>67</v>
      </c>
      <c r="C58" s="36"/>
      <c r="D58" s="36"/>
      <c r="E58" s="61"/>
      <c r="F58" s="77">
        <f>IF(F57&lt;&gt;0,$H$16,0)</f>
        <v>13125000</v>
      </c>
      <c r="G58" s="77">
        <f t="shared" ref="G58:P58" si="28">IF(G57&lt;&gt;0,$H$16,0)</f>
        <v>0</v>
      </c>
      <c r="H58" s="77">
        <f t="shared" si="28"/>
        <v>0</v>
      </c>
      <c r="I58" s="77">
        <f t="shared" si="28"/>
        <v>0</v>
      </c>
      <c r="J58" s="77">
        <f t="shared" si="28"/>
        <v>0</v>
      </c>
      <c r="K58" s="77">
        <f t="shared" si="28"/>
        <v>0</v>
      </c>
      <c r="L58" s="77">
        <f t="shared" si="28"/>
        <v>0</v>
      </c>
      <c r="M58" s="77">
        <f t="shared" si="28"/>
        <v>0</v>
      </c>
      <c r="N58" s="77">
        <f t="shared" si="28"/>
        <v>0</v>
      </c>
      <c r="O58" s="77">
        <f t="shared" si="28"/>
        <v>0</v>
      </c>
      <c r="P58" s="77">
        <f t="shared" si="28"/>
        <v>0</v>
      </c>
      <c r="Q58" s="121">
        <f>SUM(G58:P58)</f>
        <v>0</v>
      </c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</row>
    <row r="59" spans="1:58">
      <c r="A59" s="5"/>
      <c r="B59" s="35"/>
      <c r="C59" s="36"/>
      <c r="D59" s="36"/>
      <c r="E59" s="61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121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</row>
    <row r="60" spans="1:58" ht="15" thickBot="1">
      <c r="A60" s="5"/>
      <c r="B60" s="79" t="s">
        <v>61</v>
      </c>
      <c r="C60" s="68"/>
      <c r="D60" s="68"/>
      <c r="E60" s="70"/>
      <c r="F60" s="69">
        <f>SUM(F55:F58)</f>
        <v>-13387500</v>
      </c>
      <c r="G60" s="69">
        <f>SUM(G55:G58)</f>
        <v>-1262613.7089041097</v>
      </c>
      <c r="H60" s="69">
        <f>SUM(H55:H58)</f>
        <v>3679160.326541096</v>
      </c>
      <c r="I60" s="69">
        <f t="shared" ref="I60:P60" si="29">SUM(I55:I58)</f>
        <v>3729560.8323749993</v>
      </c>
      <c r="J60" s="69">
        <f t="shared" si="29"/>
        <v>3766856.4406987503</v>
      </c>
      <c r="K60" s="69">
        <f t="shared" si="29"/>
        <v>3804525.0051057367</v>
      </c>
      <c r="L60" s="69">
        <f t="shared" si="29"/>
        <v>3842570.2551567955</v>
      </c>
      <c r="M60" s="69">
        <f t="shared" si="29"/>
        <v>3880995.957708362</v>
      </c>
      <c r="N60" s="69">
        <f t="shared" si="29"/>
        <v>3919805.9172854465</v>
      </c>
      <c r="O60" s="69">
        <f t="shared" si="29"/>
        <v>3959003.9764583018</v>
      </c>
      <c r="P60" s="69">
        <f t="shared" si="29"/>
        <v>3998594.0162228844</v>
      </c>
      <c r="Q60" s="121">
        <f>SUM(G60:P60)</f>
        <v>33318459.018648263</v>
      </c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</row>
    <row r="61" spans="1:58" ht="15" thickTop="1">
      <c r="A61" s="5"/>
      <c r="B61" s="35"/>
      <c r="C61" s="36"/>
      <c r="D61" s="36"/>
      <c r="E61" s="61"/>
      <c r="F61" s="77"/>
      <c r="G61" s="77"/>
      <c r="H61" s="77"/>
      <c r="I61" s="77"/>
      <c r="J61" s="77"/>
      <c r="K61" s="77"/>
      <c r="L61" s="77"/>
      <c r="M61" s="77"/>
      <c r="N61" s="77"/>
      <c r="O61" s="77"/>
      <c r="P61" s="77"/>
      <c r="Q61" s="121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</row>
    <row r="62" spans="1:58">
      <c r="A62" s="5"/>
      <c r="B62" s="35" t="s">
        <v>46</v>
      </c>
      <c r="C62" s="36"/>
      <c r="D62" s="36"/>
      <c r="E62" s="61"/>
      <c r="F62" s="77">
        <f>AB20+AB4</f>
        <v>18750000</v>
      </c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121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</row>
    <row r="63" spans="1:58">
      <c r="A63" s="5"/>
      <c r="B63" s="35" t="s">
        <v>62</v>
      </c>
      <c r="C63" s="36"/>
      <c r="D63" s="36"/>
      <c r="E63" s="61"/>
      <c r="F63" s="77">
        <f t="shared" ref="F63:P63" si="30">-AC31</f>
        <v>-28125</v>
      </c>
      <c r="G63" s="77">
        <f t="shared" si="30"/>
        <v>-27984.375</v>
      </c>
      <c r="H63" s="77">
        <f t="shared" si="30"/>
        <v>-27844.453125</v>
      </c>
      <c r="I63" s="77">
        <f t="shared" si="30"/>
        <v>-18666046.171875</v>
      </c>
      <c r="J63" s="77">
        <f t="shared" si="30"/>
        <v>0</v>
      </c>
      <c r="K63" s="77">
        <f t="shared" si="30"/>
        <v>0</v>
      </c>
      <c r="L63" s="77">
        <f t="shared" si="30"/>
        <v>0</v>
      </c>
      <c r="M63" s="77">
        <f t="shared" si="30"/>
        <v>0</v>
      </c>
      <c r="N63" s="77">
        <f t="shared" si="30"/>
        <v>0</v>
      </c>
      <c r="O63" s="77">
        <f t="shared" si="30"/>
        <v>0</v>
      </c>
      <c r="P63" s="77">
        <f t="shared" si="30"/>
        <v>0</v>
      </c>
      <c r="Q63" s="121">
        <f>SUM(F63:P63)</f>
        <v>-18750000</v>
      </c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</row>
    <row r="64" spans="1:58">
      <c r="A64" s="5"/>
      <c r="B64" s="35" t="s">
        <v>63</v>
      </c>
      <c r="C64" s="36"/>
      <c r="D64" s="36"/>
      <c r="E64" s="61"/>
      <c r="F64" s="77">
        <f t="shared" ref="F64:P64" si="31">-AC30</f>
        <v>-562500</v>
      </c>
      <c r="G64" s="77">
        <f t="shared" si="31"/>
        <v>-561656.25</v>
      </c>
      <c r="H64" s="77">
        <f t="shared" si="31"/>
        <v>-560816.71875</v>
      </c>
      <c r="I64" s="77">
        <f t="shared" si="31"/>
        <v>-559981.38515624998</v>
      </c>
      <c r="J64" s="77">
        <f t="shared" si="31"/>
        <v>0</v>
      </c>
      <c r="K64" s="77">
        <f t="shared" si="31"/>
        <v>0</v>
      </c>
      <c r="L64" s="77">
        <f t="shared" si="31"/>
        <v>0</v>
      </c>
      <c r="M64" s="77">
        <f t="shared" si="31"/>
        <v>0</v>
      </c>
      <c r="N64" s="77">
        <f t="shared" si="31"/>
        <v>0</v>
      </c>
      <c r="O64" s="77">
        <f t="shared" si="31"/>
        <v>0</v>
      </c>
      <c r="P64" s="77">
        <f t="shared" si="31"/>
        <v>0</v>
      </c>
      <c r="Q64" s="121">
        <f>SUM(F64:P64)</f>
        <v>-2244954.3539062501</v>
      </c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</row>
    <row r="65" spans="1:58">
      <c r="A65" s="5"/>
      <c r="B65" s="35"/>
      <c r="C65" s="36"/>
      <c r="D65" s="36"/>
      <c r="E65" s="61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121">
        <f>SUM(G65:P65)</f>
        <v>0</v>
      </c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</row>
    <row r="66" spans="1:58" ht="15" thickBot="1">
      <c r="A66" s="5"/>
      <c r="B66" s="79" t="s">
        <v>64</v>
      </c>
      <c r="C66" s="68"/>
      <c r="D66" s="68"/>
      <c r="E66" s="70"/>
      <c r="F66" s="69">
        <f>SUM(F63:F64)</f>
        <v>-590625</v>
      </c>
      <c r="G66" s="69">
        <f t="shared" ref="G66:P66" si="32">SUM(G63:G64)</f>
        <v>-589640.625</v>
      </c>
      <c r="H66" s="69">
        <f t="shared" si="32"/>
        <v>-588661.171875</v>
      </c>
      <c r="I66" s="69">
        <f t="shared" si="32"/>
        <v>-19226027.557031251</v>
      </c>
      <c r="J66" s="69">
        <f t="shared" si="32"/>
        <v>0</v>
      </c>
      <c r="K66" s="69">
        <f t="shared" si="32"/>
        <v>0</v>
      </c>
      <c r="L66" s="69">
        <f t="shared" si="32"/>
        <v>0</v>
      </c>
      <c r="M66" s="69">
        <f t="shared" si="32"/>
        <v>0</v>
      </c>
      <c r="N66" s="69">
        <f t="shared" si="32"/>
        <v>0</v>
      </c>
      <c r="O66" s="69">
        <f t="shared" si="32"/>
        <v>0</v>
      </c>
      <c r="P66" s="69">
        <f t="shared" si="32"/>
        <v>0</v>
      </c>
      <c r="Q66" s="121">
        <f>SUM(G66:P66)</f>
        <v>-20404329.353906251</v>
      </c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</row>
    <row r="67" spans="1:58" ht="15" thickTop="1">
      <c r="A67" s="5"/>
      <c r="B67" s="4"/>
      <c r="C67" s="36"/>
      <c r="D67" s="36"/>
      <c r="E67" s="61"/>
      <c r="F67" s="77"/>
      <c r="G67" s="77"/>
      <c r="H67" s="77"/>
      <c r="I67" s="77"/>
      <c r="J67" s="77"/>
      <c r="K67" s="77"/>
      <c r="L67" s="77"/>
      <c r="M67" s="77"/>
      <c r="N67" s="77"/>
      <c r="O67" s="77"/>
      <c r="P67" s="77"/>
      <c r="Q67" s="121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</row>
    <row r="68" spans="1:58">
      <c r="A68" s="5"/>
      <c r="B68" s="4" t="s">
        <v>74</v>
      </c>
      <c r="C68" s="36"/>
      <c r="D68" s="36"/>
      <c r="E68" s="61"/>
      <c r="F68" s="77">
        <f t="shared" ref="F68:P68" si="33">-$L$13*$AA$52/$AA$50-(-F57)/$AA$50</f>
        <v>-705000</v>
      </c>
      <c r="G68" s="77">
        <f t="shared" si="33"/>
        <v>-180000</v>
      </c>
      <c r="H68" s="77">
        <f t="shared" si="33"/>
        <v>-180000</v>
      </c>
      <c r="I68" s="77">
        <f t="shared" si="33"/>
        <v>-180000</v>
      </c>
      <c r="J68" s="77">
        <f t="shared" si="33"/>
        <v>-180000</v>
      </c>
      <c r="K68" s="77">
        <f t="shared" si="33"/>
        <v>-180000</v>
      </c>
      <c r="L68" s="77">
        <f t="shared" si="33"/>
        <v>-180000</v>
      </c>
      <c r="M68" s="77">
        <f t="shared" si="33"/>
        <v>-180000</v>
      </c>
      <c r="N68" s="77">
        <f t="shared" si="33"/>
        <v>-180000</v>
      </c>
      <c r="O68" s="77">
        <f t="shared" si="33"/>
        <v>-180000</v>
      </c>
      <c r="P68" s="77">
        <f t="shared" si="33"/>
        <v>-180000</v>
      </c>
      <c r="Q68" s="121">
        <f>SUM(F68:P68)</f>
        <v>-2505000</v>
      </c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</row>
    <row r="69" spans="1:58" ht="15" thickBot="1">
      <c r="A69" s="5"/>
      <c r="B69" s="79" t="s">
        <v>65</v>
      </c>
      <c r="C69" s="68"/>
      <c r="D69" s="97">
        <v>0.25</v>
      </c>
      <c r="E69" s="70"/>
      <c r="F69" s="69">
        <f>IF((F60+F64+F68)&gt;0,(F60+F64+F68)*$D$69,0)</f>
        <v>0</v>
      </c>
      <c r="G69" s="69">
        <f t="shared" ref="G69:P69" si="34">IF((G60+G64+G68)&gt;0,(G60+G64+G68)*$D$69,0)</f>
        <v>0</v>
      </c>
      <c r="H69" s="69">
        <f t="shared" si="34"/>
        <v>734585.90194777399</v>
      </c>
      <c r="I69" s="69">
        <f t="shared" si="34"/>
        <v>747394.8618046873</v>
      </c>
      <c r="J69" s="69">
        <f t="shared" si="34"/>
        <v>896714.11017468758</v>
      </c>
      <c r="K69" s="69">
        <f t="shared" si="34"/>
        <v>906131.25127643417</v>
      </c>
      <c r="L69" s="69">
        <f t="shared" si="34"/>
        <v>915642.56378919887</v>
      </c>
      <c r="M69" s="69">
        <f t="shared" si="34"/>
        <v>925248.98942709051</v>
      </c>
      <c r="N69" s="69">
        <f t="shared" si="34"/>
        <v>934951.47932136164</v>
      </c>
      <c r="O69" s="69">
        <f t="shared" si="34"/>
        <v>944750.99411457544</v>
      </c>
      <c r="P69" s="69">
        <f t="shared" si="34"/>
        <v>954648.5040557211</v>
      </c>
      <c r="Q69" s="121">
        <f>SUM(G69:P69)</f>
        <v>7960068.6559115304</v>
      </c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</row>
    <row r="70" spans="1:58" ht="15" thickTop="1">
      <c r="A70" s="5"/>
      <c r="B70" s="35"/>
      <c r="C70" s="36"/>
      <c r="D70" s="36"/>
      <c r="E70" s="61"/>
      <c r="F70" s="77"/>
      <c r="G70" s="77"/>
      <c r="H70" s="77"/>
      <c r="I70" s="77"/>
      <c r="J70" s="77"/>
      <c r="K70" s="77"/>
      <c r="L70" s="77"/>
      <c r="M70" s="77"/>
      <c r="N70" s="77"/>
      <c r="O70" s="77"/>
      <c r="P70" s="77"/>
      <c r="Q70" s="121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</row>
    <row r="71" spans="1:58" ht="15" thickBot="1">
      <c r="A71" s="5"/>
      <c r="B71" s="80" t="s">
        <v>66</v>
      </c>
      <c r="C71" s="71"/>
      <c r="D71" s="71"/>
      <c r="E71" s="72"/>
      <c r="F71" s="73">
        <f>F60+F66+F69</f>
        <v>-13978125</v>
      </c>
      <c r="G71" s="73">
        <f t="shared" ref="G71:P71" si="35">G60+G66+G69</f>
        <v>-1852254.3339041097</v>
      </c>
      <c r="H71" s="73">
        <f t="shared" si="35"/>
        <v>3825085.05661387</v>
      </c>
      <c r="I71" s="73">
        <f t="shared" si="35"/>
        <v>-14749071.862851566</v>
      </c>
      <c r="J71" s="73">
        <f t="shared" si="35"/>
        <v>4663570.5508734379</v>
      </c>
      <c r="K71" s="73">
        <f t="shared" si="35"/>
        <v>4710656.2563821711</v>
      </c>
      <c r="L71" s="73">
        <f t="shared" si="35"/>
        <v>4758212.8189459946</v>
      </c>
      <c r="M71" s="73">
        <f t="shared" si="35"/>
        <v>4806244.9471354522</v>
      </c>
      <c r="N71" s="73">
        <f t="shared" si="35"/>
        <v>4854757.3966068085</v>
      </c>
      <c r="O71" s="73">
        <f t="shared" si="35"/>
        <v>4903754.9705728777</v>
      </c>
      <c r="P71" s="73">
        <f t="shared" si="35"/>
        <v>4953242.5202786056</v>
      </c>
      <c r="Q71" s="93">
        <f>SUM(G71:P71)</f>
        <v>20874198.320653543</v>
      </c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</row>
    <row r="72" spans="1:58" ht="15" thickTop="1">
      <c r="A72" s="5"/>
      <c r="B72" s="35"/>
      <c r="C72" s="36"/>
      <c r="D72" s="36"/>
      <c r="E72" s="61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61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</row>
    <row r="73" spans="1:58">
      <c r="A73" s="5"/>
      <c r="B73" s="81" t="s">
        <v>81</v>
      </c>
      <c r="C73" s="47"/>
      <c r="D73" s="47"/>
      <c r="E73" s="88"/>
      <c r="F73" s="89"/>
      <c r="G73" s="89">
        <f>IF(G35=$C$27,(H41/$C$26)+SUM(H42:$P$42),0)</f>
        <v>0</v>
      </c>
      <c r="H73" s="89">
        <f>IF(H35=$C$27,(I41/$C$26)+SUM(I42:$P$42),0)</f>
        <v>63105936.249999993</v>
      </c>
      <c r="I73" s="89">
        <f>IF(I35=$C$27,(J41/$C$26)+SUM(J42:$P$42),0)</f>
        <v>0</v>
      </c>
      <c r="J73" s="89">
        <f>IF(J35=$C$27,(K41/$C$26)+SUM(K42:$P$42),0)</f>
        <v>0</v>
      </c>
      <c r="K73" s="89">
        <f>IF(K35=$C$27,(L41/$C$26)+SUM(L42:$P$42),0)</f>
        <v>0</v>
      </c>
      <c r="L73" s="89">
        <f>IF(L35=$C$27,(M41/$C$26)+SUM(M42:$P$42),0)</f>
        <v>0</v>
      </c>
      <c r="M73" s="89">
        <f>IF(M35=$C$27,(N41/$C$26)+SUM(N42:$P$42),0)</f>
        <v>0</v>
      </c>
      <c r="N73" s="89">
        <f>IF(N35=$C$27,(O41/$C$26)+SUM(O42:$P$42),0)</f>
        <v>0</v>
      </c>
      <c r="O73" s="89">
        <f>IF(O35=$C$27,(P41/$C$26)+SUM(P42:$P$42),0)</f>
        <v>0</v>
      </c>
      <c r="P73" s="89">
        <f>IF(P35=$C$27,(Q41/$C$26)+SUM($P42:Q$42),0)</f>
        <v>0</v>
      </c>
      <c r="Q73" s="91">
        <f>SUM(G73:P73)</f>
        <v>63105936.249999993</v>
      </c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</row>
    <row r="74" spans="1:58">
      <c r="A74" s="5"/>
      <c r="B74" s="35" t="s">
        <v>93</v>
      </c>
      <c r="C74" s="36"/>
      <c r="D74" s="120">
        <v>5.0000000000000001E-3</v>
      </c>
      <c r="E74" s="61"/>
      <c r="F74" s="77">
        <f>-$D$74*F73</f>
        <v>0</v>
      </c>
      <c r="G74" s="77">
        <f>-$D$74*G73</f>
        <v>0</v>
      </c>
      <c r="H74" s="77">
        <f t="shared" ref="H74:P74" si="36">-$D$74*H73</f>
        <v>-315529.68124999997</v>
      </c>
      <c r="I74" s="77">
        <f t="shared" si="36"/>
        <v>0</v>
      </c>
      <c r="J74" s="77">
        <f t="shared" si="36"/>
        <v>0</v>
      </c>
      <c r="K74" s="77">
        <f t="shared" si="36"/>
        <v>0</v>
      </c>
      <c r="L74" s="77">
        <f t="shared" si="36"/>
        <v>0</v>
      </c>
      <c r="M74" s="77">
        <f t="shared" si="36"/>
        <v>0</v>
      </c>
      <c r="N74" s="77">
        <f t="shared" si="36"/>
        <v>0</v>
      </c>
      <c r="O74" s="77">
        <f t="shared" si="36"/>
        <v>0</v>
      </c>
      <c r="P74" s="77">
        <f t="shared" si="36"/>
        <v>0</v>
      </c>
      <c r="Q74" s="121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</row>
    <row r="75" spans="1:58">
      <c r="A75" s="5"/>
      <c r="B75" s="158" t="s">
        <v>99</v>
      </c>
      <c r="C75" s="36"/>
      <c r="D75" s="36"/>
      <c r="E75" s="61"/>
      <c r="F75" s="77">
        <f>L13+L14</f>
        <v>37500000</v>
      </c>
      <c r="G75" s="77">
        <f>F75+F68</f>
        <v>36795000</v>
      </c>
      <c r="H75" s="77">
        <f>G75+H68</f>
        <v>36615000</v>
      </c>
      <c r="I75" s="77">
        <f>H75+I68</f>
        <v>36435000</v>
      </c>
      <c r="J75" s="77">
        <f t="shared" ref="J75:P75" si="37">I75+J68</f>
        <v>36255000</v>
      </c>
      <c r="K75" s="77">
        <f t="shared" si="37"/>
        <v>36075000</v>
      </c>
      <c r="L75" s="77">
        <f t="shared" si="37"/>
        <v>35895000</v>
      </c>
      <c r="M75" s="77">
        <f>L75+M68</f>
        <v>35715000</v>
      </c>
      <c r="N75" s="77">
        <f t="shared" si="37"/>
        <v>35535000</v>
      </c>
      <c r="O75" s="77">
        <f t="shared" si="37"/>
        <v>35355000</v>
      </c>
      <c r="P75" s="77">
        <f t="shared" si="37"/>
        <v>35175000</v>
      </c>
      <c r="Q75" s="121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</row>
    <row r="76" spans="1:58">
      <c r="A76" s="5"/>
      <c r="B76" s="35" t="s">
        <v>94</v>
      </c>
      <c r="C76" s="36"/>
      <c r="D76" s="96">
        <v>0.25</v>
      </c>
      <c r="E76" s="61"/>
      <c r="F76" s="77">
        <f>IF(F73&lt;&gt;0,-$D$76*(F73+F74-F75),0)</f>
        <v>0</v>
      </c>
      <c r="G76" s="77">
        <f>IF(G73&lt;&gt;0,-$D$76*(G73+G74-G75),0)</f>
        <v>0</v>
      </c>
      <c r="H76" s="77">
        <f>IF(H73&lt;&gt;0,-$D$76*(H73+H74-H75),0)</f>
        <v>-6543851.6421874985</v>
      </c>
      <c r="I76" s="77">
        <f t="shared" ref="I76:P76" si="38">IF(I73&lt;&gt;0,-$D$76*(I73+I74-I75),0)</f>
        <v>0</v>
      </c>
      <c r="J76" s="77">
        <f>IF(J73&lt;&gt;0,-$D$76*(J73+J74-J75),0)</f>
        <v>0</v>
      </c>
      <c r="K76" s="77">
        <f t="shared" si="38"/>
        <v>0</v>
      </c>
      <c r="L76" s="77">
        <f t="shared" si="38"/>
        <v>0</v>
      </c>
      <c r="M76" s="77">
        <f>IF(M73&lt;&gt;0,-$D$76*(M73+M74-M75),0)</f>
        <v>0</v>
      </c>
      <c r="N76" s="77">
        <f t="shared" si="38"/>
        <v>0</v>
      </c>
      <c r="O76" s="77">
        <f t="shared" si="38"/>
        <v>0</v>
      </c>
      <c r="P76" s="77">
        <f t="shared" si="38"/>
        <v>0</v>
      </c>
      <c r="Q76" s="121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</row>
    <row r="77" spans="1:58">
      <c r="A77" s="5"/>
      <c r="B77" s="35"/>
      <c r="C77" s="36"/>
      <c r="D77" s="36"/>
      <c r="E77" s="61"/>
      <c r="F77" s="77"/>
      <c r="G77" s="77"/>
      <c r="H77" s="77"/>
      <c r="I77" s="77"/>
      <c r="J77" s="77"/>
      <c r="K77" s="77"/>
      <c r="L77" s="77"/>
      <c r="M77" s="77"/>
      <c r="N77" s="77"/>
      <c r="O77" s="77"/>
      <c r="P77" s="77"/>
      <c r="Q77" s="121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</row>
    <row r="78" spans="1:58">
      <c r="A78" s="5"/>
      <c r="B78" s="35"/>
      <c r="C78" s="36"/>
      <c r="D78" s="36"/>
      <c r="E78" s="61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111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</row>
    <row r="79" spans="1:58" ht="15" thickBot="1">
      <c r="A79" s="5"/>
      <c r="B79" s="80" t="s">
        <v>92</v>
      </c>
      <c r="C79" s="71"/>
      <c r="D79" s="71"/>
      <c r="E79" s="93">
        <f>-H13-H14</f>
        <v>-19087500</v>
      </c>
      <c r="F79" s="73">
        <f>F73+F71+F76+F74</f>
        <v>-13978125</v>
      </c>
      <c r="G79" s="73">
        <f>IF(F73&lt;&gt;0,0,IF(F79=0,0,G71+G73+G76+G74))</f>
        <v>-1852254.3339041097</v>
      </c>
      <c r="H79" s="73">
        <f t="shared" ref="H79:P79" si="39">IF(G73&lt;&gt;0,0,IF(G79=0,0,H71+H73+H76+H74))</f>
        <v>60071639.983176365</v>
      </c>
      <c r="I79" s="73">
        <f t="shared" si="39"/>
        <v>0</v>
      </c>
      <c r="J79" s="73">
        <f t="shared" si="39"/>
        <v>0</v>
      </c>
      <c r="K79" s="73">
        <f t="shared" si="39"/>
        <v>0</v>
      </c>
      <c r="L79" s="73">
        <f t="shared" si="39"/>
        <v>0</v>
      </c>
      <c r="M79" s="73">
        <f t="shared" si="39"/>
        <v>0</v>
      </c>
      <c r="N79" s="73">
        <f t="shared" si="39"/>
        <v>0</v>
      </c>
      <c r="O79" s="73">
        <f t="shared" si="39"/>
        <v>0</v>
      </c>
      <c r="P79" s="73">
        <f t="shared" si="39"/>
        <v>0</v>
      </c>
      <c r="Q79" s="92">
        <f>SUM(G79:P79)</f>
        <v>58219385.649272256</v>
      </c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</row>
    <row r="80" spans="1:58" ht="15" thickTop="1">
      <c r="A80" s="5"/>
      <c r="B80" s="81" t="s">
        <v>82</v>
      </c>
      <c r="C80" s="47"/>
      <c r="D80" s="47"/>
      <c r="E80" s="89">
        <f>E79</f>
        <v>-19087500</v>
      </c>
      <c r="F80" s="89">
        <f t="shared" ref="F80:G80" si="40">F79+E80</f>
        <v>-33065625</v>
      </c>
      <c r="G80" s="89">
        <f t="shared" si="40"/>
        <v>-34917879.33390411</v>
      </c>
      <c r="H80" s="89">
        <f>H79+G80</f>
        <v>25153760.649272256</v>
      </c>
      <c r="I80" s="89">
        <f>I79+H80</f>
        <v>25153760.649272256</v>
      </c>
      <c r="J80" s="89">
        <f>J79+I80</f>
        <v>25153760.649272256</v>
      </c>
      <c r="K80" s="89">
        <f t="shared" ref="K80:P80" si="41">K79+J80</f>
        <v>25153760.649272256</v>
      </c>
      <c r="L80" s="89">
        <f t="shared" si="41"/>
        <v>25153760.649272256</v>
      </c>
      <c r="M80" s="89">
        <f t="shared" si="41"/>
        <v>25153760.649272256</v>
      </c>
      <c r="N80" s="89">
        <f t="shared" si="41"/>
        <v>25153760.649272256</v>
      </c>
      <c r="O80" s="89">
        <f t="shared" si="41"/>
        <v>25153760.649272256</v>
      </c>
      <c r="P80" s="89">
        <f t="shared" si="41"/>
        <v>25153760.649272256</v>
      </c>
      <c r="Q80" s="91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</row>
    <row r="81" spans="1:58" ht="15" thickBo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</row>
    <row r="82" spans="1:58" ht="15" thickBot="1">
      <c r="A82" s="5"/>
      <c r="B82" s="136" t="s">
        <v>91</v>
      </c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</row>
    <row r="83" spans="1:58">
      <c r="A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</row>
    <row r="84" spans="1:58">
      <c r="A84" s="5"/>
      <c r="B84" s="90" t="s">
        <v>85</v>
      </c>
      <c r="C84" s="94">
        <f>XIRR(E79:P79,E34:P34)</f>
        <v>0.23901020884513854</v>
      </c>
      <c r="D84" s="5"/>
      <c r="E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</row>
    <row r="85" spans="1:58">
      <c r="A85" s="5"/>
      <c r="B85" s="90" t="s">
        <v>86</v>
      </c>
      <c r="C85" s="95">
        <f>-SUMIF(E79:P79,"&gt;0")/SUMIF(E79:P79,"&lt;0")</f>
        <v>1.7203690810870287</v>
      </c>
      <c r="D85" s="5"/>
      <c r="E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</row>
    <row r="86" spans="1:58">
      <c r="A86" s="5"/>
      <c r="D86" s="5"/>
      <c r="E86" s="5"/>
      <c r="F86" s="5"/>
      <c r="G86" s="5"/>
      <c r="H86" s="5"/>
      <c r="I86" s="5"/>
      <c r="J86" s="5"/>
      <c r="K86" s="13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</row>
    <row r="87" spans="1:58">
      <c r="A87" s="127"/>
      <c r="B87" s="127"/>
      <c r="C87" s="127"/>
      <c r="D87" s="127"/>
      <c r="E87" s="127"/>
      <c r="F87" s="127"/>
      <c r="G87" s="127"/>
      <c r="H87" s="127"/>
      <c r="I87" s="127"/>
      <c r="J87" s="127"/>
      <c r="K87" s="127"/>
      <c r="L87" s="127"/>
      <c r="M87" s="127"/>
      <c r="N87" s="127"/>
      <c r="O87" s="127"/>
      <c r="P87" s="127"/>
      <c r="Q87" s="127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</row>
    <row r="88" spans="1:58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</row>
    <row r="89" spans="1:58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</row>
    <row r="90" spans="1:58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</row>
    <row r="91" spans="1:58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</row>
    <row r="92" spans="1:58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</row>
    <row r="93" spans="1:58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</row>
    <row r="94" spans="1:58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</row>
    <row r="95" spans="1:58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</row>
    <row r="96" spans="1:58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</row>
    <row r="97" spans="1:58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</row>
    <row r="98" spans="1:58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</row>
    <row r="99" spans="1:58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</row>
    <row r="100" spans="1:58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</row>
    <row r="101" spans="1:58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</row>
    <row r="102" spans="1:58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</row>
    <row r="103" spans="1:58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</row>
    <row r="104" spans="1:58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</row>
    <row r="105" spans="1:58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</row>
    <row r="106" spans="1:58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</row>
    <row r="107" spans="1:58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</row>
    <row r="108" spans="1:58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</row>
    <row r="109" spans="1:58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</row>
    <row r="110" spans="1:58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</row>
    <row r="111" spans="1:58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</row>
    <row r="112" spans="1:58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</row>
    <row r="113" spans="1:58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</row>
    <row r="114" spans="1:58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</row>
    <row r="115" spans="1:58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</row>
    <row r="116" spans="1:58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</row>
    <row r="117" spans="1:58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</row>
    <row r="118" spans="1:58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</row>
    <row r="119" spans="1:58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</row>
    <row r="120" spans="1:58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</row>
    <row r="121" spans="1:58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</row>
    <row r="122" spans="1:58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</row>
    <row r="123" spans="1:58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</row>
    <row r="124" spans="1:58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</row>
    <row r="125" spans="1:58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</row>
    <row r="126" spans="1:58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</row>
    <row r="127" spans="1:58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</row>
    <row r="128" spans="1:58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</row>
    <row r="129" spans="1:58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</row>
    <row r="130" spans="1:58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</row>
    <row r="131" spans="1:58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</row>
    <row r="132" spans="1:58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</row>
    <row r="133" spans="1:58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</row>
    <row r="134" spans="1:58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</row>
    <row r="135" spans="1:58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</row>
    <row r="136" spans="1:58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</row>
    <row r="137" spans="1:58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</row>
    <row r="138" spans="1:58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</row>
    <row r="139" spans="1:58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</row>
    <row r="140" spans="1:58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</row>
    <row r="141" spans="1:58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</row>
    <row r="142" spans="1:58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</row>
    <row r="143" spans="1:58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</row>
    <row r="144" spans="1:58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</row>
    <row r="145" spans="1:58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</row>
    <row r="146" spans="1:58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</row>
    <row r="147" spans="1:58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</row>
    <row r="148" spans="1:58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</row>
    <row r="149" spans="1:58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</row>
    <row r="150" spans="1:58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</row>
    <row r="151" spans="1:58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</row>
    <row r="152" spans="1:58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</row>
    <row r="153" spans="1:58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</row>
    <row r="154" spans="1:58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</row>
    <row r="155" spans="1:58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</row>
    <row r="156" spans="1:58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</row>
    <row r="157" spans="1:58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</row>
    <row r="158" spans="1:58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</row>
    <row r="159" spans="1:58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</row>
    <row r="160" spans="1:58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</row>
    <row r="161" spans="1:58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</row>
    <row r="162" spans="1:58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</row>
    <row r="163" spans="1:58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</row>
    <row r="164" spans="1:58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</row>
    <row r="165" spans="1:58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</row>
    <row r="166" spans="1:58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</row>
    <row r="167" spans="1:58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</row>
    <row r="168" spans="1:58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</row>
    <row r="169" spans="1:58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</row>
    <row r="170" spans="1:58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</row>
    <row r="171" spans="1:58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</row>
    <row r="172" spans="1:58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</row>
    <row r="173" spans="1:58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</row>
    <row r="174" spans="1:58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</row>
    <row r="175" spans="1:58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</row>
    <row r="176" spans="1:58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</row>
    <row r="177" spans="1:58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</row>
    <row r="178" spans="1:58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</row>
    <row r="179" spans="1:58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</row>
    <row r="180" spans="1:58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</row>
    <row r="181" spans="1:58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</row>
    <row r="182" spans="1:58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</row>
    <row r="183" spans="1:58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</row>
    <row r="184" spans="1:58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</row>
    <row r="185" spans="1:58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</row>
    <row r="186" spans="1:58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</row>
    <row r="187" spans="1:58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</row>
    <row r="188" spans="1:58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</row>
    <row r="189" spans="1:58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</row>
    <row r="190" spans="1:58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</row>
    <row r="191" spans="1:58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</row>
    <row r="192" spans="1:58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</row>
    <row r="193" spans="1:58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</row>
    <row r="194" spans="1:58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</row>
    <row r="195" spans="1:58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</row>
    <row r="196" spans="1:58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</row>
    <row r="197" spans="1:58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</row>
    <row r="198" spans="1:58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</row>
    <row r="199" spans="1:58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</row>
    <row r="200" spans="1:58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</row>
    <row r="201" spans="1:58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</row>
    <row r="202" spans="1:58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</row>
    <row r="203" spans="1:58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</row>
    <row r="204" spans="1:58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</row>
    <row r="205" spans="1:58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</row>
    <row r="206" spans="1:58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</row>
    <row r="207" spans="1:58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</row>
    <row r="208" spans="1:58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</row>
    <row r="209" spans="1:58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</row>
    <row r="210" spans="1:58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</row>
    <row r="211" spans="1:58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</row>
    <row r="212" spans="1:58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</row>
    <row r="213" spans="1:58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</row>
    <row r="214" spans="1:58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</row>
    <row r="215" spans="1:58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</row>
    <row r="216" spans="1:58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</row>
    <row r="217" spans="1:58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</row>
    <row r="218" spans="1:58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</row>
    <row r="219" spans="1:58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</row>
    <row r="220" spans="1:58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</row>
    <row r="221" spans="1:58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</row>
    <row r="222" spans="1:58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</row>
    <row r="223" spans="1:58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</row>
    <row r="224" spans="1:58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</row>
    <row r="225" spans="1:58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</row>
    <row r="226" spans="1:58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</row>
    <row r="227" spans="1:58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</row>
    <row r="228" spans="1:58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</row>
    <row r="229" spans="1:58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</row>
    <row r="230" spans="1:58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</row>
    <row r="231" spans="1:58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</row>
    <row r="232" spans="1:58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</row>
    <row r="233" spans="1:58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</row>
    <row r="234" spans="1:58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</row>
    <row r="235" spans="1:58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</row>
    <row r="236" spans="1:58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</row>
    <row r="237" spans="1:58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</row>
    <row r="238" spans="1:58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</row>
    <row r="239" spans="1:58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</row>
    <row r="240" spans="1:58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</row>
    <row r="241" spans="1:58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</row>
    <row r="242" spans="1:58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</row>
    <row r="243" spans="1:58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</row>
    <row r="244" spans="1:58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</row>
    <row r="245" spans="1:58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</row>
    <row r="246" spans="1:58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</row>
    <row r="247" spans="1:58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</row>
    <row r="248" spans="1:58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</row>
    <row r="249" spans="1:58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</row>
    <row r="250" spans="1:58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</row>
    <row r="251" spans="1:58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</row>
    <row r="252" spans="1:58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</row>
    <row r="253" spans="1:58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</row>
    <row r="254" spans="1:58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</row>
    <row r="255" spans="1:58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</row>
    <row r="256" spans="1:58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</row>
    <row r="257" spans="1:58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</row>
    <row r="258" spans="1:58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</row>
    <row r="259" spans="1:58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</row>
    <row r="260" spans="1:58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</row>
    <row r="261" spans="1:58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</row>
    <row r="262" spans="1:58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</row>
    <row r="263" spans="1:58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</row>
    <row r="264" spans="1:58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</row>
    <row r="265" spans="1:58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</row>
    <row r="266" spans="1:58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</row>
    <row r="267" spans="1:58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</row>
    <row r="268" spans="1:58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</row>
    <row r="269" spans="1:58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</row>
    <row r="270" spans="1:58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</row>
    <row r="271" spans="1:58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</row>
    <row r="272" spans="1:58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</row>
    <row r="273" spans="1:58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</row>
    <row r="274" spans="1:58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</row>
    <row r="275" spans="1:58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</row>
    <row r="276" spans="1:58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</row>
    <row r="277" spans="1:58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</row>
    <row r="278" spans="1:58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</row>
    <row r="279" spans="1:58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</row>
    <row r="280" spans="1:58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</row>
    <row r="281" spans="1:58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</row>
    <row r="282" spans="1:58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</row>
    <row r="283" spans="1:58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</row>
    <row r="284" spans="1:58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</row>
    <row r="285" spans="1:58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</row>
    <row r="286" spans="1:58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</row>
    <row r="287" spans="1:58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</row>
    <row r="288" spans="1:58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</row>
    <row r="289" spans="1:58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</row>
    <row r="290" spans="1:58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</row>
    <row r="291" spans="1:58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</row>
    <row r="292" spans="1:58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</row>
    <row r="293" spans="1:58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</row>
    <row r="294" spans="1:58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</row>
    <row r="295" spans="1:58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</row>
    <row r="296" spans="1:58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</row>
    <row r="297" spans="1:58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</row>
    <row r="298" spans="1:58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</row>
    <row r="299" spans="1:58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</row>
    <row r="300" spans="1:58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</row>
    <row r="301" spans="1:58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</row>
    <row r="302" spans="1:58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</row>
    <row r="303" spans="1:58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</row>
    <row r="304" spans="1:58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</row>
    <row r="305" spans="1:58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</row>
    <row r="306" spans="1:58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</row>
    <row r="307" spans="1:58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</row>
    <row r="308" spans="1:58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</row>
    <row r="309" spans="1:58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  <c r="BE309" s="5"/>
      <c r="BF309" s="5"/>
    </row>
    <row r="310" spans="1:58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/>
      <c r="BD310" s="5"/>
      <c r="BE310" s="5"/>
      <c r="BF310" s="5"/>
    </row>
    <row r="311" spans="1:58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  <c r="BE311" s="5"/>
      <c r="BF311" s="5"/>
    </row>
    <row r="312" spans="1:58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  <c r="BE312" s="5"/>
      <c r="BF312" s="5"/>
    </row>
    <row r="313" spans="1:58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  <c r="BE313" s="5"/>
      <c r="BF313" s="5"/>
    </row>
    <row r="314" spans="1:58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  <c r="BE314" s="5"/>
      <c r="BF314" s="5"/>
    </row>
    <row r="315" spans="1:58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  <c r="BE315" s="5"/>
      <c r="BF315" s="5"/>
    </row>
    <row r="316" spans="1:58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  <c r="BE316" s="5"/>
      <c r="BF316" s="5"/>
    </row>
    <row r="317" spans="1:58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  <c r="BE317" s="5"/>
      <c r="BF317" s="5"/>
    </row>
    <row r="318" spans="1:58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B318" s="5"/>
      <c r="BC318" s="5"/>
      <c r="BD318" s="5"/>
      <c r="BE318" s="5"/>
      <c r="BF318" s="5"/>
    </row>
    <row r="319" spans="1:58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</row>
    <row r="320" spans="1:58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  <c r="BE320" s="5"/>
      <c r="BF320" s="5"/>
    </row>
    <row r="321" spans="1:58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  <c r="BE321" s="5"/>
      <c r="BF321" s="5"/>
    </row>
    <row r="322" spans="1:58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  <c r="BE322" s="5"/>
      <c r="BF322" s="5"/>
    </row>
    <row r="323" spans="1:58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  <c r="BE323" s="5"/>
      <c r="BF323" s="5"/>
    </row>
    <row r="324" spans="1:58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  <c r="BB324" s="5"/>
      <c r="BC324" s="5"/>
      <c r="BD324" s="5"/>
      <c r="BE324" s="5"/>
      <c r="BF324" s="5"/>
    </row>
    <row r="325" spans="1:58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  <c r="BE325" s="5"/>
      <c r="BF325" s="5"/>
    </row>
    <row r="326" spans="1:58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  <c r="BB326" s="5"/>
      <c r="BC326" s="5"/>
      <c r="BD326" s="5"/>
      <c r="BE326" s="5"/>
      <c r="BF326" s="5"/>
    </row>
    <row r="327" spans="1:58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  <c r="BE327" s="5"/>
      <c r="BF327" s="5"/>
    </row>
    <row r="328" spans="1:58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B328" s="5"/>
      <c r="BC328" s="5"/>
      <c r="BD328" s="5"/>
      <c r="BE328" s="5"/>
      <c r="BF328" s="5"/>
    </row>
    <row r="329" spans="1:58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  <c r="BE329" s="5"/>
      <c r="BF329" s="5"/>
    </row>
    <row r="330" spans="1:58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/>
      <c r="BD330" s="5"/>
      <c r="BE330" s="5"/>
      <c r="BF330" s="5"/>
    </row>
    <row r="331" spans="1:58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/>
      <c r="BD331" s="5"/>
      <c r="BE331" s="5"/>
      <c r="BF331" s="5"/>
    </row>
    <row r="332" spans="1:58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  <c r="BE332" s="5"/>
      <c r="BF332" s="5"/>
    </row>
    <row r="333" spans="1:58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  <c r="BE333" s="5"/>
      <c r="BF333" s="5"/>
    </row>
    <row r="334" spans="1:58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  <c r="BE334" s="5"/>
      <c r="BF334" s="5"/>
    </row>
    <row r="335" spans="1:58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  <c r="BE335" s="5"/>
      <c r="BF335" s="5"/>
    </row>
    <row r="336" spans="1:58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  <c r="BE336" s="5"/>
      <c r="BF336" s="5"/>
    </row>
    <row r="337" spans="1:58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B337" s="5"/>
      <c r="BC337" s="5"/>
      <c r="BD337" s="5"/>
      <c r="BE337" s="5"/>
      <c r="BF337" s="5"/>
    </row>
    <row r="338" spans="1:58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  <c r="BE338" s="5"/>
      <c r="BF338" s="5"/>
    </row>
    <row r="339" spans="1:58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  <c r="BE339" s="5"/>
      <c r="BF339" s="5"/>
    </row>
    <row r="340" spans="1:58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B340" s="5"/>
      <c r="BC340" s="5"/>
      <c r="BD340" s="5"/>
      <c r="BE340" s="5"/>
      <c r="BF340" s="5"/>
    </row>
    <row r="341" spans="1:58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  <c r="BB341" s="5"/>
      <c r="BC341" s="5"/>
      <c r="BD341" s="5"/>
      <c r="BE341" s="5"/>
      <c r="BF341" s="5"/>
    </row>
    <row r="342" spans="1:58"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  <c r="BB342" s="5"/>
      <c r="BC342" s="5"/>
      <c r="BD342" s="5"/>
      <c r="BE342" s="5"/>
      <c r="BF342" s="5"/>
    </row>
  </sheetData>
  <mergeCells count="7">
    <mergeCell ref="O9:P9"/>
    <mergeCell ref="F4:L4"/>
    <mergeCell ref="G7:I7"/>
    <mergeCell ref="J7:K7"/>
    <mergeCell ref="B9:C9"/>
    <mergeCell ref="F9:L9"/>
    <mergeCell ref="E5:M5"/>
  </mergeCells>
  <pageMargins left="0.7" right="0.7" top="0.75" bottom="0.75" header="0.3" footer="0.3"/>
  <pageSetup paperSize="9" scale="1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</vt:lpstr>
      <vt:lpstr>s&amp;p</vt:lpstr>
      <vt:lpstr>1</vt:lpstr>
      <vt:lpstr>2</vt:lpstr>
      <vt:lpstr>3</vt:lpstr>
      <vt:lpstr>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U12</dc:creator>
  <cp:lastModifiedBy>DE CLAPIERS Gilles</cp:lastModifiedBy>
  <cp:lastPrinted>2019-06-14T12:52:53Z</cp:lastPrinted>
  <dcterms:created xsi:type="dcterms:W3CDTF">2018-07-26T08:41:44Z</dcterms:created>
  <dcterms:modified xsi:type="dcterms:W3CDTF">2019-06-17T13:30:40Z</dcterms:modified>
</cp:coreProperties>
</file>