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M8" i="1"/>
  <c r="P8" i="1"/>
  <c r="O8" i="1"/>
  <c r="N8" i="1"/>
  <c r="K8" i="1"/>
  <c r="J8" i="1"/>
  <c r="I8" i="1"/>
  <c r="H8" i="1"/>
  <c r="G8" i="1"/>
  <c r="F8" i="1"/>
  <c r="E8" i="1"/>
  <c r="P39" i="1"/>
  <c r="P38" i="1"/>
  <c r="P37" i="1"/>
  <c r="P36" i="1"/>
  <c r="P35" i="1"/>
  <c r="P34" i="1"/>
  <c r="I39" i="1"/>
  <c r="I38" i="1"/>
  <c r="I37" i="1"/>
  <c r="I36" i="1"/>
  <c r="I35" i="1"/>
  <c r="I34" i="1"/>
  <c r="M39" i="1"/>
  <c r="M38" i="1"/>
  <c r="M37" i="1"/>
  <c r="M36" i="1"/>
  <c r="M35" i="1"/>
  <c r="M34" i="1"/>
  <c r="F39" i="1"/>
  <c r="F38" i="1"/>
  <c r="F37" i="1"/>
  <c r="F36" i="1"/>
  <c r="F35" i="1"/>
  <c r="F34" i="1"/>
  <c r="P7" i="1"/>
  <c r="O7" i="1"/>
  <c r="N7" i="1"/>
  <c r="M7" i="1"/>
  <c r="L7" i="1"/>
  <c r="K7" i="1"/>
  <c r="P29" i="1"/>
  <c r="P28" i="1"/>
  <c r="P27" i="1"/>
  <c r="P26" i="1"/>
  <c r="P25" i="1"/>
  <c r="P24" i="1"/>
  <c r="M29" i="1"/>
  <c r="M28" i="1"/>
  <c r="M27" i="1"/>
  <c r="M26" i="1"/>
  <c r="M25" i="1"/>
  <c r="M24" i="1"/>
  <c r="P6" i="1"/>
  <c r="O6" i="1"/>
  <c r="N6" i="1"/>
  <c r="M6" i="1"/>
  <c r="L6" i="1"/>
  <c r="K6" i="1"/>
  <c r="V39" i="1"/>
  <c r="U39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2" i="1"/>
  <c r="U3" i="1"/>
  <c r="U4" i="1"/>
  <c r="U5" i="1"/>
  <c r="U6" i="1"/>
  <c r="U7" i="1"/>
  <c r="U8" i="1"/>
  <c r="U9" i="1"/>
  <c r="U10" i="1"/>
  <c r="U11" i="1"/>
  <c r="U12" i="1"/>
  <c r="U13" i="1"/>
  <c r="P17" i="1" s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2" i="1"/>
  <c r="I29" i="1" l="1"/>
  <c r="M15" i="1"/>
  <c r="F27" i="1"/>
  <c r="M19" i="1"/>
  <c r="P19" i="1"/>
  <c r="I17" i="1"/>
  <c r="I25" i="1"/>
  <c r="I18" i="1"/>
  <c r="I26" i="1"/>
  <c r="P18" i="1"/>
  <c r="I16" i="1"/>
  <c r="F26" i="1"/>
  <c r="I24" i="1"/>
  <c r="I28" i="1"/>
  <c r="M14" i="1"/>
  <c r="M18" i="1"/>
  <c r="P16" i="1"/>
  <c r="I14" i="1"/>
  <c r="F24" i="1"/>
  <c r="F28" i="1"/>
  <c r="M16" i="1"/>
  <c r="P14" i="1"/>
  <c r="I15" i="1"/>
  <c r="I19" i="1"/>
  <c r="F25" i="1"/>
  <c r="F7" i="1" s="1"/>
  <c r="F29" i="1"/>
  <c r="J7" i="1" s="1"/>
  <c r="I27" i="1"/>
  <c r="H7" i="1" s="1"/>
  <c r="M17" i="1"/>
  <c r="P15" i="1"/>
  <c r="F16" i="1"/>
  <c r="G6" i="1" s="1"/>
  <c r="F19" i="1"/>
  <c r="J6" i="1" s="1"/>
  <c r="F17" i="1"/>
  <c r="H6" i="1" s="1"/>
  <c r="F14" i="1"/>
  <c r="E6" i="1" s="1"/>
  <c r="F18" i="1"/>
  <c r="I6" i="1" s="1"/>
  <c r="F15" i="1"/>
  <c r="F6" i="1" s="1"/>
  <c r="E7" i="1" l="1"/>
  <c r="G7" i="1"/>
  <c r="I7" i="1"/>
</calcChain>
</file>

<file path=xl/sharedStrings.xml><?xml version="1.0" encoding="utf-8"?>
<sst xmlns="http://schemas.openxmlformats.org/spreadsheetml/2006/main" count="160" uniqueCount="62">
  <si>
    <t>6 derniers mois</t>
  </si>
  <si>
    <t>6 dernières semaines</t>
  </si>
  <si>
    <t>ALL</t>
  </si>
  <si>
    <t>ZSEMEA</t>
  </si>
  <si>
    <t>REP</t>
  </si>
  <si>
    <t>DROP</t>
  </si>
  <si>
    <t>Nbr case 2019 - 1</t>
  </si>
  <si>
    <t>Nbr réussite 2019 - 1</t>
  </si>
  <si>
    <t>Nbr case 2019 - 2</t>
  </si>
  <si>
    <t>Nbr réussite 2019 - 2</t>
  </si>
  <si>
    <t>Nbr case 2019 - 3</t>
  </si>
  <si>
    <t>Nbr réussite 2019 - 3</t>
  </si>
  <si>
    <t>Nbr case 2019 - 4</t>
  </si>
  <si>
    <t>Nbr réussite 2019 - 4</t>
  </si>
  <si>
    <t>Nbr case 2019 - 5</t>
  </si>
  <si>
    <t>Nbr réussite 2019 - 5</t>
  </si>
  <si>
    <t>Nbr case 2019 - 6</t>
  </si>
  <si>
    <t>Nbr réussite 2019 - 6</t>
  </si>
  <si>
    <t>Date</t>
  </si>
  <si>
    <t>Année</t>
  </si>
  <si>
    <t>Mois</t>
  </si>
  <si>
    <t>Semaine</t>
  </si>
  <si>
    <t>REP/DROP</t>
  </si>
  <si>
    <t>CRD</t>
  </si>
  <si>
    <t>19/07/2019</t>
  </si>
  <si>
    <t>19/06/2019</t>
  </si>
  <si>
    <t>26/03/2019</t>
  </si>
  <si>
    <t>22/02/2019</t>
  </si>
  <si>
    <t>19/03/2019</t>
  </si>
  <si>
    <t>15/08/2019</t>
  </si>
  <si>
    <t>17/01/2019</t>
  </si>
  <si>
    <t>13/05/2019</t>
  </si>
  <si>
    <t>12/03/2019</t>
  </si>
  <si>
    <t>20/06/2019</t>
  </si>
  <si>
    <t>05/02/2019</t>
  </si>
  <si>
    <t>21/03/2019</t>
  </si>
  <si>
    <t>28/06/2019</t>
  </si>
  <si>
    <t>14/03/2019</t>
  </si>
  <si>
    <t>03/05/2019</t>
  </si>
  <si>
    <t>20/05/2019</t>
  </si>
  <si>
    <t>18/04/2019</t>
  </si>
  <si>
    <t>25/01/2019</t>
  </si>
  <si>
    <t>05/04/2019</t>
  </si>
  <si>
    <t>23/05/2019</t>
  </si>
  <si>
    <t>04/11/2019</t>
  </si>
  <si>
    <t>08/02/2019</t>
  </si>
  <si>
    <t>25/03/2019</t>
  </si>
  <si>
    <t>06/02/2019</t>
  </si>
  <si>
    <t>28/03/2019</t>
  </si>
  <si>
    <t>02/04/2019</t>
  </si>
  <si>
    <t>14/01/2019</t>
  </si>
  <si>
    <t>21/02/2019</t>
  </si>
  <si>
    <t>09/04/2019</t>
  </si>
  <si>
    <t>Nbr case 2019 - 19</t>
  </si>
  <si>
    <t>Nbr case 2019 - 20</t>
  </si>
  <si>
    <t>Nbr case 2019 - 21</t>
  </si>
  <si>
    <t>Nbr case 2019 - 22</t>
  </si>
  <si>
    <t>Nbr case 2019 - 23</t>
  </si>
  <si>
    <t>Nbr case 2019 - 24</t>
  </si>
  <si>
    <t>MOIS</t>
  </si>
  <si>
    <t>SEMAINES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</si>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</sst>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56"/>
      <name val="Arial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17" fontId="0" fillId="0" borderId="1" xfId="0" applyNumberFormat="1" applyFont="1" applyFill="1" applyBorder="1" applyAlignment="1"/>
    <xf numFmtId="0" fontId="0" fillId="0" borderId="1" xfId="0" applyNumberFormat="1" applyFont="1" applyFill="1" applyBorder="1" applyAlignment="1"/>
    <xf numFmtId="0" fontId="1" fillId="0" borderId="1" xfId="0" applyNumberFormat="1" applyFont="1" applyFill="1" applyBorder="1" applyAlignment="1"/>
    <xf numFmtId="0" fontId="0" fillId="0" borderId="2" xfId="0" applyNumberFormat="1" applyFont="1" applyFill="1" applyBorder="1" applyAlignment="1"/>
    <xf numFmtId="0" fontId="0" fillId="0" borderId="3" xfId="0" applyNumberFormat="1" applyFont="1" applyFill="1" applyBorder="1" applyAlignment="1"/>
    <xf numFmtId="0" fontId="0" fillId="0" borderId="4" xfId="0" applyNumberFormat="1" applyFont="1" applyFill="1" applyBorder="1" applyAlignment="1"/>
    <xf numFmtId="0" fontId="0" fillId="0" borderId="5" xfId="0" applyNumberFormat="1" applyFont="1" applyFill="1" applyBorder="1" applyAlignment="1"/>
    <xf numFmtId="0" fontId="0" fillId="0" borderId="6" xfId="0" applyNumberFormat="1" applyFont="1" applyFill="1" applyBorder="1" applyAlignment="1"/>
    <xf numFmtId="0" fontId="0" fillId="0" borderId="7" xfId="0" applyNumberFormat="1" applyFont="1" applyFill="1" applyBorder="1" applyAlignment="1"/>
    <xf numFmtId="0" fontId="0" fillId="0" borderId="8" xfId="0" applyNumberFormat="1" applyFont="1" applyFill="1" applyBorder="1" applyAlignment="1"/>
    <xf numFmtId="0" fontId="0" fillId="0" borderId="9" xfId="0" applyNumberFormat="1" applyFont="1" applyFill="1" applyBorder="1" applyAlignment="1"/>
    <xf numFmtId="14" fontId="2" fillId="2" borderId="0" xfId="0" applyNumberFormat="1" applyFont="1" applyFill="1" applyBorder="1" applyAlignment="1" applyProtection="1">
      <alignment horizontal="left" vertical="center" wrapText="1"/>
    </xf>
    <xf numFmtId="164" fontId="2" fillId="2" borderId="0" xfId="0" applyNumberFormat="1" applyFont="1" applyFill="1" applyBorder="1" applyAlignment="1" applyProtection="1">
      <alignment horizontal="right" vertical="center" wrapText="1"/>
    </xf>
    <xf numFmtId="0" fontId="2" fillId="2" borderId="0" xfId="0" applyNumberFormat="1" applyFont="1" applyFill="1" applyBorder="1" applyAlignment="1" applyProtection="1">
      <alignment horizontal="left" vertical="center" wrapText="1"/>
    </xf>
    <xf numFmtId="0" fontId="3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13</xdr:row>
      <xdr:rowOff>152400</xdr:rowOff>
    </xdr:from>
    <xdr:to>
      <xdr:col>3</xdr:col>
      <xdr:colOff>371475</xdr:colOff>
      <xdr:row>18</xdr:row>
      <xdr:rowOff>76200</xdr:rowOff>
    </xdr:to>
    <xdr:sp macro="" textlink="">
      <xdr:nvSpPr>
        <xdr:cNvPr id="2" name="Rectangle 1"/>
        <xdr:cNvSpPr/>
      </xdr:nvSpPr>
      <xdr:spPr>
        <a:xfrm>
          <a:off x="552450" y="2676525"/>
          <a:ext cx="2105025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676275</xdr:colOff>
      <xdr:row>4</xdr:row>
      <xdr:rowOff>171450</xdr:rowOff>
    </xdr:from>
    <xdr:to>
      <xdr:col>1</xdr:col>
      <xdr:colOff>676275</xdr:colOff>
      <xdr:row>5</xdr:row>
      <xdr:rowOff>171450</xdr:rowOff>
    </xdr:to>
    <xdr:sp macro="" textlink="">
      <xdr:nvSpPr>
        <xdr:cNvPr id="3" name="Rectangle 2"/>
        <xdr:cNvSpPr/>
      </xdr:nvSpPr>
      <xdr:spPr>
        <a:xfrm>
          <a:off x="676275" y="942975"/>
          <a:ext cx="762000" cy="200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5</xdr:row>
      <xdr:rowOff>104775</xdr:rowOff>
    </xdr:from>
    <xdr:to>
      <xdr:col>4</xdr:col>
      <xdr:colOff>76200</xdr:colOff>
      <xdr:row>5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581150" y="1076325"/>
          <a:ext cx="15430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542925</xdr:colOff>
      <xdr:row>23</xdr:row>
      <xdr:rowOff>19050</xdr:rowOff>
    </xdr:from>
    <xdr:to>
      <xdr:col>3</xdr:col>
      <xdr:colOff>542925</xdr:colOff>
      <xdr:row>28</xdr:row>
      <xdr:rowOff>57150</xdr:rowOff>
    </xdr:to>
    <xdr:sp macro="" textlink="">
      <xdr:nvSpPr>
        <xdr:cNvPr id="6" name="Rectangle 5"/>
        <xdr:cNvSpPr/>
      </xdr:nvSpPr>
      <xdr:spPr>
        <a:xfrm>
          <a:off x="542925" y="4448175"/>
          <a:ext cx="2286000" cy="990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33</xdr:row>
      <xdr:rowOff>9525</xdr:rowOff>
    </xdr:from>
    <xdr:to>
      <xdr:col>3</xdr:col>
      <xdr:colOff>409575</xdr:colOff>
      <xdr:row>38</xdr:row>
      <xdr:rowOff>57150</xdr:rowOff>
    </xdr:to>
    <xdr:sp macro="" textlink="">
      <xdr:nvSpPr>
        <xdr:cNvPr id="7" name="Rectangle 6"/>
        <xdr:cNvSpPr/>
      </xdr:nvSpPr>
      <xdr:spPr>
        <a:xfrm>
          <a:off x="628650" y="6343650"/>
          <a:ext cx="2066925" cy="1000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6</xdr:row>
      <xdr:rowOff>19051</xdr:rowOff>
    </xdr:from>
    <xdr:to>
      <xdr:col>1</xdr:col>
      <xdr:colOff>752475</xdr:colOff>
      <xdr:row>7</xdr:row>
      <xdr:rowOff>47626</xdr:rowOff>
    </xdr:to>
    <xdr:sp macro="" textlink="">
      <xdr:nvSpPr>
        <xdr:cNvPr id="8" name="Rectangle 7"/>
        <xdr:cNvSpPr/>
      </xdr:nvSpPr>
      <xdr:spPr>
        <a:xfrm>
          <a:off x="628650" y="1190626"/>
          <a:ext cx="885825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7</xdr:row>
      <xdr:rowOff>114300</xdr:rowOff>
    </xdr:from>
    <xdr:to>
      <xdr:col>1</xdr:col>
      <xdr:colOff>695325</xdr:colOff>
      <xdr:row>8</xdr:row>
      <xdr:rowOff>95250</xdr:rowOff>
    </xdr:to>
    <xdr:sp macro="" textlink="">
      <xdr:nvSpPr>
        <xdr:cNvPr id="9" name="Rectangle 8"/>
        <xdr:cNvSpPr/>
      </xdr:nvSpPr>
      <xdr:spPr>
        <a:xfrm>
          <a:off x="638175" y="1485900"/>
          <a:ext cx="819150" cy="180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6</xdr:row>
      <xdr:rowOff>104775</xdr:rowOff>
    </xdr:from>
    <xdr:to>
      <xdr:col>4</xdr:col>
      <xdr:colOff>257175</xdr:colOff>
      <xdr:row>6</xdr:row>
      <xdr:rowOff>133350</xdr:rowOff>
    </xdr:to>
    <xdr:cxnSp macro="">
      <xdr:nvCxnSpPr>
        <xdr:cNvPr id="11" name="Connecteur droit avec flèche 10"/>
        <xdr:cNvCxnSpPr/>
      </xdr:nvCxnSpPr>
      <xdr:spPr>
        <a:xfrm flipV="1">
          <a:off x="1628775" y="1276350"/>
          <a:ext cx="1676400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7</xdr:row>
      <xdr:rowOff>133350</xdr:rowOff>
    </xdr:from>
    <xdr:to>
      <xdr:col>4</xdr:col>
      <xdr:colOff>142875</xdr:colOff>
      <xdr:row>8</xdr:row>
      <xdr:rowOff>19050</xdr:rowOff>
    </xdr:to>
    <xdr:cxnSp macro="">
      <xdr:nvCxnSpPr>
        <xdr:cNvPr id="13" name="Connecteur droit avec flèche 12"/>
        <xdr:cNvCxnSpPr/>
      </xdr:nvCxnSpPr>
      <xdr:spPr>
        <a:xfrm flipV="1">
          <a:off x="1638300" y="1504950"/>
          <a:ext cx="1552575" cy="85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14</xdr:row>
      <xdr:rowOff>114300</xdr:rowOff>
    </xdr:from>
    <xdr:to>
      <xdr:col>3</xdr:col>
      <xdr:colOff>123825</xdr:colOff>
      <xdr:row>17</xdr:row>
      <xdr:rowOff>66675</xdr:rowOff>
    </xdr:to>
    <xdr:sp macro="" textlink="">
      <xdr:nvSpPr>
        <xdr:cNvPr id="16" name="ZoneTexte 15"/>
        <xdr:cNvSpPr txBox="1"/>
      </xdr:nvSpPr>
      <xdr:spPr>
        <a:xfrm>
          <a:off x="904875" y="2828925"/>
          <a:ext cx="150495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1</a:t>
          </a:r>
        </a:p>
      </xdr:txBody>
    </xdr:sp>
    <xdr:clientData/>
  </xdr:twoCellAnchor>
  <xdr:twoCellAnchor>
    <xdr:from>
      <xdr:col>1</xdr:col>
      <xdr:colOff>95250</xdr:colOff>
      <xdr:row>24</xdr:row>
      <xdr:rowOff>28575</xdr:rowOff>
    </xdr:from>
    <xdr:to>
      <xdr:col>3</xdr:col>
      <xdr:colOff>333375</xdr:colOff>
      <xdr:row>27</xdr:row>
      <xdr:rowOff>57150</xdr:rowOff>
    </xdr:to>
    <xdr:sp macro="" textlink="">
      <xdr:nvSpPr>
        <xdr:cNvPr id="17" name="ZoneTexte 16"/>
        <xdr:cNvSpPr txBox="1"/>
      </xdr:nvSpPr>
      <xdr:spPr>
        <a:xfrm>
          <a:off x="857250" y="4648200"/>
          <a:ext cx="1762125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3</a:t>
          </a:r>
        </a:p>
      </xdr:txBody>
    </xdr:sp>
    <xdr:clientData/>
  </xdr:twoCellAnchor>
  <xdr:twoCellAnchor>
    <xdr:from>
      <xdr:col>1</xdr:col>
      <xdr:colOff>133350</xdr:colOff>
      <xdr:row>33</xdr:row>
      <xdr:rowOff>142875</xdr:rowOff>
    </xdr:from>
    <xdr:to>
      <xdr:col>3</xdr:col>
      <xdr:colOff>276225</xdr:colOff>
      <xdr:row>37</xdr:row>
      <xdr:rowOff>133350</xdr:rowOff>
    </xdr:to>
    <xdr:sp macro="" textlink="">
      <xdr:nvSpPr>
        <xdr:cNvPr id="18" name="ZoneTexte 17"/>
        <xdr:cNvSpPr txBox="1"/>
      </xdr:nvSpPr>
      <xdr:spPr>
        <a:xfrm>
          <a:off x="895350" y="6477000"/>
          <a:ext cx="16668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5</a:t>
          </a:r>
        </a:p>
      </xdr:txBody>
    </xdr:sp>
    <xdr:clientData/>
  </xdr:twoCellAnchor>
  <xdr:twoCellAnchor>
    <xdr:from>
      <xdr:col>0</xdr:col>
      <xdr:colOff>733425</xdr:colOff>
      <xdr:row>4</xdr:row>
      <xdr:rowOff>190500</xdr:rowOff>
    </xdr:from>
    <xdr:to>
      <xdr:col>1</xdr:col>
      <xdr:colOff>600075</xdr:colOff>
      <xdr:row>5</xdr:row>
      <xdr:rowOff>152400</xdr:rowOff>
    </xdr:to>
    <xdr:sp macro="" textlink="">
      <xdr:nvSpPr>
        <xdr:cNvPr id="19" name="ZoneTexte 18"/>
        <xdr:cNvSpPr txBox="1"/>
      </xdr:nvSpPr>
      <xdr:spPr>
        <a:xfrm>
          <a:off x="733425" y="962025"/>
          <a:ext cx="628650" cy="161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0</xdr:col>
      <xdr:colOff>723900</xdr:colOff>
      <xdr:row>6</xdr:row>
      <xdr:rowOff>47625</xdr:rowOff>
    </xdr:from>
    <xdr:to>
      <xdr:col>1</xdr:col>
      <xdr:colOff>676275</xdr:colOff>
      <xdr:row>7</xdr:row>
      <xdr:rowOff>9525</xdr:rowOff>
    </xdr:to>
    <xdr:sp macro="" textlink="">
      <xdr:nvSpPr>
        <xdr:cNvPr id="20" name="ZoneTexte 19"/>
        <xdr:cNvSpPr txBox="1"/>
      </xdr:nvSpPr>
      <xdr:spPr>
        <a:xfrm>
          <a:off x="723900" y="1219200"/>
          <a:ext cx="714375" cy="161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0</xdr:col>
      <xdr:colOff>742950</xdr:colOff>
      <xdr:row>7</xdr:row>
      <xdr:rowOff>152400</xdr:rowOff>
    </xdr:from>
    <xdr:to>
      <xdr:col>1</xdr:col>
      <xdr:colOff>628650</xdr:colOff>
      <xdr:row>8</xdr:row>
      <xdr:rowOff>57150</xdr:rowOff>
    </xdr:to>
    <xdr:sp macro="" textlink="">
      <xdr:nvSpPr>
        <xdr:cNvPr id="21" name="ZoneTexte 20"/>
        <xdr:cNvSpPr txBox="1"/>
      </xdr:nvSpPr>
      <xdr:spPr>
        <a:xfrm>
          <a:off x="742950" y="1524000"/>
          <a:ext cx="647700" cy="104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0</xdr:col>
      <xdr:colOff>142875</xdr:colOff>
      <xdr:row>0</xdr:row>
      <xdr:rowOff>133350</xdr:rowOff>
    </xdr:from>
    <xdr:to>
      <xdr:col>3</xdr:col>
      <xdr:colOff>104775</xdr:colOff>
      <xdr:row>2</xdr:row>
      <xdr:rowOff>28575</xdr:rowOff>
    </xdr:to>
    <xdr:sp macro="" textlink="">
      <xdr:nvSpPr>
        <xdr:cNvPr id="22" name="ZoneTexte 21"/>
        <xdr:cNvSpPr txBox="1"/>
      </xdr:nvSpPr>
      <xdr:spPr>
        <a:xfrm>
          <a:off x="142875" y="133350"/>
          <a:ext cx="2247900" cy="27622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Ordre des étapes que j'effectue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T1:Y39" totalsRowShown="0">
  <autoFilter ref="T1:Y39"/>
  <tableColumns count="6">
    <tableColumn id="1" name="Date"/>
    <tableColumn id="2" name="Année"/>
    <tableColumn id="3" name="Mois"/>
    <tableColumn id="4" name="Semaine" dataDxfId="0">
      <calculatedColumnFormula>WEEKNUM(Tableau1[[#This Row],[Date]],2)</calculatedColumnFormula>
    </tableColumn>
    <tableColumn id="5" name="REP/DROP"/>
    <tableColumn id="6" name="CR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Y43"/>
  <sheetViews>
    <sheetView tabSelected="1" workbookViewId="0">
      <selection activeCell="F14" sqref="F14"/>
    </sheetView>
  </sheetViews>
  <sheetFormatPr baseColWidth="10" defaultRowHeight="15" x14ac:dyDescent="0.25"/>
  <cols>
    <col min="20" max="25" width="11.5703125" customWidth="1"/>
  </cols>
  <sheetData>
    <row r="1" spans="3:25" x14ac:dyDescent="0.25"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</row>
    <row r="2" spans="3:25" ht="26.25" x14ac:dyDescent="0.4">
      <c r="R2" s="17" t="s">
        <v>61</v>
      </c>
      <c r="T2" s="14" t="s">
        <v>24</v>
      </c>
      <c r="U2" s="15">
        <f>YEAR(Tableau1[[#This Row],[Date]])</f>
        <v>2019</v>
      </c>
      <c r="V2" s="15">
        <f>MONTH(Tableau1[[#This Row],[Date]])</f>
        <v>7</v>
      </c>
      <c r="W2">
        <f>WEEKNUM(Tableau1[[#This Row],[Date]],2)</f>
        <v>29</v>
      </c>
      <c r="X2" s="16" t="s">
        <v>5</v>
      </c>
      <c r="Y2" s="15">
        <v>1</v>
      </c>
    </row>
    <row r="3" spans="3:25" x14ac:dyDescent="0.25">
      <c r="C3" s="1"/>
      <c r="D3" s="1"/>
      <c r="E3" s="1"/>
      <c r="F3" s="1"/>
      <c r="G3" s="2" t="s">
        <v>0</v>
      </c>
      <c r="H3" s="1"/>
      <c r="I3" s="1"/>
      <c r="J3" s="1"/>
      <c r="K3" s="1"/>
      <c r="L3" s="1"/>
      <c r="M3" s="2" t="s">
        <v>1</v>
      </c>
      <c r="N3" s="1"/>
      <c r="O3" s="1"/>
      <c r="P3" s="1"/>
      <c r="T3" s="14" t="s">
        <v>25</v>
      </c>
      <c r="U3" s="15">
        <f>YEAR(Tableau1[[#This Row],[Date]])</f>
        <v>2019</v>
      </c>
      <c r="V3" s="15">
        <f>MONTH(Tableau1[[#This Row],[Date]])</f>
        <v>6</v>
      </c>
      <c r="W3">
        <f>WEEKNUM(Tableau1[[#This Row],[Date]],2)</f>
        <v>25</v>
      </c>
      <c r="X3" s="16" t="s">
        <v>4</v>
      </c>
      <c r="Y3" s="15">
        <v>1</v>
      </c>
    </row>
    <row r="4" spans="3:25" ht="15.75" thickBot="1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T4" s="14" t="s">
        <v>26</v>
      </c>
      <c r="U4" s="15">
        <f>YEAR(Tableau1[[#This Row],[Date]])</f>
        <v>2019</v>
      </c>
      <c r="V4" s="15">
        <f>MONTH(Tableau1[[#This Row],[Date]])</f>
        <v>3</v>
      </c>
      <c r="W4">
        <f>WEEKNUM(Tableau1[[#This Row],[Date]],2)</f>
        <v>13</v>
      </c>
      <c r="X4" s="16" t="s">
        <v>4</v>
      </c>
      <c r="Y4" s="15">
        <v>1</v>
      </c>
    </row>
    <row r="5" spans="3:25" ht="15.75" thickBot="1" x14ac:dyDescent="0.3">
      <c r="C5" s="1"/>
      <c r="D5" s="1"/>
      <c r="E5" s="3">
        <v>43466</v>
      </c>
      <c r="F5" s="3">
        <v>43497</v>
      </c>
      <c r="G5" s="3">
        <v>43525</v>
      </c>
      <c r="H5" s="3">
        <v>43556</v>
      </c>
      <c r="I5" s="3">
        <v>43586</v>
      </c>
      <c r="J5" s="3">
        <v>43617</v>
      </c>
      <c r="K5" s="4">
        <v>19</v>
      </c>
      <c r="L5" s="4">
        <v>20</v>
      </c>
      <c r="M5" s="4">
        <v>21</v>
      </c>
      <c r="N5" s="4">
        <v>22</v>
      </c>
      <c r="O5" s="4">
        <v>23</v>
      </c>
      <c r="P5" s="4">
        <v>24</v>
      </c>
      <c r="T5" s="14" t="s">
        <v>27</v>
      </c>
      <c r="U5" s="15">
        <f>YEAR(Tableau1[[#This Row],[Date]])</f>
        <v>2019</v>
      </c>
      <c r="V5" s="15">
        <f>MONTH(Tableau1[[#This Row],[Date]])</f>
        <v>2</v>
      </c>
      <c r="W5">
        <f>WEEKNUM(Tableau1[[#This Row],[Date]],2)</f>
        <v>8</v>
      </c>
      <c r="X5" s="16" t="s">
        <v>4</v>
      </c>
      <c r="Y5" s="15">
        <v>1</v>
      </c>
    </row>
    <row r="6" spans="3:25" ht="15.75" thickBot="1" x14ac:dyDescent="0.3">
      <c r="C6" s="1"/>
      <c r="D6" s="5" t="s">
        <v>2</v>
      </c>
      <c r="E6" s="6">
        <f>I14/F14%</f>
        <v>66.666666666666671</v>
      </c>
      <c r="F6" s="7">
        <f>I15/F15%</f>
        <v>80</v>
      </c>
      <c r="G6" s="7">
        <f>I16/F16%</f>
        <v>85.714285714285708</v>
      </c>
      <c r="H6" s="7">
        <f>I17/F17%</f>
        <v>100</v>
      </c>
      <c r="I6" s="7">
        <f>I18/F18%</f>
        <v>85.714285714285708</v>
      </c>
      <c r="J6" s="8">
        <f>I19/F19%</f>
        <v>100</v>
      </c>
      <c r="K6" s="9">
        <f>P14/M14%</f>
        <v>100</v>
      </c>
      <c r="L6" s="7">
        <f>P15/M15%</f>
        <v>100</v>
      </c>
      <c r="M6" s="7">
        <f>P16/M16%</f>
        <v>66.666666666666671</v>
      </c>
      <c r="N6" s="7">
        <f>P17/M17%</f>
        <v>100</v>
      </c>
      <c r="O6" s="7">
        <f>P18/M18%</f>
        <v>100</v>
      </c>
      <c r="P6" s="7">
        <f>P19/M19%</f>
        <v>100</v>
      </c>
      <c r="T6" s="14" t="s">
        <v>28</v>
      </c>
      <c r="U6" s="15">
        <f>YEAR(Tableau1[[#This Row],[Date]])</f>
        <v>2019</v>
      </c>
      <c r="V6" s="15">
        <f>MONTH(Tableau1[[#This Row],[Date]])</f>
        <v>3</v>
      </c>
      <c r="W6">
        <f>WEEKNUM(Tableau1[[#This Row],[Date]],2)</f>
        <v>12</v>
      </c>
      <c r="X6" s="16" t="s">
        <v>4</v>
      </c>
      <c r="Y6" s="15">
        <v>1</v>
      </c>
    </row>
    <row r="7" spans="3:25" ht="15.75" thickBot="1" x14ac:dyDescent="0.3">
      <c r="C7" s="1" t="s">
        <v>3</v>
      </c>
      <c r="D7" s="5" t="s">
        <v>4</v>
      </c>
      <c r="E7" s="10">
        <f>I24/F24%</f>
        <v>50</v>
      </c>
      <c r="F7" s="11">
        <f>I25/F25%</f>
        <v>100</v>
      </c>
      <c r="G7" s="11">
        <f>I26/F26%</f>
        <v>80</v>
      </c>
      <c r="H7" s="11">
        <f>I27/F27%</f>
        <v>100</v>
      </c>
      <c r="I7" s="11">
        <f>I28/F28%</f>
        <v>100</v>
      </c>
      <c r="J7" s="12">
        <f>I29/F29%</f>
        <v>100</v>
      </c>
      <c r="K7" s="13">
        <f>P24/M24%</f>
        <v>100</v>
      </c>
      <c r="L7" s="13">
        <f>100</f>
        <v>100</v>
      </c>
      <c r="M7" s="13">
        <f>P26/M26%</f>
        <v>100</v>
      </c>
      <c r="N7" s="13">
        <f>P27/M27%</f>
        <v>100</v>
      </c>
      <c r="O7" s="13">
        <f>P28/M28%</f>
        <v>100</v>
      </c>
      <c r="P7" s="13">
        <f>100</f>
        <v>100</v>
      </c>
      <c r="T7" s="14" t="s">
        <v>29</v>
      </c>
      <c r="U7" s="15">
        <f>YEAR(Tableau1[[#This Row],[Date]])</f>
        <v>2019</v>
      </c>
      <c r="V7" s="15">
        <f>MONTH(Tableau1[[#This Row],[Date]])</f>
        <v>8</v>
      </c>
      <c r="W7">
        <f>WEEKNUM(Tableau1[[#This Row],[Date]],2)</f>
        <v>33</v>
      </c>
      <c r="X7" s="16" t="s">
        <v>4</v>
      </c>
      <c r="Y7" s="15">
        <v>1</v>
      </c>
    </row>
    <row r="8" spans="3:25" ht="15.75" thickBot="1" x14ac:dyDescent="0.3">
      <c r="C8" s="1"/>
      <c r="D8" s="5" t="s">
        <v>5</v>
      </c>
      <c r="E8" s="10">
        <f>I34/F34%</f>
        <v>100</v>
      </c>
      <c r="F8" s="11">
        <f>I35/F36%</f>
        <v>0</v>
      </c>
      <c r="G8" s="11">
        <f>I37/F37%</f>
        <v>100</v>
      </c>
      <c r="H8" s="11">
        <f>I37/F37%</f>
        <v>100</v>
      </c>
      <c r="I8" s="11">
        <f>I38/F38%</f>
        <v>50</v>
      </c>
      <c r="J8" s="12">
        <f>I39/F39%</f>
        <v>100</v>
      </c>
      <c r="K8" s="13">
        <f>0</f>
        <v>0</v>
      </c>
      <c r="L8" s="11">
        <f>P35/M35%</f>
        <v>100</v>
      </c>
      <c r="M8" s="11">
        <f>P36/M36%</f>
        <v>0</v>
      </c>
      <c r="N8" s="11">
        <f>0</f>
        <v>0</v>
      </c>
      <c r="O8" s="11">
        <f>0</f>
        <v>0</v>
      </c>
      <c r="P8" s="11">
        <f>P39/M39%</f>
        <v>100</v>
      </c>
      <c r="T8" s="14" t="s">
        <v>30</v>
      </c>
      <c r="U8" s="15">
        <f>YEAR(Tableau1[[#This Row],[Date]])</f>
        <v>2019</v>
      </c>
      <c r="V8" s="15">
        <f>MONTH(Tableau1[[#This Row],[Date]])</f>
        <v>1</v>
      </c>
      <c r="W8">
        <f>WEEKNUM(Tableau1[[#This Row],[Date]],2)</f>
        <v>3</v>
      </c>
      <c r="X8" s="16" t="s">
        <v>4</v>
      </c>
      <c r="Y8" s="15">
        <v>1</v>
      </c>
    </row>
    <row r="9" spans="3:25" x14ac:dyDescent="0.25">
      <c r="T9" s="14" t="s">
        <v>31</v>
      </c>
      <c r="U9" s="15">
        <f>YEAR(Tableau1[[#This Row],[Date]])</f>
        <v>2019</v>
      </c>
      <c r="V9" s="15">
        <f>MONTH(Tableau1[[#This Row],[Date]])</f>
        <v>5</v>
      </c>
      <c r="W9">
        <f>WEEKNUM(Tableau1[[#This Row],[Date]],2)</f>
        <v>20</v>
      </c>
      <c r="X9" s="16" t="s">
        <v>5</v>
      </c>
      <c r="Y9" s="15">
        <v>1</v>
      </c>
    </row>
    <row r="10" spans="3:25" x14ac:dyDescent="0.25">
      <c r="T10" s="14" t="s">
        <v>32</v>
      </c>
      <c r="U10" s="15">
        <f>YEAR(Tableau1[[#This Row],[Date]])</f>
        <v>2019</v>
      </c>
      <c r="V10" s="15">
        <f>MONTH(Tableau1[[#This Row],[Date]])</f>
        <v>3</v>
      </c>
      <c r="W10">
        <f>WEEKNUM(Tableau1[[#This Row],[Date]],2)</f>
        <v>11</v>
      </c>
      <c r="X10" s="16" t="s">
        <v>4</v>
      </c>
      <c r="Y10" s="15">
        <v>1</v>
      </c>
    </row>
    <row r="11" spans="3:25" x14ac:dyDescent="0.25">
      <c r="G11" t="s">
        <v>59</v>
      </c>
      <c r="N11" t="s">
        <v>60</v>
      </c>
      <c r="T11" s="14">
        <v>43608</v>
      </c>
      <c r="U11" s="15">
        <f>YEAR(Tableau1[[#This Row],[Date]])</f>
        <v>2019</v>
      </c>
      <c r="V11" s="15">
        <f>MONTH(Tableau1[[#This Row],[Date]])</f>
        <v>5</v>
      </c>
      <c r="W11">
        <f>WEEKNUM(Tableau1[[#This Row],[Date]],2)</f>
        <v>21</v>
      </c>
      <c r="X11" s="16" t="s">
        <v>4</v>
      </c>
      <c r="Y11" s="15">
        <v>1</v>
      </c>
    </row>
    <row r="12" spans="3:25" x14ac:dyDescent="0.25">
      <c r="E12" s="2" t="s">
        <v>2</v>
      </c>
      <c r="F12" s="1"/>
      <c r="G12" s="1"/>
      <c r="H12" s="1"/>
      <c r="I12" s="1"/>
      <c r="L12" s="2" t="s">
        <v>2</v>
      </c>
      <c r="M12" s="1"/>
      <c r="N12" s="1"/>
      <c r="O12" s="1"/>
      <c r="P12" s="1"/>
      <c r="T12" s="14" t="s">
        <v>33</v>
      </c>
      <c r="U12" s="15">
        <f>YEAR(Tableau1[[#This Row],[Date]])</f>
        <v>2019</v>
      </c>
      <c r="V12" s="15">
        <f>MONTH(Tableau1[[#This Row],[Date]])</f>
        <v>6</v>
      </c>
      <c r="W12">
        <f>WEEKNUM(Tableau1[[#This Row],[Date]],2)</f>
        <v>25</v>
      </c>
      <c r="X12" s="16" t="s">
        <v>4</v>
      </c>
      <c r="Y12" s="15">
        <v>1</v>
      </c>
    </row>
    <row r="13" spans="3:25" x14ac:dyDescent="0.25">
      <c r="E13" s="1"/>
      <c r="F13" s="1"/>
      <c r="G13" s="1"/>
      <c r="H13" s="1"/>
      <c r="I13" s="1"/>
      <c r="L13" s="1"/>
      <c r="M13" s="1"/>
      <c r="N13" s="1"/>
      <c r="O13" s="1"/>
      <c r="P13" s="1"/>
      <c r="T13" s="14">
        <v>43613</v>
      </c>
      <c r="U13" s="15">
        <f>YEAR(Tableau1[[#This Row],[Date]])</f>
        <v>2019</v>
      </c>
      <c r="V13" s="15">
        <f>MONTH(Tableau1[[#This Row],[Date]])</f>
        <v>5</v>
      </c>
      <c r="W13">
        <f>WEEKNUM(Tableau1[[#This Row],[Date]],2)</f>
        <v>22</v>
      </c>
      <c r="X13" s="16" t="s">
        <v>4</v>
      </c>
      <c r="Y13" s="15">
        <v>1</v>
      </c>
    </row>
    <row r="14" spans="3:25" x14ac:dyDescent="0.25">
      <c r="E14" s="2" t="s">
        <v>6</v>
      </c>
      <c r="F14" s="1">
        <f>COUNTIFS(U:U,"=2019",V:V,"=1")</f>
        <v>3</v>
      </c>
      <c r="G14" s="1"/>
      <c r="H14" s="2" t="s">
        <v>7</v>
      </c>
      <c r="I14" s="1">
        <f>COUNTIFS(U:U,"=2019",V:V,"=1",Y:Y,"=1")</f>
        <v>2</v>
      </c>
      <c r="L14" s="2" t="s">
        <v>53</v>
      </c>
      <c r="M14" s="1">
        <f>COUNTIFS(U:U,"=2019",W:W,"=19")</f>
        <v>1</v>
      </c>
      <c r="N14" s="1"/>
      <c r="O14" s="2" t="s">
        <v>53</v>
      </c>
      <c r="P14" s="1">
        <f>COUNTIFS(U:U,"=2019",W:W,"=19",Y:Y,"=1")</f>
        <v>1</v>
      </c>
      <c r="T14" s="14" t="s">
        <v>34</v>
      </c>
      <c r="U14" s="15">
        <f>YEAR(Tableau1[[#This Row],[Date]])</f>
        <v>2019</v>
      </c>
      <c r="V14" s="15">
        <f>MONTH(Tableau1[[#This Row],[Date]])</f>
        <v>2</v>
      </c>
      <c r="W14">
        <f>WEEKNUM(Tableau1[[#This Row],[Date]],2)</f>
        <v>6</v>
      </c>
      <c r="X14" s="16" t="s">
        <v>4</v>
      </c>
      <c r="Y14" s="15">
        <v>1</v>
      </c>
    </row>
    <row r="15" spans="3:25" x14ac:dyDescent="0.25">
      <c r="E15" s="2" t="s">
        <v>8</v>
      </c>
      <c r="F15" s="1">
        <f>COUNTIFS(U:U,"=2019",V:V,"=2")</f>
        <v>5</v>
      </c>
      <c r="G15" s="1"/>
      <c r="H15" s="2" t="s">
        <v>9</v>
      </c>
      <c r="I15" s="1">
        <f>COUNTIFS(U:U,"=2019",V:V,"=2",Y:Y,"=1")</f>
        <v>4</v>
      </c>
      <c r="L15" s="2" t="s">
        <v>54</v>
      </c>
      <c r="M15" s="1">
        <f>COUNTIFS(U:U,"=2019",W:W,"=20")</f>
        <v>1</v>
      </c>
      <c r="N15" s="1"/>
      <c r="O15" s="2" t="s">
        <v>54</v>
      </c>
      <c r="P15" s="1">
        <f>COUNTIFS(U:U,"=2019",W:W,"=20",Y:Y,"=1")</f>
        <v>1</v>
      </c>
      <c r="T15" s="14">
        <v>43149</v>
      </c>
      <c r="U15" s="15">
        <f>YEAR(Tableau1[[#This Row],[Date]])</f>
        <v>2018</v>
      </c>
      <c r="V15" s="15">
        <f>MONTH(Tableau1[[#This Row],[Date]])</f>
        <v>2</v>
      </c>
      <c r="W15">
        <f>WEEKNUM(Tableau1[[#This Row],[Date]],2)</f>
        <v>7</v>
      </c>
      <c r="X15" s="16" t="s">
        <v>5</v>
      </c>
      <c r="Y15" s="15">
        <v>0</v>
      </c>
    </row>
    <row r="16" spans="3:25" x14ac:dyDescent="0.25">
      <c r="E16" s="2" t="s">
        <v>10</v>
      </c>
      <c r="F16" s="1">
        <f>COUNTIFS(U:U,"=2019",V:V,"=3")</f>
        <v>7</v>
      </c>
      <c r="G16" s="1"/>
      <c r="H16" s="2" t="s">
        <v>11</v>
      </c>
      <c r="I16" s="1">
        <f>COUNTIFS(U:U,"=2019",V:V,"=3",Y:Y,"=1")</f>
        <v>6</v>
      </c>
      <c r="L16" s="2" t="s">
        <v>55</v>
      </c>
      <c r="M16" s="1">
        <f>COUNTIFS(U:U,"=2019",W:W,"=21")</f>
        <v>3</v>
      </c>
      <c r="N16" s="1"/>
      <c r="O16" s="2" t="s">
        <v>55</v>
      </c>
      <c r="P16" s="1">
        <f>COUNTIFS(U:U,"=2019",W:W,"=21",Y:Y,"=1")</f>
        <v>2</v>
      </c>
      <c r="T16" s="14">
        <v>43631</v>
      </c>
      <c r="U16" s="15">
        <f>YEAR(Tableau1[[#This Row],[Date]])</f>
        <v>2019</v>
      </c>
      <c r="V16" s="15">
        <f>MONTH(Tableau1[[#This Row],[Date]])</f>
        <v>6</v>
      </c>
      <c r="W16">
        <f>WEEKNUM(Tableau1[[#This Row],[Date]],2)</f>
        <v>24</v>
      </c>
      <c r="X16" s="16" t="s">
        <v>5</v>
      </c>
      <c r="Y16" s="15">
        <v>1</v>
      </c>
    </row>
    <row r="17" spans="5:25" x14ac:dyDescent="0.25">
      <c r="E17" s="2" t="s">
        <v>12</v>
      </c>
      <c r="F17" s="1">
        <f>COUNTIFS(U:U,"=2019",V:V,"=4")</f>
        <v>4</v>
      </c>
      <c r="G17" s="1"/>
      <c r="H17" s="2" t="s">
        <v>13</v>
      </c>
      <c r="I17" s="1">
        <f>COUNTIFS(U:U,"=2019",V:V,"=4",Y:Y,"=1")</f>
        <v>4</v>
      </c>
      <c r="L17" s="2" t="s">
        <v>56</v>
      </c>
      <c r="M17" s="1">
        <f>COUNTIFS(U:U,"=2019",W:W,"=22")</f>
        <v>1</v>
      </c>
      <c r="N17" s="1"/>
      <c r="O17" s="2" t="s">
        <v>56</v>
      </c>
      <c r="P17" s="1">
        <f>COUNTIFS(U:U,"=2019",W:W,"=22",Y:Y,"=1")</f>
        <v>1</v>
      </c>
      <c r="T17" s="14">
        <v>43107</v>
      </c>
      <c r="U17" s="15">
        <f>YEAR(Tableau1[[#This Row],[Date]])</f>
        <v>2018</v>
      </c>
      <c r="V17" s="15">
        <f>MONTH(Tableau1[[#This Row],[Date]])</f>
        <v>1</v>
      </c>
      <c r="W17">
        <f>WEEKNUM(Tableau1[[#This Row],[Date]],2)</f>
        <v>1</v>
      </c>
      <c r="X17" s="16" t="s">
        <v>4</v>
      </c>
      <c r="Y17" s="15">
        <v>1</v>
      </c>
    </row>
    <row r="18" spans="5:25" x14ac:dyDescent="0.25">
      <c r="E18" s="2" t="s">
        <v>14</v>
      </c>
      <c r="F18" s="1">
        <f>COUNTIFS(U:U,"=2019",V:V,"=5")</f>
        <v>7</v>
      </c>
      <c r="G18" s="1"/>
      <c r="H18" s="2" t="s">
        <v>15</v>
      </c>
      <c r="I18" s="1">
        <f>COUNTIFS(U:U,"=2019",V:V,"=5",Y:Y,"=1")</f>
        <v>6</v>
      </c>
      <c r="L18" s="2" t="s">
        <v>57</v>
      </c>
      <c r="M18" s="1">
        <f>COUNTIFS(U:U,"=2019",W:W,"=23")</f>
        <v>1</v>
      </c>
      <c r="N18" s="1"/>
      <c r="O18" s="2" t="s">
        <v>57</v>
      </c>
      <c r="P18" s="1">
        <f>COUNTIFS(U:U,"=2019",W:W,"=23",Y:Y,"=1")</f>
        <v>1</v>
      </c>
      <c r="T18" s="14">
        <v>43242</v>
      </c>
      <c r="U18" s="15">
        <f>YEAR(Tableau1[[#This Row],[Date]])</f>
        <v>2018</v>
      </c>
      <c r="V18" s="15">
        <f>MONTH(Tableau1[[#This Row],[Date]])</f>
        <v>5</v>
      </c>
      <c r="W18">
        <f>WEEKNUM(Tableau1[[#This Row],[Date]],2)</f>
        <v>21</v>
      </c>
      <c r="X18" s="16" t="s">
        <v>5</v>
      </c>
      <c r="Y18" s="15">
        <v>0</v>
      </c>
    </row>
    <row r="19" spans="5:25" x14ac:dyDescent="0.25">
      <c r="E19" s="2" t="s">
        <v>16</v>
      </c>
      <c r="F19" s="1">
        <f>COUNTIFS(U:U,"=2019",V:V,"=6")</f>
        <v>5</v>
      </c>
      <c r="G19" s="1"/>
      <c r="H19" s="2" t="s">
        <v>17</v>
      </c>
      <c r="I19" s="1">
        <f>COUNTIFS(U:U,"=2019",V:V,"=6",Y:Y,"=1")</f>
        <v>5</v>
      </c>
      <c r="L19" s="2" t="s">
        <v>58</v>
      </c>
      <c r="M19" s="1">
        <f>COUNTIFS(U:U,"=2019",W:W,"=24")</f>
        <v>1</v>
      </c>
      <c r="N19" s="1"/>
      <c r="O19" s="2" t="s">
        <v>58</v>
      </c>
      <c r="P19" s="1">
        <f>COUNTIFS(U:U,"=2019",W:W,"=24",Y:Y,"=1")</f>
        <v>1</v>
      </c>
      <c r="T19" s="14" t="s">
        <v>35</v>
      </c>
      <c r="U19" s="15">
        <f>YEAR(Tableau1[[#This Row],[Date]])</f>
        <v>2019</v>
      </c>
      <c r="V19" s="15">
        <f>MONTH(Tableau1[[#This Row],[Date]])</f>
        <v>3</v>
      </c>
      <c r="W19">
        <f>WEEKNUM(Tableau1[[#This Row],[Date]],2)</f>
        <v>12</v>
      </c>
      <c r="X19" s="16" t="s">
        <v>5</v>
      </c>
      <c r="Y19" s="15">
        <v>1</v>
      </c>
    </row>
    <row r="20" spans="5:25" x14ac:dyDescent="0.25">
      <c r="E20" s="1"/>
      <c r="F20" s="1"/>
      <c r="G20" s="1"/>
      <c r="H20" s="1"/>
      <c r="I20" s="1"/>
      <c r="L20" s="2"/>
      <c r="M20" s="1"/>
      <c r="N20" s="1"/>
      <c r="O20" s="2"/>
      <c r="P20" s="1"/>
      <c r="T20" s="14">
        <v>43620</v>
      </c>
      <c r="U20" s="15">
        <f>YEAR(Tableau1[[#This Row],[Date]])</f>
        <v>2019</v>
      </c>
      <c r="V20" s="15">
        <f>MONTH(Tableau1[[#This Row],[Date]])</f>
        <v>6</v>
      </c>
      <c r="W20">
        <f>WEEKNUM(Tableau1[[#This Row],[Date]],2)</f>
        <v>23</v>
      </c>
      <c r="X20" s="16" t="s">
        <v>4</v>
      </c>
      <c r="Y20" s="15">
        <v>1</v>
      </c>
    </row>
    <row r="21" spans="5:25" x14ac:dyDescent="0.25">
      <c r="E21" s="1"/>
      <c r="F21" s="1"/>
      <c r="G21" s="1"/>
      <c r="H21" s="1"/>
      <c r="I21" s="1"/>
      <c r="L21" s="2"/>
      <c r="M21" s="1"/>
      <c r="N21" s="1"/>
      <c r="O21" s="2"/>
      <c r="P21" s="1"/>
      <c r="T21" s="14" t="s">
        <v>36</v>
      </c>
      <c r="U21" s="15">
        <f>YEAR(Tableau1[[#This Row],[Date]])</f>
        <v>2019</v>
      </c>
      <c r="V21" s="15">
        <f>MONTH(Tableau1[[#This Row],[Date]])</f>
        <v>6</v>
      </c>
      <c r="W21">
        <f>WEEKNUM(Tableau1[[#This Row],[Date]],2)</f>
        <v>26</v>
      </c>
      <c r="X21" s="16" t="s">
        <v>5</v>
      </c>
      <c r="Y21" s="15">
        <v>1</v>
      </c>
    </row>
    <row r="22" spans="5:25" x14ac:dyDescent="0.25">
      <c r="E22" s="2" t="s">
        <v>4</v>
      </c>
      <c r="F22" s="1"/>
      <c r="G22" s="1"/>
      <c r="H22" s="1"/>
      <c r="I22" s="1"/>
      <c r="L22" s="2" t="s">
        <v>4</v>
      </c>
      <c r="M22" s="1"/>
      <c r="N22" s="1"/>
      <c r="O22" s="1"/>
      <c r="P22" s="1"/>
      <c r="T22" s="14" t="s">
        <v>37</v>
      </c>
      <c r="U22" s="15">
        <f>YEAR(Tableau1[[#This Row],[Date]])</f>
        <v>2019</v>
      </c>
      <c r="V22" s="15">
        <f>MONTH(Tableau1[[#This Row],[Date]])</f>
        <v>3</v>
      </c>
      <c r="W22">
        <f>WEEKNUM(Tableau1[[#This Row],[Date]],2)</f>
        <v>11</v>
      </c>
      <c r="X22" s="16" t="s">
        <v>4</v>
      </c>
      <c r="Y22" s="15">
        <v>1</v>
      </c>
    </row>
    <row r="23" spans="5:25" x14ac:dyDescent="0.25">
      <c r="E23" s="1"/>
      <c r="F23" s="1"/>
      <c r="G23" s="1"/>
      <c r="H23" s="1"/>
      <c r="I23" s="1"/>
      <c r="L23" s="1"/>
      <c r="M23" s="1"/>
      <c r="N23" s="1"/>
      <c r="O23" s="1"/>
      <c r="P23" s="1"/>
      <c r="T23" s="14" t="s">
        <v>38</v>
      </c>
      <c r="U23" s="15">
        <f>YEAR(Tableau1[[#This Row],[Date]])</f>
        <v>2019</v>
      </c>
      <c r="V23" s="15">
        <f>MONTH(Tableau1[[#This Row],[Date]])</f>
        <v>5</v>
      </c>
      <c r="W23">
        <f>WEEKNUM(Tableau1[[#This Row],[Date]],2)</f>
        <v>18</v>
      </c>
      <c r="X23" s="16" t="s">
        <v>4</v>
      </c>
      <c r="Y23" s="15">
        <v>1</v>
      </c>
    </row>
    <row r="24" spans="5:25" x14ac:dyDescent="0.25">
      <c r="E24" s="2" t="s">
        <v>6</v>
      </c>
      <c r="F24" s="1">
        <f>COUNTIFS(U:U,"=2019",V:V,"=1",X:X,"=REP")</f>
        <v>2</v>
      </c>
      <c r="G24" s="1"/>
      <c r="H24" s="2" t="s">
        <v>7</v>
      </c>
      <c r="I24" s="1">
        <f>COUNTIFS(U:U,"=2019",V:V,"=1",X:X,"=REP",Y:Y,"=1")</f>
        <v>1</v>
      </c>
      <c r="L24" s="2" t="s">
        <v>53</v>
      </c>
      <c r="M24" s="1">
        <f>COUNTIFS(U:U,"=2019",W:W,"=19",X:X,"=REP")</f>
        <v>1</v>
      </c>
      <c r="N24" s="1"/>
      <c r="O24" s="2" t="s">
        <v>53</v>
      </c>
      <c r="P24" s="1">
        <f>COUNTIFS(U:U,"=2019",W:W,"=19",Y:Y,"=1",X:X,"=REP")</f>
        <v>1</v>
      </c>
      <c r="T24" s="14">
        <v>43185</v>
      </c>
      <c r="U24" s="15">
        <f>YEAR(Tableau1[[#This Row],[Date]])</f>
        <v>2018</v>
      </c>
      <c r="V24" s="15">
        <f>MONTH(Tableau1[[#This Row],[Date]])</f>
        <v>3</v>
      </c>
      <c r="W24">
        <f>WEEKNUM(Tableau1[[#This Row],[Date]],2)</f>
        <v>13</v>
      </c>
      <c r="X24" s="16" t="s">
        <v>5</v>
      </c>
      <c r="Y24" s="15">
        <v>1</v>
      </c>
    </row>
    <row r="25" spans="5:25" x14ac:dyDescent="0.25">
      <c r="E25" s="2" t="s">
        <v>8</v>
      </c>
      <c r="F25" s="1">
        <f>COUNTIFS(U:U,"=2019",V:V,"=2",X:X,"=REP")</f>
        <v>4</v>
      </c>
      <c r="G25" s="1"/>
      <c r="H25" s="2" t="s">
        <v>9</v>
      </c>
      <c r="I25" s="1">
        <f>COUNTIFS(U:U,"=2019",V:V,"=2",X:X,"=REP",Y:Y,"=1")</f>
        <v>4</v>
      </c>
      <c r="L25" s="2" t="s">
        <v>54</v>
      </c>
      <c r="M25" s="1">
        <f>COUNTIFS(U:U,"=2019",W:W,"=20",X:X,"=REP")</f>
        <v>0</v>
      </c>
      <c r="N25" s="1"/>
      <c r="O25" s="2" t="s">
        <v>54</v>
      </c>
      <c r="P25" s="1">
        <f>COUNTIFS(U:U,"=2019",W:W,"=20",Y:Y,"=1",X:X,"=REP")</f>
        <v>0</v>
      </c>
      <c r="T25" s="14" t="s">
        <v>39</v>
      </c>
      <c r="U25" s="15">
        <f>YEAR(Tableau1[[#This Row],[Date]])</f>
        <v>2019</v>
      </c>
      <c r="V25" s="15">
        <f>MONTH(Tableau1[[#This Row],[Date]])</f>
        <v>5</v>
      </c>
      <c r="W25">
        <f>WEEKNUM(Tableau1[[#This Row],[Date]],2)</f>
        <v>21</v>
      </c>
      <c r="X25" s="16" t="s">
        <v>4</v>
      </c>
      <c r="Y25" s="15">
        <v>1</v>
      </c>
    </row>
    <row r="26" spans="5:25" x14ac:dyDescent="0.25">
      <c r="E26" s="2" t="s">
        <v>10</v>
      </c>
      <c r="F26" s="1">
        <f>COUNTIFS(U:U,"=2019",V:V,"=3",X:X,"=REP")</f>
        <v>5</v>
      </c>
      <c r="G26" s="1"/>
      <c r="H26" s="2" t="s">
        <v>11</v>
      </c>
      <c r="I26" s="1">
        <f>COUNTIFS(U:U,"=2019",V:V,"=3",X:X,"=REP",Y:Y,"=1")</f>
        <v>4</v>
      </c>
      <c r="L26" s="2" t="s">
        <v>55</v>
      </c>
      <c r="M26" s="1">
        <f>COUNTIFS(U:U,"=2019",W:W,"=21",X:X,"=REP")</f>
        <v>2</v>
      </c>
      <c r="N26" s="1"/>
      <c r="O26" s="2" t="s">
        <v>55</v>
      </c>
      <c r="P26" s="1">
        <f>COUNTIFS(U:U,"=2019",W:W,"=21",Y:Y,"=1",X:X,"=REP")</f>
        <v>2</v>
      </c>
      <c r="T26" s="14" t="s">
        <v>40</v>
      </c>
      <c r="U26" s="15">
        <f>YEAR(Tableau1[[#This Row],[Date]])</f>
        <v>2019</v>
      </c>
      <c r="V26" s="15">
        <f>MONTH(Tableau1[[#This Row],[Date]])</f>
        <v>4</v>
      </c>
      <c r="W26">
        <f>WEEKNUM(Tableau1[[#This Row],[Date]],2)</f>
        <v>16</v>
      </c>
      <c r="X26" s="16" t="s">
        <v>5</v>
      </c>
      <c r="Y26" s="15">
        <v>1</v>
      </c>
    </row>
    <row r="27" spans="5:25" x14ac:dyDescent="0.25">
      <c r="E27" s="2" t="s">
        <v>12</v>
      </c>
      <c r="F27" s="1">
        <f>COUNTIFS(U:U,"=2019",V:V,"=4",X:X,"=REP")</f>
        <v>2</v>
      </c>
      <c r="G27" s="1"/>
      <c r="H27" s="2" t="s">
        <v>13</v>
      </c>
      <c r="I27" s="1">
        <f>COUNTIFS(U:U,"=2019",V:V,"=4",X:X,"=REP",Y:Y,"=1")</f>
        <v>2</v>
      </c>
      <c r="L27" s="2" t="s">
        <v>56</v>
      </c>
      <c r="M27" s="1">
        <f>COUNTIFS(U:U,"=2019",W:W,"=22",X:X,"=REP")</f>
        <v>1</v>
      </c>
      <c r="N27" s="1"/>
      <c r="O27" s="2" t="s">
        <v>56</v>
      </c>
      <c r="P27" s="1">
        <f>COUNTIFS(U:U,"=2019",W:W,"=22",Y:Y,"=1",X:X,"=REP")</f>
        <v>1</v>
      </c>
      <c r="T27" s="14" t="s">
        <v>41</v>
      </c>
      <c r="U27" s="15">
        <f>YEAR(Tableau1[[#This Row],[Date]])</f>
        <v>2019</v>
      </c>
      <c r="V27" s="15">
        <f>MONTH(Tableau1[[#This Row],[Date]])</f>
        <v>1</v>
      </c>
      <c r="W27">
        <f>WEEKNUM(Tableau1[[#This Row],[Date]],2)</f>
        <v>4</v>
      </c>
      <c r="X27" s="16" t="s">
        <v>4</v>
      </c>
      <c r="Y27" s="15">
        <v>0</v>
      </c>
    </row>
    <row r="28" spans="5:25" x14ac:dyDescent="0.25">
      <c r="E28" s="2" t="s">
        <v>14</v>
      </c>
      <c r="F28" s="1">
        <f>COUNTIFS(U:U,"=2019",V:V,"=5",X:X,"=REP")</f>
        <v>5</v>
      </c>
      <c r="G28" s="1"/>
      <c r="H28" s="2" t="s">
        <v>15</v>
      </c>
      <c r="I28" s="1">
        <f>COUNTIFS(U:U,"=2019",V:V,"=5",X:X,"=REP",Y:Y,"=1")</f>
        <v>5</v>
      </c>
      <c r="L28" s="2" t="s">
        <v>57</v>
      </c>
      <c r="M28" s="1">
        <f>COUNTIFS(U:U,"=2019",W:W,"=23",X:X,"=REP")</f>
        <v>1</v>
      </c>
      <c r="N28" s="1"/>
      <c r="O28" s="2" t="s">
        <v>57</v>
      </c>
      <c r="P28" s="1">
        <f>COUNTIFS(U:U,"=2019",W:W,"=23",Y:Y,"=1",X:X,"=REP")</f>
        <v>1</v>
      </c>
      <c r="T28" s="14" t="s">
        <v>42</v>
      </c>
      <c r="U28" s="15">
        <f>YEAR(Tableau1[[#This Row],[Date]])</f>
        <v>2019</v>
      </c>
      <c r="V28" s="15">
        <f>MONTH(Tableau1[[#This Row],[Date]])</f>
        <v>4</v>
      </c>
      <c r="W28">
        <f>WEEKNUM(Tableau1[[#This Row],[Date]],2)</f>
        <v>14</v>
      </c>
      <c r="X28" s="16" t="s">
        <v>4</v>
      </c>
      <c r="Y28" s="15">
        <v>1</v>
      </c>
    </row>
    <row r="29" spans="5:25" x14ac:dyDescent="0.25">
      <c r="E29" s="2" t="s">
        <v>16</v>
      </c>
      <c r="F29" s="1">
        <f>COUNTIFS(U:U,"=2019",V:V,"=6",X:X,"=REP")</f>
        <v>3</v>
      </c>
      <c r="G29" s="1"/>
      <c r="H29" s="2" t="s">
        <v>17</v>
      </c>
      <c r="I29" s="1">
        <f>COUNTIFS(U:U,"=2019",V:V,"=6",X:X,"=REP",Y:Y,"=1")</f>
        <v>3</v>
      </c>
      <c r="L29" s="2" t="s">
        <v>58</v>
      </c>
      <c r="M29" s="1">
        <f>COUNTIFS(U:U,"=2019",W:W,"=24",X:X,"=REP")</f>
        <v>0</v>
      </c>
      <c r="N29" s="1"/>
      <c r="O29" s="2" t="s">
        <v>58</v>
      </c>
      <c r="P29" s="1">
        <f>COUNTIFS(U:U,"=2019",W:W,"=24",Y:Y,"=1",X:X,"=REP")</f>
        <v>0</v>
      </c>
      <c r="T29" s="14" t="s">
        <v>43</v>
      </c>
      <c r="U29" s="15">
        <f>YEAR(Tableau1[[#This Row],[Date]])</f>
        <v>2019</v>
      </c>
      <c r="V29" s="15">
        <f>MONTH(Tableau1[[#This Row],[Date]])</f>
        <v>5</v>
      </c>
      <c r="W29">
        <f>WEEKNUM(Tableau1[[#This Row],[Date]],2)</f>
        <v>21</v>
      </c>
      <c r="X29" s="16" t="s">
        <v>5</v>
      </c>
      <c r="Y29" s="15">
        <v>0</v>
      </c>
    </row>
    <row r="30" spans="5:25" x14ac:dyDescent="0.25">
      <c r="E30" s="2"/>
      <c r="F30" s="1"/>
      <c r="G30" s="1"/>
      <c r="H30" s="2"/>
      <c r="I30" s="1"/>
      <c r="L30" s="2"/>
      <c r="M30" s="1"/>
      <c r="N30" s="1"/>
      <c r="O30" s="2"/>
      <c r="P30" s="1"/>
      <c r="T30" s="14">
        <v>43591</v>
      </c>
      <c r="U30" s="15">
        <f>YEAR(Tableau1[[#This Row],[Date]])</f>
        <v>2019</v>
      </c>
      <c r="V30" s="15">
        <f>MONTH(Tableau1[[#This Row],[Date]])</f>
        <v>5</v>
      </c>
      <c r="W30">
        <f>WEEKNUM(Tableau1[[#This Row],[Date]],2)</f>
        <v>19</v>
      </c>
      <c r="X30" s="16" t="s">
        <v>4</v>
      </c>
      <c r="Y30" s="15">
        <v>1</v>
      </c>
    </row>
    <row r="31" spans="5:25" x14ac:dyDescent="0.25">
      <c r="E31" s="1"/>
      <c r="F31" s="1"/>
      <c r="G31" s="1"/>
      <c r="H31" s="1"/>
      <c r="I31" s="1"/>
      <c r="L31" s="1"/>
      <c r="M31" s="1"/>
      <c r="N31" s="1"/>
      <c r="O31" s="1"/>
      <c r="P31" s="1"/>
      <c r="T31" s="14" t="s">
        <v>44</v>
      </c>
      <c r="U31" s="15">
        <f>YEAR(Tableau1[[#This Row],[Date]])</f>
        <v>2019</v>
      </c>
      <c r="V31" s="15">
        <f>MONTH(Tableau1[[#This Row],[Date]])</f>
        <v>11</v>
      </c>
      <c r="W31">
        <f>WEEKNUM(Tableau1[[#This Row],[Date]],2)</f>
        <v>45</v>
      </c>
      <c r="X31" s="16" t="s">
        <v>5</v>
      </c>
      <c r="Y31" s="15">
        <v>1</v>
      </c>
    </row>
    <row r="32" spans="5:25" x14ac:dyDescent="0.25">
      <c r="E32" s="2" t="s">
        <v>5</v>
      </c>
      <c r="F32" s="1"/>
      <c r="G32" s="1"/>
      <c r="H32" s="1"/>
      <c r="I32" s="1"/>
      <c r="L32" s="2" t="s">
        <v>5</v>
      </c>
      <c r="M32" s="1"/>
      <c r="N32" s="1"/>
      <c r="O32" s="1"/>
      <c r="P32" s="1"/>
      <c r="T32" s="14" t="s">
        <v>45</v>
      </c>
      <c r="U32" s="15">
        <f>YEAR(Tableau1[[#This Row],[Date]])</f>
        <v>2019</v>
      </c>
      <c r="V32" s="15">
        <f>MONTH(Tableau1[[#This Row],[Date]])</f>
        <v>2</v>
      </c>
      <c r="W32">
        <f>WEEKNUM(Tableau1[[#This Row],[Date]],2)</f>
        <v>6</v>
      </c>
      <c r="X32" s="16" t="s">
        <v>4</v>
      </c>
      <c r="Y32" s="15">
        <v>1</v>
      </c>
    </row>
    <row r="33" spans="5:25" x14ac:dyDescent="0.25">
      <c r="E33" s="1"/>
      <c r="F33" s="1"/>
      <c r="G33" s="1"/>
      <c r="H33" s="1"/>
      <c r="I33" s="1"/>
      <c r="L33" s="1"/>
      <c r="M33" s="1"/>
      <c r="N33" s="1"/>
      <c r="O33" s="1"/>
      <c r="P33" s="1"/>
      <c r="T33" s="14" t="s">
        <v>46</v>
      </c>
      <c r="U33" s="15">
        <f>YEAR(Tableau1[[#This Row],[Date]])</f>
        <v>2019</v>
      </c>
      <c r="V33" s="15">
        <f>MONTH(Tableau1[[#This Row],[Date]])</f>
        <v>3</v>
      </c>
      <c r="W33">
        <f>WEEKNUM(Tableau1[[#This Row],[Date]],2)</f>
        <v>13</v>
      </c>
      <c r="X33" s="16" t="s">
        <v>5</v>
      </c>
      <c r="Y33" s="15">
        <v>1</v>
      </c>
    </row>
    <row r="34" spans="5:25" x14ac:dyDescent="0.25">
      <c r="E34" s="2" t="s">
        <v>6</v>
      </c>
      <c r="F34" s="1">
        <f>COUNTIFS(U:U,"=2019",V:V,"=1",X:X,"=DROP")</f>
        <v>1</v>
      </c>
      <c r="G34" s="1"/>
      <c r="H34" s="2" t="s">
        <v>7</v>
      </c>
      <c r="I34" s="1">
        <f>COUNTIFS(U:U,"=2019",V:V,"=1",X:X,"=DROP",Y:Y,"=1")</f>
        <v>1</v>
      </c>
      <c r="L34" s="2" t="s">
        <v>53</v>
      </c>
      <c r="M34" s="1">
        <f>COUNTIFS(U:U,"=2019",W:W,"=19",X:X,"=DROP")</f>
        <v>0</v>
      </c>
      <c r="N34" s="1"/>
      <c r="O34" s="2" t="s">
        <v>53</v>
      </c>
      <c r="P34" s="1">
        <f>COUNTIFS(U:U,"=2019",W:W,"=19",Y:Y,"=1",X:X,"=DROP")</f>
        <v>0</v>
      </c>
      <c r="T34" s="14" t="s">
        <v>47</v>
      </c>
      <c r="U34" s="15">
        <f>YEAR(Tableau1[[#This Row],[Date]])</f>
        <v>2019</v>
      </c>
      <c r="V34" s="15">
        <f>MONTH(Tableau1[[#This Row],[Date]])</f>
        <v>2</v>
      </c>
      <c r="W34">
        <f>WEEKNUM(Tableau1[[#This Row],[Date]],2)</f>
        <v>6</v>
      </c>
      <c r="X34" s="16" t="s">
        <v>5</v>
      </c>
      <c r="Y34" s="15">
        <v>0</v>
      </c>
    </row>
    <row r="35" spans="5:25" x14ac:dyDescent="0.25">
      <c r="E35" s="2" t="s">
        <v>8</v>
      </c>
      <c r="F35" s="1">
        <f>COUNTIFS(U:U,"=2019",V:V,"=2",X:X,"=DROP")</f>
        <v>1</v>
      </c>
      <c r="G35" s="1"/>
      <c r="H35" s="2" t="s">
        <v>9</v>
      </c>
      <c r="I35" s="1">
        <f>COUNTIFS(U:U,"=2019",V:V,"=2",X:X,"=DROP",Y:Y,"=1")</f>
        <v>0</v>
      </c>
      <c r="L35" s="2" t="s">
        <v>54</v>
      </c>
      <c r="M35" s="1">
        <f>COUNTIFS(U:U,"=2019",W:W,"=20",X:X,"=DROP")</f>
        <v>1</v>
      </c>
      <c r="N35" s="1"/>
      <c r="O35" s="2" t="s">
        <v>54</v>
      </c>
      <c r="P35" s="1">
        <f>COUNTIFS(U:U,"=2019",W:W,"=20",Y:Y,"=1",X:X,"=DROP")</f>
        <v>1</v>
      </c>
      <c r="T35" s="14" t="s">
        <v>48</v>
      </c>
      <c r="U35" s="15">
        <f>YEAR(Tableau1[[#This Row],[Date]])</f>
        <v>2019</v>
      </c>
      <c r="V35" s="15">
        <f>MONTH(Tableau1[[#This Row],[Date]])</f>
        <v>3</v>
      </c>
      <c r="W35">
        <f>WEEKNUM(Tableau1[[#This Row],[Date]],2)</f>
        <v>13</v>
      </c>
      <c r="X35" s="16" t="s">
        <v>4</v>
      </c>
      <c r="Y35" s="15">
        <v>0</v>
      </c>
    </row>
    <row r="36" spans="5:25" x14ac:dyDescent="0.25">
      <c r="E36" s="2" t="s">
        <v>10</v>
      </c>
      <c r="F36" s="1">
        <f>COUNTIFS(U:U,"=2019",V:V,"=3",X:X,"=DROP")</f>
        <v>2</v>
      </c>
      <c r="G36" s="1"/>
      <c r="H36" s="2" t="s">
        <v>11</v>
      </c>
      <c r="I36" s="1">
        <f>COUNTIFS(U:U,"=2019",V:V,"=3",X:X,"=DROP",Y:Y,"=1")</f>
        <v>2</v>
      </c>
      <c r="L36" s="2" t="s">
        <v>55</v>
      </c>
      <c r="M36" s="1">
        <f>COUNTIFS(U:U,"=2019",W:W,"=21",X:X,"=DROP")</f>
        <v>1</v>
      </c>
      <c r="N36" s="1"/>
      <c r="O36" s="2" t="s">
        <v>55</v>
      </c>
      <c r="P36" s="1">
        <f>COUNTIFS(U:U,"=2019",W:W,"=21",Y:Y,"=1",X:X,"=DROP")</f>
        <v>0</v>
      </c>
      <c r="T36" s="14" t="s">
        <v>49</v>
      </c>
      <c r="U36" s="15">
        <f>YEAR(Tableau1[[#This Row],[Date]])</f>
        <v>2019</v>
      </c>
      <c r="V36" s="15">
        <f>MONTH(Tableau1[[#This Row],[Date]])</f>
        <v>4</v>
      </c>
      <c r="W36">
        <f>WEEKNUM(Tableau1[[#This Row],[Date]],2)</f>
        <v>14</v>
      </c>
      <c r="X36" s="16" t="s">
        <v>4</v>
      </c>
      <c r="Y36" s="15">
        <v>1</v>
      </c>
    </row>
    <row r="37" spans="5:25" x14ac:dyDescent="0.25">
      <c r="E37" s="2" t="s">
        <v>12</v>
      </c>
      <c r="F37" s="1">
        <f>COUNTIFS(U:U,"=2019",V:V,"=4",X:X,"=DROP")</f>
        <v>2</v>
      </c>
      <c r="G37" s="1"/>
      <c r="H37" s="2" t="s">
        <v>13</v>
      </c>
      <c r="I37" s="1">
        <f>COUNTIFS(U:U,"=2019",V:V,"=4",X:X,"=DROP",Y:Y,"=1")</f>
        <v>2</v>
      </c>
      <c r="L37" s="2" t="s">
        <v>56</v>
      </c>
      <c r="M37" s="1">
        <f>COUNTIFS(U:U,"=2019",W:W,"=22",X:X,"=DROP")</f>
        <v>0</v>
      </c>
      <c r="N37" s="1"/>
      <c r="O37" s="2" t="s">
        <v>56</v>
      </c>
      <c r="P37" s="1">
        <f>COUNTIFS(U:U,"=2019",W:W,"=22",Y:Y,"=1",X:X,"=DROP")</f>
        <v>0</v>
      </c>
      <c r="T37" s="14" t="s">
        <v>50</v>
      </c>
      <c r="U37" s="15">
        <f>YEAR(Tableau1[[#This Row],[Date]])</f>
        <v>2019</v>
      </c>
      <c r="V37" s="15">
        <f>MONTH(Tableau1[[#This Row],[Date]])</f>
        <v>1</v>
      </c>
      <c r="W37">
        <f>WEEKNUM(Tableau1[[#This Row],[Date]],2)</f>
        <v>3</v>
      </c>
      <c r="X37" s="16" t="s">
        <v>5</v>
      </c>
      <c r="Y37" s="15">
        <v>1</v>
      </c>
    </row>
    <row r="38" spans="5:25" x14ac:dyDescent="0.25">
      <c r="E38" s="2" t="s">
        <v>14</v>
      </c>
      <c r="F38" s="1">
        <f>COUNTIFS(U:U,"=2019",V:V,"=5",X:X,"=DROP")</f>
        <v>2</v>
      </c>
      <c r="G38" s="1"/>
      <c r="H38" s="2" t="s">
        <v>15</v>
      </c>
      <c r="I38" s="1">
        <f>COUNTIFS(U:U,"=2019",V:V,"=5",X:X,"=DROP",Y:Y,"=1")</f>
        <v>1</v>
      </c>
      <c r="L38" s="2" t="s">
        <v>57</v>
      </c>
      <c r="M38" s="1">
        <f>COUNTIFS(U:U,"=2019",W:W,"=23",X:X,"=DROP")</f>
        <v>0</v>
      </c>
      <c r="N38" s="1"/>
      <c r="O38" s="2" t="s">
        <v>57</v>
      </c>
      <c r="P38" s="1">
        <f>COUNTIFS(U:U,"=2019",W:W,"=23",Y:Y,"=1",X:X,"=DROP")</f>
        <v>0</v>
      </c>
      <c r="T38" s="14" t="s">
        <v>51</v>
      </c>
      <c r="U38" s="15">
        <f>YEAR(Tableau1[[#This Row],[Date]])</f>
        <v>2019</v>
      </c>
      <c r="V38" s="15">
        <f>MONTH(Tableau1[[#This Row],[Date]])</f>
        <v>2</v>
      </c>
      <c r="W38">
        <f>WEEKNUM(Tableau1[[#This Row],[Date]],2)</f>
        <v>8</v>
      </c>
      <c r="X38" s="16" t="s">
        <v>4</v>
      </c>
      <c r="Y38" s="15">
        <v>1</v>
      </c>
    </row>
    <row r="39" spans="5:25" x14ac:dyDescent="0.25">
      <c r="E39" s="2" t="s">
        <v>16</v>
      </c>
      <c r="F39" s="1">
        <f>COUNTIFS(U:U,"=2019",V:V,"=6",X:X,"=DROP")</f>
        <v>2</v>
      </c>
      <c r="G39" s="1"/>
      <c r="H39" s="2" t="s">
        <v>17</v>
      </c>
      <c r="I39" s="1">
        <f>COUNTIFS(U:U,"=2019",V:V,"=6",X:X,"=DROP",Y:Y,"=1")</f>
        <v>2</v>
      </c>
      <c r="L39" s="2" t="s">
        <v>58</v>
      </c>
      <c r="M39" s="1">
        <f>COUNTIFS(U:U,"=2019",W:W,"=24",X:X,"=DROP")</f>
        <v>1</v>
      </c>
      <c r="N39" s="1"/>
      <c r="O39" s="2" t="s">
        <v>58</v>
      </c>
      <c r="P39" s="1">
        <f>COUNTIFS(U:U,"=2019",W:W,"=24",Y:Y,"=1",X:X,"=DROP")</f>
        <v>1</v>
      </c>
      <c r="T39" s="14" t="s">
        <v>52</v>
      </c>
      <c r="U39" s="15">
        <f>YEAR(Tableau1[[#This Row],[Date]])</f>
        <v>2019</v>
      </c>
      <c r="V39" s="15">
        <f>MONTH(Tableau1[[#This Row],[Date]])</f>
        <v>4</v>
      </c>
      <c r="W39">
        <f>WEEKNUM(Tableau1[[#This Row],[Date]],2)</f>
        <v>15</v>
      </c>
      <c r="X39" s="16" t="s">
        <v>5</v>
      </c>
      <c r="Y39" s="15">
        <v>1</v>
      </c>
    </row>
    <row r="40" spans="5:25" x14ac:dyDescent="0.25">
      <c r="E40" s="2"/>
      <c r="F40" s="1"/>
      <c r="G40" s="1"/>
      <c r="H40" s="2"/>
      <c r="I40" s="1"/>
      <c r="L40" s="2"/>
      <c r="M40" s="1"/>
      <c r="N40" s="1"/>
      <c r="O40" s="2"/>
      <c r="P40" s="1"/>
    </row>
    <row r="41" spans="5:25" x14ac:dyDescent="0.25">
      <c r="E41" s="2"/>
      <c r="F41" s="1"/>
      <c r="G41" s="1"/>
      <c r="H41" s="2"/>
      <c r="I41" s="1"/>
      <c r="L41" s="2"/>
      <c r="M41" s="1"/>
      <c r="N41" s="1"/>
      <c r="O41" s="2"/>
      <c r="P41" s="1"/>
    </row>
    <row r="42" spans="5:25" x14ac:dyDescent="0.25">
      <c r="E42" s="2"/>
      <c r="F42" s="1"/>
      <c r="G42" s="1"/>
      <c r="H42" s="2"/>
      <c r="I42" s="1"/>
    </row>
    <row r="43" spans="5:25" x14ac:dyDescent="0.25">
      <c r="E43" s="2"/>
      <c r="F43" s="1"/>
      <c r="G43" s="1"/>
      <c r="H43" s="2"/>
      <c r="I43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2019-06-18T08:50:49Z</dcterms:created>
  <dcterms:modified xsi:type="dcterms:W3CDTF">2019-06-18T09:18:06Z</dcterms:modified>
</cp:coreProperties>
</file>