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64" i="1" l="1"/>
  <c r="M62" i="1"/>
  <c r="L62" i="1"/>
  <c r="K62" i="1"/>
  <c r="J62" i="1"/>
  <c r="I62" i="1"/>
  <c r="H62" i="1"/>
  <c r="G62" i="1"/>
  <c r="F62" i="1"/>
  <c r="E62" i="1"/>
  <c r="D62" i="1"/>
  <c r="C62" i="1"/>
  <c r="B62" i="1"/>
  <c r="M60" i="1"/>
  <c r="L60" i="1"/>
  <c r="K60" i="1"/>
  <c r="J60" i="1"/>
  <c r="I60" i="1"/>
  <c r="H60" i="1"/>
  <c r="G60" i="1"/>
  <c r="F60" i="1"/>
  <c r="E60" i="1"/>
  <c r="D60" i="1"/>
  <c r="C60" i="1"/>
  <c r="B60" i="1"/>
  <c r="M59" i="1"/>
  <c r="M58" i="1" s="1"/>
  <c r="L59" i="1"/>
  <c r="L58" i="1" s="1"/>
  <c r="K59" i="1"/>
  <c r="J59" i="1"/>
  <c r="J58" i="1" s="1"/>
  <c r="I59" i="1"/>
  <c r="I68" i="1" s="1"/>
  <c r="H59" i="1"/>
  <c r="H68" i="1" s="1"/>
  <c r="G59" i="1"/>
  <c r="G68" i="1" s="1"/>
  <c r="F59" i="1"/>
  <c r="F68" i="1" s="1"/>
  <c r="E59" i="1"/>
  <c r="E58" i="1" s="1"/>
  <c r="D59" i="1"/>
  <c r="D68" i="1" s="1"/>
  <c r="C59" i="1"/>
  <c r="B59" i="1"/>
  <c r="B58" i="1" s="1"/>
  <c r="M56" i="1"/>
  <c r="M66" i="1" s="1"/>
  <c r="L56" i="1"/>
  <c r="L66" i="1" s="1"/>
  <c r="K56" i="1"/>
  <c r="K66" i="1" s="1"/>
  <c r="J56" i="1"/>
  <c r="J66" i="1" s="1"/>
  <c r="I56" i="1"/>
  <c r="I66" i="1" s="1"/>
  <c r="H56" i="1"/>
  <c r="H66" i="1" s="1"/>
  <c r="G56" i="1"/>
  <c r="G66" i="1" s="1"/>
  <c r="F56" i="1"/>
  <c r="F66" i="1" s="1"/>
  <c r="E56" i="1"/>
  <c r="E66" i="1" s="1"/>
  <c r="D56" i="1"/>
  <c r="D66" i="1" s="1"/>
  <c r="C56" i="1"/>
  <c r="C66" i="1" s="1"/>
  <c r="B56" i="1"/>
  <c r="B66" i="1" s="1"/>
  <c r="M49" i="1"/>
  <c r="L49" i="1"/>
  <c r="K49" i="1"/>
  <c r="J49" i="1"/>
  <c r="I49" i="1"/>
  <c r="I43" i="1" s="1"/>
  <c r="H49" i="1"/>
  <c r="H43" i="1" s="1"/>
  <c r="G49" i="1"/>
  <c r="G43" i="1" s="1"/>
  <c r="F49" i="1"/>
  <c r="F43" i="1" s="1"/>
  <c r="E49" i="1"/>
  <c r="D49" i="1"/>
  <c r="C49" i="1"/>
  <c r="B49" i="1"/>
  <c r="M47" i="1"/>
  <c r="M64" i="1" s="1"/>
  <c r="L47" i="1"/>
  <c r="L64" i="1" s="1"/>
  <c r="K47" i="1"/>
  <c r="K64" i="1" s="1"/>
  <c r="J47" i="1"/>
  <c r="I47" i="1"/>
  <c r="I64" i="1" s="1"/>
  <c r="H47" i="1"/>
  <c r="H64" i="1" s="1"/>
  <c r="G47" i="1"/>
  <c r="G64" i="1" s="1"/>
  <c r="F47" i="1"/>
  <c r="F64" i="1" s="1"/>
  <c r="E47" i="1"/>
  <c r="E64" i="1" s="1"/>
  <c r="D47" i="1"/>
  <c r="D64" i="1" s="1"/>
  <c r="C47" i="1"/>
  <c r="C64" i="1" s="1"/>
  <c r="B47" i="1"/>
  <c r="M43" i="1"/>
  <c r="L43" i="1"/>
  <c r="K43" i="1"/>
  <c r="J43" i="1"/>
  <c r="E43" i="1"/>
  <c r="D43" i="1"/>
  <c r="C43" i="1"/>
  <c r="B43" i="1"/>
  <c r="M40" i="1"/>
  <c r="L40" i="1"/>
  <c r="K40" i="1"/>
  <c r="K16" i="1" s="1"/>
  <c r="J40" i="1"/>
  <c r="J16" i="1" s="1"/>
  <c r="I40" i="1"/>
  <c r="H40" i="1"/>
  <c r="G40" i="1"/>
  <c r="G16" i="1" s="1"/>
  <c r="F40" i="1"/>
  <c r="E40" i="1"/>
  <c r="D40" i="1"/>
  <c r="C40" i="1"/>
  <c r="C16" i="1" s="1"/>
  <c r="B40" i="1"/>
  <c r="B16" i="1" s="1"/>
  <c r="M37" i="1"/>
  <c r="L37" i="1"/>
  <c r="K37" i="1"/>
  <c r="J37" i="1"/>
  <c r="I37" i="1"/>
  <c r="H37" i="1"/>
  <c r="G37" i="1"/>
  <c r="F37" i="1"/>
  <c r="E37" i="1"/>
  <c r="D37" i="1"/>
  <c r="C37" i="1"/>
  <c r="B37" i="1"/>
  <c r="L24" i="1"/>
  <c r="K24" i="1"/>
  <c r="J24" i="1"/>
  <c r="D24" i="1"/>
  <c r="C24" i="1"/>
  <c r="B24" i="1"/>
  <c r="I23" i="1"/>
  <c r="H23" i="1"/>
  <c r="G23" i="1"/>
  <c r="F23" i="1"/>
  <c r="M22" i="1"/>
  <c r="M23" i="1" s="1"/>
  <c r="L22" i="1"/>
  <c r="L23" i="1" s="1"/>
  <c r="K22" i="1"/>
  <c r="K23" i="1" s="1"/>
  <c r="J22" i="1"/>
  <c r="J23" i="1" s="1"/>
  <c r="I22" i="1"/>
  <c r="H22" i="1"/>
  <c r="G22" i="1"/>
  <c r="F22" i="1"/>
  <c r="E22" i="1"/>
  <c r="E23" i="1" s="1"/>
  <c r="D22" i="1"/>
  <c r="D23" i="1" s="1"/>
  <c r="C22" i="1"/>
  <c r="C23" i="1" s="1"/>
  <c r="B22" i="1"/>
  <c r="B23" i="1" s="1"/>
  <c r="M19" i="1"/>
  <c r="M24" i="1" s="1"/>
  <c r="L19" i="1"/>
  <c r="K19" i="1"/>
  <c r="J19" i="1"/>
  <c r="I19" i="1"/>
  <c r="I24" i="1" s="1"/>
  <c r="H19" i="1"/>
  <c r="G19" i="1"/>
  <c r="F19" i="1"/>
  <c r="F24" i="1" s="1"/>
  <c r="E19" i="1"/>
  <c r="D19" i="1"/>
  <c r="C19" i="1"/>
  <c r="B19" i="1"/>
  <c r="B20" i="1" s="1"/>
  <c r="M17" i="1"/>
  <c r="L17" i="1"/>
  <c r="K17" i="1"/>
  <c r="J17" i="1"/>
  <c r="I17" i="1"/>
  <c r="H17" i="1"/>
  <c r="G17" i="1"/>
  <c r="F17" i="1"/>
  <c r="E17" i="1"/>
  <c r="E24" i="1" s="1"/>
  <c r="D17" i="1"/>
  <c r="C17" i="1"/>
  <c r="B17" i="1"/>
  <c r="M16" i="1"/>
  <c r="L16" i="1"/>
  <c r="I16" i="1"/>
  <c r="H16" i="1"/>
  <c r="F16" i="1"/>
  <c r="E16" i="1"/>
  <c r="D16" i="1"/>
  <c r="M14" i="1"/>
  <c r="L14" i="1"/>
  <c r="K14" i="1"/>
  <c r="J14" i="1"/>
  <c r="I14" i="1"/>
  <c r="H14" i="1"/>
  <c r="G14" i="1"/>
  <c r="F14" i="1"/>
  <c r="E14" i="1"/>
  <c r="D14" i="1"/>
  <c r="C14" i="1"/>
  <c r="B14" i="1"/>
  <c r="J9" i="1"/>
  <c r="I9" i="1"/>
  <c r="I18" i="1" s="1"/>
  <c r="H9" i="1"/>
  <c r="G9" i="1"/>
  <c r="G18" i="1" s="1"/>
  <c r="G25" i="1" s="1"/>
  <c r="B9" i="1"/>
  <c r="M8" i="1"/>
  <c r="M9" i="1" s="1"/>
  <c r="M18" i="1" s="1"/>
  <c r="L8" i="1"/>
  <c r="K8" i="1"/>
  <c r="J8" i="1"/>
  <c r="I8" i="1"/>
  <c r="H8" i="1"/>
  <c r="G8" i="1"/>
  <c r="F8" i="1"/>
  <c r="F9" i="1" s="1"/>
  <c r="F18" i="1" s="1"/>
  <c r="F6" i="1" s="1"/>
  <c r="E8" i="1"/>
  <c r="E9" i="1" s="1"/>
  <c r="E18" i="1" s="1"/>
  <c r="D8" i="1"/>
  <c r="C8" i="1"/>
  <c r="B8" i="1"/>
  <c r="J33" i="1" l="1"/>
  <c r="J12" i="1" s="1"/>
  <c r="I58" i="1"/>
  <c r="I35" i="1" s="1"/>
  <c r="H58" i="1"/>
  <c r="H35" i="1" s="1"/>
  <c r="B35" i="1"/>
  <c r="B68" i="1"/>
  <c r="J68" i="1"/>
  <c r="G58" i="1"/>
  <c r="G35" i="1" s="1"/>
  <c r="F58" i="1"/>
  <c r="F35" i="1" s="1"/>
  <c r="K42" i="1"/>
  <c r="I42" i="1"/>
  <c r="H18" i="1"/>
  <c r="F42" i="1"/>
  <c r="I6" i="1"/>
  <c r="I25" i="1"/>
  <c r="I28" i="1" s="1"/>
  <c r="I29" i="1" s="1"/>
  <c r="G24" i="1"/>
  <c r="G28" i="1" s="1"/>
  <c r="G29" i="1" s="1"/>
  <c r="G42" i="1"/>
  <c r="C58" i="1"/>
  <c r="C68" i="1"/>
  <c r="K68" i="1"/>
  <c r="K58" i="1"/>
  <c r="J18" i="1"/>
  <c r="J25" i="1" s="1"/>
  <c r="J28" i="1" s="1"/>
  <c r="J29" i="1" s="1"/>
  <c r="H24" i="1"/>
  <c r="B42" i="1"/>
  <c r="L33" i="1"/>
  <c r="L12" i="1" s="1"/>
  <c r="L35" i="1"/>
  <c r="C9" i="1"/>
  <c r="C18" i="1" s="1"/>
  <c r="K9" i="1"/>
  <c r="K18" i="1" s="1"/>
  <c r="K25" i="1" s="1"/>
  <c r="K28" i="1" s="1"/>
  <c r="K29" i="1" s="1"/>
  <c r="C42" i="1"/>
  <c r="E35" i="1"/>
  <c r="E33" i="1"/>
  <c r="E12" i="1" s="1"/>
  <c r="M35" i="1"/>
  <c r="M33" i="1"/>
  <c r="M12" i="1" s="1"/>
  <c r="L9" i="1"/>
  <c r="L18" i="1" s="1"/>
  <c r="D9" i="1"/>
  <c r="D18" i="1" s="1"/>
  <c r="M25" i="1"/>
  <c r="M28" i="1" s="1"/>
  <c r="M29" i="1" s="1"/>
  <c r="M6" i="1"/>
  <c r="E25" i="1"/>
  <c r="E28" i="1" s="1"/>
  <c r="E29" i="1" s="1"/>
  <c r="E6" i="1"/>
  <c r="F7" i="1"/>
  <c r="F4" i="1" s="1"/>
  <c r="B18" i="1"/>
  <c r="B25" i="1" s="1"/>
  <c r="B28" i="1" s="1"/>
  <c r="B29" i="1" s="1"/>
  <c r="F25" i="1"/>
  <c r="F28" i="1" s="1"/>
  <c r="F29" i="1" s="1"/>
  <c r="B33" i="1"/>
  <c r="B12" i="1" s="1"/>
  <c r="J35" i="1"/>
  <c r="J34" i="1" s="1"/>
  <c r="J51" i="1" s="1"/>
  <c r="J44" i="1"/>
  <c r="J42" i="1"/>
  <c r="H42" i="1"/>
  <c r="H50" i="1" s="1"/>
  <c r="B64" i="1"/>
  <c r="F70" i="1"/>
  <c r="E68" i="1"/>
  <c r="M68" i="1"/>
  <c r="G6" i="1"/>
  <c r="L68" i="1"/>
  <c r="H33" i="1"/>
  <c r="H12" i="1" s="1"/>
  <c r="D42" i="1"/>
  <c r="L42" i="1"/>
  <c r="D58" i="1"/>
  <c r="E42" i="1"/>
  <c r="M42" i="1"/>
  <c r="I50" i="1" l="1"/>
  <c r="I33" i="1"/>
  <c r="I12" i="1" s="1"/>
  <c r="B50" i="1"/>
  <c r="G33" i="1"/>
  <c r="G12" i="1" s="1"/>
  <c r="M50" i="1"/>
  <c r="L50" i="1"/>
  <c r="H34" i="1"/>
  <c r="H51" i="1" s="1"/>
  <c r="H52" i="1" s="1"/>
  <c r="H53" i="1" s="1"/>
  <c r="G50" i="1"/>
  <c r="F33" i="1"/>
  <c r="F12" i="1" s="1"/>
  <c r="E50" i="1"/>
  <c r="J6" i="1"/>
  <c r="J7" i="1" s="1"/>
  <c r="J4" i="1" s="1"/>
  <c r="D35" i="1"/>
  <c r="D50" i="1" s="1"/>
  <c r="D33" i="1"/>
  <c r="K33" i="1"/>
  <c r="K35" i="1"/>
  <c r="K34" i="1" s="1"/>
  <c r="K51" i="1" s="1"/>
  <c r="H6" i="1"/>
  <c r="H25" i="1"/>
  <c r="H28" i="1" s="1"/>
  <c r="H29" i="1" s="1"/>
  <c r="M70" i="1"/>
  <c r="M7" i="1"/>
  <c r="M4" i="1" s="1"/>
  <c r="C25" i="1"/>
  <c r="C28" i="1" s="1"/>
  <c r="C29" i="1" s="1"/>
  <c r="C6" i="1"/>
  <c r="H44" i="1"/>
  <c r="B34" i="1"/>
  <c r="B51" i="1" s="1"/>
  <c r="E34" i="1"/>
  <c r="E51" i="1" s="1"/>
  <c r="C35" i="1"/>
  <c r="C33" i="1"/>
  <c r="K6" i="1"/>
  <c r="G70" i="1"/>
  <c r="G7" i="1"/>
  <c r="G4" i="1" s="1"/>
  <c r="J50" i="1"/>
  <c r="J52" i="1" s="1"/>
  <c r="J53" i="1" s="1"/>
  <c r="J63" i="1" s="1"/>
  <c r="E44" i="1"/>
  <c r="D25" i="1"/>
  <c r="D28" i="1" s="1"/>
  <c r="D29" i="1" s="1"/>
  <c r="D6" i="1"/>
  <c r="L25" i="1"/>
  <c r="L28" i="1" s="1"/>
  <c r="L29" i="1" s="1"/>
  <c r="L6" i="1"/>
  <c r="L34" i="1"/>
  <c r="L51" i="1" s="1"/>
  <c r="M44" i="1"/>
  <c r="E70" i="1"/>
  <c r="E7" i="1"/>
  <c r="E4" i="1" s="1"/>
  <c r="F50" i="1"/>
  <c r="L44" i="1"/>
  <c r="B6" i="1"/>
  <c r="M34" i="1"/>
  <c r="M51" i="1" s="1"/>
  <c r="B44" i="1"/>
  <c r="I70" i="1"/>
  <c r="I7" i="1"/>
  <c r="I4" i="1" s="1"/>
  <c r="I34" i="1" l="1"/>
  <c r="I51" i="1" s="1"/>
  <c r="I52" i="1" s="1"/>
  <c r="I53" i="1" s="1"/>
  <c r="I63" i="1" s="1"/>
  <c r="I65" i="1" s="1"/>
  <c r="E52" i="1"/>
  <c r="E53" i="1" s="1"/>
  <c r="E63" i="1" s="1"/>
  <c r="E67" i="1" s="1"/>
  <c r="B52" i="1"/>
  <c r="B53" i="1" s="1"/>
  <c r="B63" i="1" s="1"/>
  <c r="B67" i="1" s="1"/>
  <c r="I44" i="1"/>
  <c r="M52" i="1"/>
  <c r="M53" i="1" s="1"/>
  <c r="M63" i="1" s="1"/>
  <c r="M67" i="1" s="1"/>
  <c r="L52" i="1"/>
  <c r="L53" i="1" s="1"/>
  <c r="H63" i="1"/>
  <c r="H67" i="1" s="1"/>
  <c r="G44" i="1"/>
  <c r="G34" i="1"/>
  <c r="G51" i="1" s="1"/>
  <c r="G52" i="1" s="1"/>
  <c r="G53" i="1" s="1"/>
  <c r="G63" i="1" s="1"/>
  <c r="J70" i="1"/>
  <c r="F44" i="1"/>
  <c r="F34" i="1"/>
  <c r="F51" i="1" s="1"/>
  <c r="F52" i="1" s="1"/>
  <c r="F53" i="1" s="1"/>
  <c r="F63" i="1" s="1"/>
  <c r="J67" i="1"/>
  <c r="J65" i="1"/>
  <c r="B65" i="1"/>
  <c r="C12" i="1"/>
  <c r="C44" i="1"/>
  <c r="C34" i="1"/>
  <c r="C51" i="1" s="1"/>
  <c r="K12" i="1"/>
  <c r="K44" i="1"/>
  <c r="B7" i="1"/>
  <c r="B4" i="1" s="1"/>
  <c r="B70" i="1"/>
  <c r="C50" i="1"/>
  <c r="L70" i="1"/>
  <c r="L7" i="1"/>
  <c r="L4" i="1" s="1"/>
  <c r="K50" i="1"/>
  <c r="K52" i="1" s="1"/>
  <c r="K53" i="1" s="1"/>
  <c r="K63" i="1" s="1"/>
  <c r="D12" i="1"/>
  <c r="D44" i="1"/>
  <c r="L63" i="1"/>
  <c r="K70" i="1"/>
  <c r="K7" i="1"/>
  <c r="K4" i="1" s="1"/>
  <c r="D34" i="1"/>
  <c r="D51" i="1" s="1"/>
  <c r="D52" i="1" s="1"/>
  <c r="D53" i="1" s="1"/>
  <c r="D63" i="1" s="1"/>
  <c r="D70" i="1"/>
  <c r="D7" i="1"/>
  <c r="D4" i="1" s="1"/>
  <c r="H65" i="1"/>
  <c r="C70" i="1"/>
  <c r="C7" i="1"/>
  <c r="C4" i="1" s="1"/>
  <c r="H70" i="1"/>
  <c r="H7" i="1"/>
  <c r="H4" i="1" s="1"/>
  <c r="M65" i="1" l="1"/>
  <c r="I67" i="1"/>
  <c r="E65" i="1"/>
  <c r="G65" i="1"/>
  <c r="G67" i="1"/>
  <c r="C52" i="1"/>
  <c r="C53" i="1" s="1"/>
  <c r="C63" i="1" s="1"/>
  <c r="C65" i="1" s="1"/>
  <c r="D67" i="1"/>
  <c r="D65" i="1"/>
  <c r="F67" i="1"/>
  <c r="F65" i="1"/>
  <c r="K67" i="1"/>
  <c r="K65" i="1"/>
  <c r="L65" i="1"/>
  <c r="L67" i="1"/>
  <c r="C67" i="1" l="1"/>
</calcChain>
</file>

<file path=xl/sharedStrings.xml><?xml version="1.0" encoding="utf-8"?>
<sst xmlns="http://schemas.openxmlformats.org/spreadsheetml/2006/main" count="87" uniqueCount="83">
  <si>
    <t>V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</si>
  <si>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</si>
  <si>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</si>
  <si>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</si>
  <si>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</si>
  <si>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</si>
  <si>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</si>
  <si>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</si>
  <si>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</si>
  <si>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</si>
  <si>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</si>
  <si>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</si>
  <si>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</si>
  <si>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Cylindre de section circulaire</t>
  </si>
  <si>
    <t>Bilan sur l'air</t>
  </si>
  <si>
    <t>Re</t>
  </si>
  <si>
    <t>C</t>
  </si>
  <si>
    <t>n</t>
  </si>
  <si>
    <t>Tsèche_entrée - donnée météo</t>
  </si>
  <si>
    <t>Tsèche_sortie</t>
  </si>
  <si>
    <t>Cp air</t>
  </si>
  <si>
    <t>Qv</t>
  </si>
  <si>
    <t>Qm</t>
  </si>
  <si>
    <t>Pair</t>
  </si>
  <si>
    <t xml:space="preserve">Débit max d'air </t>
  </si>
  <si>
    <t>Bilan sur l'ER</t>
  </si>
  <si>
    <t>Débit total - valeur calculé par le besoin</t>
  </si>
  <si>
    <t xml:space="preserve">Débit total </t>
  </si>
  <si>
    <t>Peau - valeur calculé par le vesoin</t>
  </si>
  <si>
    <t>Nombre de surface</t>
  </si>
  <si>
    <t>Caclul coeff. Convection air</t>
  </si>
  <si>
    <t>D - diamètre ext conduite</t>
  </si>
  <si>
    <t>k - conductivité thermique</t>
  </si>
  <si>
    <t>Vitesse</t>
  </si>
  <si>
    <t>μ - viscosité dynamique</t>
  </si>
  <si>
    <t>ν - viscosité cinématique</t>
  </si>
  <si>
    <t>Z - Altitude</t>
  </si>
  <si>
    <t xml:space="preserve">P - Pression </t>
  </si>
  <si>
    <t>ρ - masse volumique</t>
  </si>
  <si>
    <t>Pr - prandlt</t>
  </si>
  <si>
    <t>Re - reynolds</t>
  </si>
  <si>
    <t>C - coeff Nusselt</t>
  </si>
  <si>
    <t>n - Coeff Nusselt</t>
  </si>
  <si>
    <t>Nu - Nusselt</t>
  </si>
  <si>
    <t>h air</t>
  </si>
  <si>
    <t>Calcul Coeff. Convection eau</t>
  </si>
  <si>
    <t>Cp - capacité calorifique</t>
  </si>
  <si>
    <t xml:space="preserve">ro - masse volumique </t>
  </si>
  <si>
    <t>keau - conductivité eau</t>
  </si>
  <si>
    <t>Dh - diamètre hydraulique</t>
  </si>
  <si>
    <t>Rint - Rayon int conduite</t>
  </si>
  <si>
    <t>e - épaisseur conduite</t>
  </si>
  <si>
    <t>Rext - Rayon ext</t>
  </si>
  <si>
    <t>kc - conductivité conduite (cuivre)</t>
  </si>
  <si>
    <t>v - vitesse d'eau dans conduite</t>
  </si>
  <si>
    <t xml:space="preserve">qv - Débit vol </t>
  </si>
  <si>
    <t>qm - débit masse</t>
  </si>
  <si>
    <t>hauteur air</t>
  </si>
  <si>
    <t>longueur air</t>
  </si>
  <si>
    <t>S - Section d'entré pour l'air</t>
  </si>
  <si>
    <t>Nombre de faisseaux</t>
  </si>
  <si>
    <t>Qvf - débit par faisceau</t>
  </si>
  <si>
    <t>Re - Reynolds eau</t>
  </si>
  <si>
    <t xml:space="preserve">heau - Coeff convection </t>
  </si>
  <si>
    <t>Bilan global - air/eau</t>
  </si>
  <si>
    <t>Tce - Calcul intermédiaire</t>
  </si>
  <si>
    <t>tcs - Calcul intermédiaire</t>
  </si>
  <si>
    <t>Tce - Température eau entrant dans aéro</t>
  </si>
  <si>
    <t>tcs - Température eau sortie aéro</t>
  </si>
  <si>
    <t>Tfe - temp entrée air</t>
  </si>
  <si>
    <t>Tfs - temp sortie air</t>
  </si>
  <si>
    <t>P tot échangé</t>
  </si>
  <si>
    <t>K</t>
  </si>
  <si>
    <t>S - donnée constructeur</t>
  </si>
  <si>
    <t>delta lm - calculé avec P,K,S</t>
  </si>
  <si>
    <t>delta lm-recalcul température</t>
  </si>
  <si>
    <t>Egalité - doit être &lt; 10^-3 - Macro Ctrl+o</t>
  </si>
  <si>
    <t>a - Approche (approche max = 7°C)</t>
  </si>
  <si>
    <t>Puissance absorbé ventilo</t>
  </si>
  <si>
    <t>perte de charge (hypothèse)</t>
  </si>
  <si>
    <t>rendement (hyptohèse)</t>
  </si>
  <si>
    <t>Température sortie eau souhaité (imposée)</t>
  </si>
  <si>
    <t>% charge ventilo - toujours supérieur à 30 %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</si>
</sst>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6">
    <numFmt numFmtId="164" formatCode="#,##0.0&quot; °C&quot;"/>
    <numFmt numFmtId="165" formatCode="#,##0.0&quot; &quot;&quot;°C&quot;"/>
    <numFmt numFmtId="166" formatCode="#,##0.00&quot; &quot;&quot;J/kg/K&quot;"/>
    <numFmt numFmtId="167" formatCode="#,##0.00&quot; &quot;&quot;m³/s&quot;"/>
    <numFmt numFmtId="168" formatCode="#,##0.00&quot; &quot;&quot;kg/s&quot;"/>
    <numFmt numFmtId="169" formatCode="#,##0&quot; &quot;&quot;kW&quot;"/>
    <numFmt numFmtId="170" formatCode="#,##0.0&quot; &quot;&quot;m³/s&quot;"/>
    <numFmt numFmtId="171" formatCode="#,##0.0&quot; &quot;&quot;m³/h&quot;"/>
    <numFmt numFmtId="172" formatCode="#,##0.0&quot; &quot;&quot;kg/s&quot;"/>
    <numFmt numFmtId="173" formatCode="#,##0.0&quot; &quot;&quot;kW&quot;"/>
    <numFmt numFmtId="174" formatCode="#,##0.0000&quot; &quot;&quot;m&quot;"/>
    <numFmt numFmtId="175" formatCode="#,##0.0000&quot; &quot;&quot;W/m/K&quot;"/>
    <numFmt numFmtId="176" formatCode="#,##0.0&quot; &quot;&quot;m/s&quot;"/>
    <numFmt numFmtId="177" formatCode="#,##0&quot; &quot;&quot;m&quot;"/>
    <numFmt numFmtId="178" formatCode="#,##0.0&quot; &quot;&quot;hPa&quot;"/>
    <numFmt numFmtId="179" formatCode="#,##0.000&quot; &quot;&quot;kg/m³&quot;"/>
    <numFmt numFmtId="180" formatCode="0.000"/>
    <numFmt numFmtId="181" formatCode="0.0"/>
    <numFmt numFmtId="182" formatCode="#,##0.00&quot; &quot;&quot;W/m²/K&quot;"/>
    <numFmt numFmtId="183" formatCode="#,##0&quot; &quot;&quot;J/kg/K&quot;"/>
    <numFmt numFmtId="184" formatCode="#,##0.0&quot; &quot;&quot;kg/m³&quot;"/>
    <numFmt numFmtId="185" formatCode="#,##0.00&quot; &quot;&quot;W/m/K&quot;"/>
    <numFmt numFmtId="186" formatCode="#,##0.000&quot; &quot;&quot;m&quot;"/>
    <numFmt numFmtId="187" formatCode="#,##0.00000&quot; &quot;&quot;m&quot;"/>
    <numFmt numFmtId="188" formatCode="#,##0&quot; &quot;&quot;W/m/K&quot;"/>
    <numFmt numFmtId="189" formatCode="#,##0.000000&quot; &quot;&quot;m³/s&quot;"/>
    <numFmt numFmtId="190" formatCode="#,##0.000&quot; &quot;&quot;kg/s&quot;"/>
    <numFmt numFmtId="191" formatCode="#,##0.00&quot; &quot;&quot;m²&quot;"/>
    <numFmt numFmtId="192" formatCode="#,##0.000&quot; &quot;&quot;m³/h&quot;"/>
    <numFmt numFmtId="193" formatCode="#,##0&quot; &quot;&quot;W/m²/K&quot;"/>
    <numFmt numFmtId="194" formatCode="#,##0.00&quot; &quot;&quot;°C&quot;"/>
    <numFmt numFmtId="195" formatCode="#,##0&quot; &quot;&quot;W&quot;"/>
    <numFmt numFmtId="196" formatCode="#,##0&quot; &quot;&quot;m²&quot;"/>
    <numFmt numFmtId="197" formatCode="#,##0.000&quot; &quot;&quot;°C&quot;"/>
    <numFmt numFmtId="198" formatCode="0.0E+00"/>
    <numFmt numFmtId="199" formatCode="#,##0&quot; &quot;&quot;mmCE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142">
    <xf numFmtId="0" fontId="0" fillId="0" borderId="0" xfId="0"/>
    <xf numFmtId="0" fontId="0" fillId="4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2" applyBorder="1" applyAlignment="1">
      <alignment horizontal="center" vertical="center"/>
    </xf>
    <xf numFmtId="0" fontId="2" fillId="2" borderId="3" xfId="2" applyBorder="1" applyAlignment="1">
      <alignment horizontal="center" vertical="center"/>
    </xf>
    <xf numFmtId="0" fontId="2" fillId="2" borderId="4" xfId="2" applyBorder="1" applyAlignment="1">
      <alignment horizontal="center" vertical="center"/>
    </xf>
    <xf numFmtId="0" fontId="0" fillId="6" borderId="5" xfId="0" applyFill="1" applyBorder="1" applyAlignment="1">
      <alignment horizontal="left" vertical="center"/>
    </xf>
    <xf numFmtId="164" fontId="0" fillId="0" borderId="1" xfId="0" applyNumberFormat="1" applyFill="1" applyBorder="1" applyAlignment="1">
      <alignment horizontal="center" vertical="center"/>
    </xf>
    <xf numFmtId="0" fontId="2" fillId="2" borderId="6" xfId="2" applyBorder="1" applyAlignment="1">
      <alignment horizontal="center" vertical="center"/>
    </xf>
    <xf numFmtId="0" fontId="2" fillId="2" borderId="1" xfId="2" applyBorder="1" applyAlignment="1">
      <alignment horizontal="center" vertical="center"/>
    </xf>
    <xf numFmtId="0" fontId="2" fillId="2" borderId="7" xfId="2" applyBorder="1" applyAlignment="1">
      <alignment horizontal="center" vertical="center"/>
    </xf>
    <xf numFmtId="0" fontId="0" fillId="6" borderId="8" xfId="0" applyFill="1" applyBorder="1" applyAlignment="1">
      <alignment horizontal="left" vertical="center"/>
    </xf>
    <xf numFmtId="164" fontId="0" fillId="7" borderId="1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left" vertical="center"/>
    </xf>
    <xf numFmtId="165" fontId="1" fillId="0" borderId="10" xfId="2" applyNumberFormat="1" applyFont="1" applyFill="1" applyBorder="1" applyAlignment="1">
      <alignment horizontal="center" vertical="center"/>
    </xf>
    <xf numFmtId="166" fontId="1" fillId="0" borderId="11" xfId="2" applyNumberFormat="1" applyFont="1" applyFill="1" applyBorder="1" applyAlignment="1">
      <alignment horizontal="center" vertical="center"/>
    </xf>
    <xf numFmtId="166" fontId="1" fillId="0" borderId="12" xfId="2" applyNumberFormat="1" applyFont="1" applyFill="1" applyBorder="1" applyAlignment="1">
      <alignment horizontal="center" vertical="center"/>
    </xf>
    <xf numFmtId="0" fontId="2" fillId="2" borderId="6" xfId="2" applyNumberFormat="1" applyBorder="1" applyAlignment="1">
      <alignment horizontal="center" vertical="center"/>
    </xf>
    <xf numFmtId="0" fontId="0" fillId="6" borderId="13" xfId="0" applyFill="1" applyBorder="1" applyAlignment="1">
      <alignment horizontal="left" vertical="center"/>
    </xf>
    <xf numFmtId="167" fontId="1" fillId="0" borderId="1" xfId="2" applyNumberFormat="1" applyFont="1" applyFill="1" applyBorder="1" applyAlignment="1">
      <alignment horizontal="center" vertical="center"/>
    </xf>
    <xf numFmtId="168" fontId="1" fillId="0" borderId="14" xfId="2" applyNumberFormat="1" applyFont="1" applyFill="1" applyBorder="1" applyAlignment="1">
      <alignment horizontal="center" vertical="center"/>
    </xf>
    <xf numFmtId="0" fontId="0" fillId="6" borderId="15" xfId="0" applyFill="1" applyBorder="1" applyAlignment="1">
      <alignment horizontal="left" vertical="center"/>
    </xf>
    <xf numFmtId="169" fontId="0" fillId="0" borderId="1" xfId="0" applyNumberFormat="1" applyBorder="1" applyAlignment="1">
      <alignment horizontal="center" vertical="center"/>
    </xf>
    <xf numFmtId="0" fontId="2" fillId="2" borderId="16" xfId="2" applyBorder="1" applyAlignment="1">
      <alignment horizontal="center" vertical="center"/>
    </xf>
    <xf numFmtId="0" fontId="2" fillId="2" borderId="17" xfId="2" applyBorder="1" applyAlignment="1">
      <alignment horizontal="center" vertical="center"/>
    </xf>
    <xf numFmtId="0" fontId="2" fillId="2" borderId="18" xfId="2" applyBorder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0" fontId="0" fillId="8" borderId="5" xfId="0" applyFill="1" applyBorder="1" applyAlignment="1">
      <alignment horizontal="left" vertical="center"/>
    </xf>
    <xf numFmtId="0" fontId="0" fillId="8" borderId="8" xfId="0" applyFill="1" applyBorder="1" applyAlignment="1">
      <alignment horizontal="left" vertical="center"/>
    </xf>
    <xf numFmtId="171" fontId="0" fillId="7" borderId="10" xfId="0" applyNumberFormat="1" applyFill="1" applyBorder="1" applyAlignment="1">
      <alignment horizontal="center" vertical="center"/>
    </xf>
    <xf numFmtId="171" fontId="0" fillId="7" borderId="1" xfId="0" applyNumberFormat="1" applyFill="1" applyBorder="1" applyAlignment="1">
      <alignment horizontal="center" vertical="center"/>
    </xf>
    <xf numFmtId="0" fontId="0" fillId="8" borderId="9" xfId="0" applyFill="1" applyBorder="1" applyAlignment="1">
      <alignment horizontal="left" vertical="center"/>
    </xf>
    <xf numFmtId="172" fontId="0" fillId="0" borderId="10" xfId="0" applyNumberFormat="1" applyFill="1" applyBorder="1" applyAlignment="1">
      <alignment horizontal="center" vertical="center"/>
    </xf>
    <xf numFmtId="172" fontId="0" fillId="0" borderId="1" xfId="0" applyNumberFormat="1" applyFill="1" applyBorder="1" applyAlignment="1">
      <alignment horizontal="center" vertical="center"/>
    </xf>
    <xf numFmtId="0" fontId="0" fillId="8" borderId="19" xfId="0" applyFill="1" applyBorder="1" applyAlignment="1">
      <alignment horizontal="left" vertical="center"/>
    </xf>
    <xf numFmtId="173" fontId="0" fillId="7" borderId="11" xfId="0" applyNumberFormat="1" applyFill="1" applyBorder="1" applyAlignment="1">
      <alignment horizontal="center" vertical="center"/>
    </xf>
    <xf numFmtId="173" fontId="0" fillId="7" borderId="12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9" borderId="2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0" fillId="10" borderId="8" xfId="2" applyFont="1" applyFill="1" applyBorder="1" applyAlignment="1">
      <alignment horizontal="left" vertical="center"/>
    </xf>
    <xf numFmtId="174" fontId="0" fillId="10" borderId="10" xfId="2" applyNumberFormat="1" applyFont="1" applyFill="1" applyBorder="1" applyAlignment="1">
      <alignment horizontal="center" vertical="center"/>
    </xf>
    <xf numFmtId="0" fontId="0" fillId="9" borderId="9" xfId="2" applyFont="1" applyFill="1" applyBorder="1" applyAlignment="1">
      <alignment horizontal="left" vertical="center"/>
    </xf>
    <xf numFmtId="175" fontId="0" fillId="0" borderId="10" xfId="2" applyNumberFormat="1" applyFont="1" applyFill="1" applyBorder="1" applyAlignment="1">
      <alignment horizontal="center" vertical="center"/>
    </xf>
    <xf numFmtId="0" fontId="0" fillId="10" borderId="9" xfId="2" applyFont="1" applyFill="1" applyBorder="1" applyAlignment="1">
      <alignment horizontal="left" vertical="center"/>
    </xf>
    <xf numFmtId="176" fontId="0" fillId="10" borderId="10" xfId="2" applyNumberFormat="1" applyFont="1" applyFill="1" applyBorder="1" applyAlignment="1">
      <alignment horizontal="center" vertical="center"/>
    </xf>
    <xf numFmtId="11" fontId="0" fillId="0" borderId="10" xfId="2" applyNumberFormat="1" applyFont="1" applyFill="1" applyBorder="1" applyAlignment="1">
      <alignment horizontal="center" vertical="center"/>
    </xf>
    <xf numFmtId="11" fontId="0" fillId="0" borderId="1" xfId="2" applyNumberFormat="1" applyFont="1" applyFill="1" applyBorder="1" applyAlignment="1">
      <alignment horizontal="center" vertical="center"/>
    </xf>
    <xf numFmtId="177" fontId="3" fillId="7" borderId="10" xfId="2" applyNumberFormat="1" applyFont="1" applyFill="1" applyBorder="1" applyAlignment="1">
      <alignment horizontal="center" vertical="center"/>
    </xf>
    <xf numFmtId="178" fontId="0" fillId="0" borderId="10" xfId="2" applyNumberFormat="1" applyFont="1" applyFill="1" applyBorder="1" applyAlignment="1">
      <alignment horizontal="center" vertical="center"/>
    </xf>
    <xf numFmtId="179" fontId="0" fillId="0" borderId="10" xfId="2" applyNumberFormat="1" applyFont="1" applyFill="1" applyBorder="1" applyAlignment="1">
      <alignment horizontal="center" vertical="center"/>
    </xf>
    <xf numFmtId="180" fontId="0" fillId="0" borderId="10" xfId="2" applyNumberFormat="1" applyFont="1" applyFill="1" applyBorder="1" applyAlignment="1">
      <alignment horizontal="center" vertical="center"/>
    </xf>
    <xf numFmtId="181" fontId="0" fillId="0" borderId="10" xfId="2" applyNumberFormat="1" applyFont="1" applyFill="1" applyBorder="1" applyAlignment="1">
      <alignment horizontal="center" vertical="center"/>
    </xf>
    <xf numFmtId="181" fontId="0" fillId="0" borderId="1" xfId="2" applyNumberFormat="1" applyFont="1" applyFill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0" xfId="2" applyFont="1" applyFill="1" applyBorder="1" applyAlignment="1">
      <alignment horizontal="center" vertical="center"/>
    </xf>
    <xf numFmtId="2" fontId="0" fillId="0" borderId="10" xfId="2" applyNumberFormat="1" applyFont="1" applyFill="1" applyBorder="1" applyAlignment="1">
      <alignment horizontal="center" vertical="center"/>
    </xf>
    <xf numFmtId="2" fontId="0" fillId="0" borderId="1" xfId="2" applyNumberFormat="1" applyFont="1" applyFill="1" applyBorder="1" applyAlignment="1">
      <alignment horizontal="center" vertical="center"/>
    </xf>
    <xf numFmtId="0" fontId="0" fillId="9" borderId="21" xfId="2" applyFont="1" applyFill="1" applyBorder="1" applyAlignment="1">
      <alignment horizontal="left" vertical="center"/>
    </xf>
    <xf numFmtId="182" fontId="0" fillId="0" borderId="10" xfId="2" applyNumberFormat="1" applyFont="1" applyFill="1" applyBorder="1" applyAlignment="1">
      <alignment horizontal="center" vertical="center"/>
    </xf>
    <xf numFmtId="182" fontId="0" fillId="0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8" borderId="5" xfId="3" applyFont="1" applyFill="1" applyBorder="1" applyAlignment="1">
      <alignment horizontal="left" vertical="center"/>
    </xf>
    <xf numFmtId="0" fontId="0" fillId="0" borderId="0" xfId="3" applyFont="1" applyFill="1" applyBorder="1" applyAlignment="1">
      <alignment horizontal="center" vertical="center"/>
    </xf>
    <xf numFmtId="183" fontId="0" fillId="0" borderId="10" xfId="0" applyNumberFormat="1" applyBorder="1" applyAlignment="1">
      <alignment horizontal="center" vertical="center"/>
    </xf>
    <xf numFmtId="183" fontId="0" fillId="0" borderId="1" xfId="0" applyNumberFormat="1" applyBorder="1" applyAlignment="1">
      <alignment horizontal="center" vertical="center"/>
    </xf>
    <xf numFmtId="184" fontId="0" fillId="0" borderId="10" xfId="0" applyNumberFormat="1" applyBorder="1" applyAlignment="1">
      <alignment horizontal="center" vertical="center"/>
    </xf>
    <xf numFmtId="0" fontId="0" fillId="8" borderId="9" xfId="2" applyFont="1" applyFill="1" applyBorder="1" applyAlignment="1">
      <alignment horizontal="left" vertical="center"/>
    </xf>
    <xf numFmtId="11" fontId="0" fillId="0" borderId="10" xfId="0" applyNumberFormat="1" applyBorder="1" applyAlignment="1">
      <alignment horizontal="center" vertical="center"/>
    </xf>
    <xf numFmtId="185" fontId="0" fillId="0" borderId="10" xfId="0" applyNumberFormat="1" applyBorder="1" applyAlignment="1">
      <alignment horizontal="center" vertical="center"/>
    </xf>
    <xf numFmtId="185" fontId="0" fillId="0" borderId="1" xfId="0" applyNumberFormat="1" applyBorder="1" applyAlignment="1">
      <alignment horizontal="center" vertical="center"/>
    </xf>
    <xf numFmtId="186" fontId="0" fillId="0" borderId="10" xfId="0" applyNumberFormat="1" applyBorder="1" applyAlignment="1">
      <alignment horizontal="center" vertical="center"/>
    </xf>
    <xf numFmtId="186" fontId="0" fillId="0" borderId="1" xfId="0" applyNumberFormat="1" applyBorder="1" applyAlignment="1">
      <alignment horizontal="center" vertical="center"/>
    </xf>
    <xf numFmtId="187" fontId="0" fillId="0" borderId="10" xfId="0" applyNumberFormat="1" applyBorder="1" applyAlignment="1">
      <alignment horizontal="center" vertical="center"/>
    </xf>
    <xf numFmtId="0" fontId="0" fillId="10" borderId="9" xfId="0" applyFill="1" applyBorder="1" applyAlignment="1">
      <alignment horizontal="left" vertical="center"/>
    </xf>
    <xf numFmtId="187" fontId="0" fillId="10" borderId="10" xfId="0" applyNumberFormat="1" applyFill="1" applyBorder="1" applyAlignment="1">
      <alignment horizontal="center" vertical="center"/>
    </xf>
    <xf numFmtId="174" fontId="0" fillId="0" borderId="10" xfId="0" applyNumberFormat="1" applyBorder="1" applyAlignment="1">
      <alignment horizontal="center" vertical="center"/>
    </xf>
    <xf numFmtId="174" fontId="0" fillId="0" borderId="1" xfId="0" applyNumberFormat="1" applyBorder="1" applyAlignment="1">
      <alignment horizontal="center" vertical="center"/>
    </xf>
    <xf numFmtId="188" fontId="0" fillId="0" borderId="10" xfId="0" applyNumberFormat="1" applyBorder="1" applyAlignment="1">
      <alignment horizontal="center" vertical="center"/>
    </xf>
    <xf numFmtId="188" fontId="0" fillId="0" borderId="1" xfId="0" applyNumberFormat="1" applyBorder="1" applyAlignment="1">
      <alignment horizontal="center" vertical="center"/>
    </xf>
    <xf numFmtId="176" fontId="0" fillId="0" borderId="10" xfId="0" applyNumberFormat="1" applyBorder="1" applyAlignment="1">
      <alignment horizontal="center" vertical="center"/>
    </xf>
    <xf numFmtId="189" fontId="0" fillId="0" borderId="10" xfId="0" applyNumberFormat="1" applyBorder="1" applyAlignment="1">
      <alignment horizontal="center" vertical="center"/>
    </xf>
    <xf numFmtId="189" fontId="0" fillId="0" borderId="1" xfId="0" applyNumberFormat="1" applyBorder="1" applyAlignment="1">
      <alignment horizontal="center" vertical="center"/>
    </xf>
    <xf numFmtId="190" fontId="0" fillId="0" borderId="10" xfId="0" applyNumberFormat="1" applyBorder="1" applyAlignment="1">
      <alignment horizontal="center" vertical="center"/>
    </xf>
    <xf numFmtId="190" fontId="0" fillId="0" borderId="1" xfId="0" applyNumberFormat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2" fontId="0" fillId="10" borderId="10" xfId="0" applyNumberFormat="1" applyFill="1" applyBorder="1" applyAlignment="1">
      <alignment horizontal="center" vertical="center"/>
    </xf>
    <xf numFmtId="191" fontId="0" fillId="0" borderId="10" xfId="0" applyNumberFormat="1" applyBorder="1" applyAlignment="1">
      <alignment horizontal="center" vertical="center"/>
    </xf>
    <xf numFmtId="192" fontId="0" fillId="0" borderId="10" xfId="0" applyNumberFormat="1" applyBorder="1" applyAlignment="1">
      <alignment horizontal="center" vertical="center"/>
    </xf>
    <xf numFmtId="192" fontId="0" fillId="0" borderId="1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81" fontId="0" fillId="0" borderId="10" xfId="0" applyNumberFormat="1" applyBorder="1" applyAlignment="1">
      <alignment horizontal="center" vertical="center"/>
    </xf>
    <xf numFmtId="181" fontId="0" fillId="0" borderId="1" xfId="0" applyNumberFormat="1" applyBorder="1" applyAlignment="1">
      <alignment horizontal="center" vertical="center"/>
    </xf>
    <xf numFmtId="0" fontId="0" fillId="8" borderId="21" xfId="0" applyFill="1" applyBorder="1" applyAlignment="1">
      <alignment horizontal="left" vertical="center"/>
    </xf>
    <xf numFmtId="193" fontId="0" fillId="0" borderId="10" xfId="0" applyNumberFormat="1" applyBorder="1" applyAlignment="1">
      <alignment horizontal="center" vertical="center"/>
    </xf>
    <xf numFmtId="193" fontId="0" fillId="0" borderId="1" xfId="0" applyNumberFormat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8" xfId="0" applyFill="1" applyBorder="1" applyAlignment="1">
      <alignment horizontal="left" vertical="center"/>
    </xf>
    <xf numFmtId="194" fontId="0" fillId="11" borderId="10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left" vertical="center"/>
    </xf>
    <xf numFmtId="0" fontId="0" fillId="7" borderId="9" xfId="0" applyFill="1" applyBorder="1" applyAlignment="1">
      <alignment horizontal="left" vertical="center"/>
    </xf>
    <xf numFmtId="194" fontId="0" fillId="7" borderId="10" xfId="0" applyNumberFormat="1" applyFill="1" applyBorder="1" applyAlignment="1">
      <alignment horizontal="center" vertical="center"/>
    </xf>
    <xf numFmtId="194" fontId="0" fillId="7" borderId="1" xfId="0" applyNumberFormat="1" applyFill="1" applyBorder="1" applyAlignment="1">
      <alignment horizontal="center" vertical="center"/>
    </xf>
    <xf numFmtId="0" fontId="0" fillId="12" borderId="9" xfId="0" applyFill="1" applyBorder="1" applyAlignment="1">
      <alignment horizontal="left" vertical="center"/>
    </xf>
    <xf numFmtId="194" fontId="0" fillId="12" borderId="1" xfId="0" applyNumberFormat="1" applyFill="1" applyBorder="1" applyAlignment="1">
      <alignment horizontal="center" vertical="center"/>
    </xf>
    <xf numFmtId="194" fontId="0" fillId="0" borderId="10" xfId="0" applyNumberFormat="1" applyFill="1" applyBorder="1" applyAlignment="1">
      <alignment horizontal="center" vertical="center"/>
    </xf>
    <xf numFmtId="194" fontId="0" fillId="0" borderId="1" xfId="0" applyNumberFormat="1" applyFill="1" applyBorder="1" applyAlignment="1">
      <alignment horizontal="center" vertical="center"/>
    </xf>
    <xf numFmtId="195" fontId="0" fillId="0" borderId="10" xfId="0" applyNumberFormat="1" applyFill="1" applyBorder="1" applyAlignment="1">
      <alignment horizontal="center" vertical="center"/>
    </xf>
    <xf numFmtId="195" fontId="0" fillId="0" borderId="1" xfId="0" applyNumberFormat="1" applyFill="1" applyBorder="1" applyAlignment="1">
      <alignment horizontal="center" vertical="center"/>
    </xf>
    <xf numFmtId="182" fontId="0" fillId="0" borderId="10" xfId="0" applyNumberFormat="1" applyFill="1" applyBorder="1" applyAlignment="1">
      <alignment horizontal="center" vertical="center"/>
    </xf>
    <xf numFmtId="182" fontId="0" fillId="0" borderId="1" xfId="0" applyNumberFormat="1" applyFill="1" applyBorder="1" applyAlignment="1">
      <alignment horizontal="center" vertical="center"/>
    </xf>
    <xf numFmtId="196" fontId="0" fillId="13" borderId="10" xfId="0" applyNumberFormat="1" applyFill="1" applyBorder="1" applyAlignment="1">
      <alignment horizontal="center" vertical="center"/>
    </xf>
    <xf numFmtId="197" fontId="0" fillId="0" borderId="10" xfId="0" applyNumberFormat="1" applyFill="1" applyBorder="1" applyAlignment="1">
      <alignment horizontal="center" vertical="center"/>
    </xf>
    <xf numFmtId="197" fontId="0" fillId="0" borderId="1" xfId="0" applyNumberFormat="1" applyFill="1" applyBorder="1" applyAlignment="1">
      <alignment horizontal="center" vertical="center"/>
    </xf>
    <xf numFmtId="0" fontId="0" fillId="4" borderId="19" xfId="0" applyFill="1" applyBorder="1" applyAlignment="1">
      <alignment horizontal="left" vertical="center"/>
    </xf>
    <xf numFmtId="198" fontId="0" fillId="0" borderId="10" xfId="0" applyNumberForma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95" fontId="0" fillId="0" borderId="0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left" vertical="center"/>
    </xf>
    <xf numFmtId="195" fontId="0" fillId="0" borderId="2" xfId="0" applyNumberFormat="1" applyFill="1" applyBorder="1" applyAlignment="1">
      <alignment horizontal="center" vertical="center"/>
    </xf>
    <xf numFmtId="195" fontId="0" fillId="0" borderId="3" xfId="0" applyNumberFormat="1" applyFill="1" applyBorder="1" applyAlignment="1">
      <alignment horizontal="center" vertical="center"/>
    </xf>
    <xf numFmtId="195" fontId="0" fillId="0" borderId="4" xfId="0" applyNumberFormat="1" applyFill="1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199" fontId="0" fillId="0" borderId="6" xfId="0" applyNumberFormat="1" applyBorder="1" applyAlignment="1">
      <alignment horizontal="center" vertical="center"/>
    </xf>
    <xf numFmtId="199" fontId="0" fillId="0" borderId="1" xfId="0" applyNumberFormat="1" applyBorder="1" applyAlignment="1">
      <alignment horizontal="center" vertical="center"/>
    </xf>
    <xf numFmtId="199" fontId="0" fillId="0" borderId="7" xfId="0" applyNumberFormat="1" applyBorder="1" applyAlignment="1">
      <alignment horizontal="center" vertical="center"/>
    </xf>
    <xf numFmtId="199" fontId="0" fillId="0" borderId="10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" xfId="1" applyFont="1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194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left" vertical="center"/>
    </xf>
  </cellXfs>
  <cellStyles count="4">
    <cellStyle name="20 % - Accent5" xfId="3" builtinId="46"/>
    <cellStyle name="Normal" xfId="0" builtinId="0"/>
    <cellStyle name="Pourcentage" xfId="1" builtinId="5"/>
    <cellStyle name="Satisfaisant" xfId="2" builtinId="26"/>
  </cellStyles>
  <dxfs count="2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426720</xdr:colOff>
          <xdr:row>77</xdr:row>
          <xdr:rowOff>7620</xdr:rowOff>
        </xdr:from>
        <xdr:to>
          <xdr:col>0</xdr:col>
          <xdr:colOff>2217420</xdr:colOff>
          <xdr:row>79</xdr:row>
          <xdr:rowOff>22860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&#233;lection%20du%20meilleur%20syst&#232;me%20de%20refroidissement/a&#233;ros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éro_sec"/>
      <sheetName val="aero_media_humide"/>
      <sheetName val="Aéro pulvé"/>
      <sheetName val="media_2"/>
      <sheetName val="Visco.ciné eau"/>
      <sheetName val="abaque balti"/>
      <sheetName val="Aéro_ancien"/>
    </sheetNames>
    <definedNames>
      <definedName name="resolution_aero_sec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0">
          <cell r="L40">
            <v>100</v>
          </cell>
          <cell r="M40">
            <v>7.1428571428571432</v>
          </cell>
        </row>
        <row r="41">
          <cell r="L41">
            <v>200</v>
          </cell>
          <cell r="M41">
            <v>14.285714285714286</v>
          </cell>
        </row>
        <row r="42">
          <cell r="L42">
            <v>300</v>
          </cell>
          <cell r="M42">
            <v>21.428571428571427</v>
          </cell>
        </row>
        <row r="43">
          <cell r="L43">
            <v>400</v>
          </cell>
          <cell r="M43">
            <v>28.571428571428573</v>
          </cell>
        </row>
        <row r="44">
          <cell r="L44">
            <v>500</v>
          </cell>
          <cell r="M44">
            <v>35.714285714285715</v>
          </cell>
        </row>
        <row r="45">
          <cell r="L45">
            <v>600</v>
          </cell>
          <cell r="M45">
            <v>42.857142857142854</v>
          </cell>
        </row>
        <row r="46">
          <cell r="L46">
            <v>700</v>
          </cell>
          <cell r="M46">
            <v>50</v>
          </cell>
        </row>
        <row r="47">
          <cell r="L47">
            <v>800</v>
          </cell>
          <cell r="M47">
            <v>57.142857142857146</v>
          </cell>
        </row>
        <row r="48">
          <cell r="L48">
            <v>900</v>
          </cell>
          <cell r="M48">
            <v>64.285714285714292</v>
          </cell>
        </row>
        <row r="49">
          <cell r="L49">
            <v>1000</v>
          </cell>
          <cell r="M49">
            <v>71.428571428571431</v>
          </cell>
        </row>
        <row r="50">
          <cell r="L50">
            <v>1100</v>
          </cell>
          <cell r="M50">
            <v>78.571428571428569</v>
          </cell>
        </row>
        <row r="51">
          <cell r="L51">
            <v>1200</v>
          </cell>
          <cell r="M51">
            <v>85.714285714285708</v>
          </cell>
        </row>
        <row r="52">
          <cell r="L52">
            <v>1300</v>
          </cell>
          <cell r="M52">
            <v>92.857142857142861</v>
          </cell>
        </row>
        <row r="53">
          <cell r="L53">
            <v>1400</v>
          </cell>
          <cell r="M53">
            <v>100</v>
          </cell>
        </row>
        <row r="54">
          <cell r="L54">
            <v>1500</v>
          </cell>
          <cell r="M54">
            <v>107.14285714285714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15"/>
  <sheetViews>
    <sheetView tabSelected="1" topLeftCell="A40" zoomScale="70" zoomScaleNormal="70" workbookViewId="0">
      <selection activeCell="B79" sqref="B79"/>
    </sheetView>
  </sheetViews>
  <sheetFormatPr baseColWidth="10" defaultColWidth="12.44140625" defaultRowHeight="14.4" x14ac:dyDescent="0.3"/>
  <cols>
    <col min="1" max="1" width="38.88671875" style="64" customWidth="1"/>
    <col min="2" max="2" width="14.88671875" style="3" bestFit="1" customWidth="1"/>
    <col min="3" max="3" width="14" style="3" customWidth="1"/>
    <col min="4" max="5" width="14.44140625" style="3" bestFit="1" customWidth="1"/>
    <col min="6" max="6" width="14" style="3" bestFit="1" customWidth="1"/>
    <col min="7" max="7" width="14.44140625" style="3" bestFit="1" customWidth="1"/>
    <col min="8" max="9" width="14" style="3" bestFit="1" customWidth="1"/>
    <col min="10" max="11" width="14.44140625" style="3" bestFit="1" customWidth="1"/>
    <col min="12" max="13" width="14" style="3" bestFit="1" customWidth="1"/>
    <col min="14" max="14" width="12.44140625" style="3"/>
    <col min="15" max="15" width="13.5546875" style="3" bestFit="1" customWidth="1"/>
    <col min="16" max="16384" width="12.44140625" style="3"/>
  </cols>
  <sheetData>
    <row r="1" spans="1:17" ht="15" thickBot="1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O1" s="4" t="s">
        <v>13</v>
      </c>
      <c r="P1" s="5"/>
      <c r="Q1" s="6"/>
    </row>
    <row r="2" spans="1:17" ht="15" thickBot="1" x14ac:dyDescent="0.35">
      <c r="A2" s="7" t="s">
        <v>14</v>
      </c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O2" s="9" t="s">
        <v>15</v>
      </c>
      <c r="P2" s="10" t="s">
        <v>16</v>
      </c>
      <c r="Q2" s="11" t="s">
        <v>17</v>
      </c>
    </row>
    <row r="3" spans="1:17" x14ac:dyDescent="0.3">
      <c r="A3" s="12" t="s">
        <v>18</v>
      </c>
      <c r="B3" s="13">
        <v>10.6</v>
      </c>
      <c r="C3" s="13">
        <v>11.8</v>
      </c>
      <c r="D3" s="13">
        <v>14.9</v>
      </c>
      <c r="E3" s="13">
        <v>17.100000000000001</v>
      </c>
      <c r="F3" s="13">
        <v>21.8</v>
      </c>
      <c r="G3" s="13">
        <v>35</v>
      </c>
      <c r="H3" s="13">
        <v>27.4</v>
      </c>
      <c r="I3" s="13">
        <v>27.8</v>
      </c>
      <c r="J3" s="13">
        <v>23</v>
      </c>
      <c r="K3" s="13">
        <v>19</v>
      </c>
      <c r="L3" s="13">
        <v>13.5</v>
      </c>
      <c r="M3" s="13">
        <v>11.3</v>
      </c>
      <c r="O3" s="9">
        <v>0.4</v>
      </c>
      <c r="P3" s="10">
        <v>0.98899999999999999</v>
      </c>
      <c r="Q3" s="11">
        <v>0.33</v>
      </c>
    </row>
    <row r="4" spans="1:17" x14ac:dyDescent="0.3">
      <c r="A4" s="14" t="s">
        <v>19</v>
      </c>
      <c r="B4" s="15">
        <f t="shared" ref="B4:M4" si="0">((B8*10^3)/(B7*B5))+B3</f>
        <v>21.780599385213296</v>
      </c>
      <c r="C4" s="15">
        <f t="shared" si="0"/>
        <v>23.027882977326975</v>
      </c>
      <c r="D4" s="15">
        <f t="shared" si="0"/>
        <v>26.250032256953972</v>
      </c>
      <c r="E4" s="15">
        <f t="shared" si="0"/>
        <v>28.536718842495716</v>
      </c>
      <c r="F4" s="15">
        <f t="shared" si="0"/>
        <v>33.42191291160762</v>
      </c>
      <c r="G4" s="15">
        <f t="shared" si="0"/>
        <v>47.142032424858066</v>
      </c>
      <c r="H4" s="15">
        <f t="shared" si="0"/>
        <v>39.242569674804777</v>
      </c>
      <c r="I4" s="15">
        <f t="shared" si="0"/>
        <v>39.658330872176009</v>
      </c>
      <c r="J4" s="15">
        <f t="shared" si="0"/>
        <v>34.669196503721295</v>
      </c>
      <c r="K4" s="15">
        <f t="shared" si="0"/>
        <v>30.511584530009038</v>
      </c>
      <c r="L4" s="15">
        <f t="shared" si="0"/>
        <v>24.794868066154681</v>
      </c>
      <c r="M4" s="15">
        <f t="shared" si="0"/>
        <v>22.508181480612947</v>
      </c>
      <c r="O4" s="9">
        <v>4</v>
      </c>
      <c r="P4" s="10">
        <v>0.98899999999999999</v>
      </c>
      <c r="Q4" s="11">
        <v>0.33</v>
      </c>
    </row>
    <row r="5" spans="1:17" x14ac:dyDescent="0.3">
      <c r="A5" s="14" t="s">
        <v>20</v>
      </c>
      <c r="B5" s="16">
        <v>1006</v>
      </c>
      <c r="C5" s="17">
        <v>1006</v>
      </c>
      <c r="D5" s="16">
        <v>1006</v>
      </c>
      <c r="E5" s="17">
        <v>1006</v>
      </c>
      <c r="F5" s="16">
        <v>1006</v>
      </c>
      <c r="G5" s="17">
        <v>1006</v>
      </c>
      <c r="H5" s="16">
        <v>1006</v>
      </c>
      <c r="I5" s="17">
        <v>1006</v>
      </c>
      <c r="J5" s="16">
        <v>1006</v>
      </c>
      <c r="K5" s="17">
        <v>1006</v>
      </c>
      <c r="L5" s="16">
        <v>1006</v>
      </c>
      <c r="M5" s="17">
        <v>1006</v>
      </c>
      <c r="O5" s="18">
        <v>40</v>
      </c>
      <c r="P5" s="10">
        <v>0.91100000000000003</v>
      </c>
      <c r="Q5" s="11">
        <v>0.38500000000000001</v>
      </c>
    </row>
    <row r="6" spans="1:17" x14ac:dyDescent="0.3">
      <c r="A6" s="19" t="s">
        <v>21</v>
      </c>
      <c r="B6" s="20">
        <f t="shared" ref="B6:M6" si="1">B47*B18*B14</f>
        <v>14.285714285714286</v>
      </c>
      <c r="C6" s="20">
        <f t="shared" si="1"/>
        <v>35.714285714285715</v>
      </c>
      <c r="D6" s="20">
        <f t="shared" si="1"/>
        <v>78.571428571428569</v>
      </c>
      <c r="E6" s="20">
        <f t="shared" si="1"/>
        <v>14.285714285714286</v>
      </c>
      <c r="F6" s="20">
        <f t="shared" si="1"/>
        <v>35.714285714285715</v>
      </c>
      <c r="G6" s="20">
        <f t="shared" si="1"/>
        <v>78.571428571428569</v>
      </c>
      <c r="H6" s="20">
        <f t="shared" si="1"/>
        <v>14.285714285714286</v>
      </c>
      <c r="I6" s="20">
        <f t="shared" si="1"/>
        <v>35.714285714285715</v>
      </c>
      <c r="J6" s="20">
        <f t="shared" si="1"/>
        <v>78.571428571428569</v>
      </c>
      <c r="K6" s="20">
        <f t="shared" si="1"/>
        <v>42.857142857142854</v>
      </c>
      <c r="L6" s="20">
        <f t="shared" si="1"/>
        <v>28.571428571428573</v>
      </c>
      <c r="M6" s="20">
        <f t="shared" si="1"/>
        <v>21.428571428571427</v>
      </c>
      <c r="O6" s="9">
        <v>4000</v>
      </c>
      <c r="P6" s="10">
        <v>0.68300000000000005</v>
      </c>
      <c r="Q6" s="11">
        <v>0.46600000000000003</v>
      </c>
    </row>
    <row r="7" spans="1:17" x14ac:dyDescent="0.3">
      <c r="A7" s="14" t="s">
        <v>22</v>
      </c>
      <c r="B7" s="21">
        <f>(B6*B23)</f>
        <v>17.781439993331926</v>
      </c>
      <c r="C7" s="21">
        <f t="shared" ref="C7:M7" si="2">(C6*C23)</f>
        <v>44.266394087628825</v>
      </c>
      <c r="D7" s="21">
        <f t="shared" si="2"/>
        <v>96.337996145091623</v>
      </c>
      <c r="E7" s="21">
        <f t="shared" si="2"/>
        <v>17.383233757477811</v>
      </c>
      <c r="F7" s="21">
        <f t="shared" si="2"/>
        <v>42.765583981250508</v>
      </c>
      <c r="G7" s="21">
        <f t="shared" si="2"/>
        <v>90.05406389613384</v>
      </c>
      <c r="H7" s="21">
        <f t="shared" si="2"/>
        <v>16.787501574140528</v>
      </c>
      <c r="I7" s="21">
        <f t="shared" si="2"/>
        <v>41.912972238809886</v>
      </c>
      <c r="J7" s="21">
        <f t="shared" si="2"/>
        <v>93.703055173370387</v>
      </c>
      <c r="K7" s="21">
        <f t="shared" si="2"/>
        <v>51.810545248412808</v>
      </c>
      <c r="L7" s="21">
        <f t="shared" si="2"/>
        <v>35.203095050465272</v>
      </c>
      <c r="M7" s="21">
        <f t="shared" si="2"/>
        <v>26.606522753249777</v>
      </c>
      <c r="O7" s="9">
        <v>40000</v>
      </c>
      <c r="P7" s="10">
        <v>0.193</v>
      </c>
      <c r="Q7" s="11">
        <v>0.61799999999999999</v>
      </c>
    </row>
    <row r="8" spans="1:17" ht="15" thickBot="1" x14ac:dyDescent="0.35">
      <c r="A8" s="22" t="s">
        <v>23</v>
      </c>
      <c r="B8" s="23">
        <f>B13</f>
        <v>200</v>
      </c>
      <c r="C8" s="23">
        <f>C13</f>
        <v>500</v>
      </c>
      <c r="D8" s="23">
        <f t="shared" ref="D8:M8" si="3">D13</f>
        <v>1100</v>
      </c>
      <c r="E8" s="23">
        <f t="shared" si="3"/>
        <v>200</v>
      </c>
      <c r="F8" s="23">
        <f t="shared" si="3"/>
        <v>500</v>
      </c>
      <c r="G8" s="23">
        <f t="shared" si="3"/>
        <v>1100</v>
      </c>
      <c r="H8" s="23">
        <f t="shared" si="3"/>
        <v>200</v>
      </c>
      <c r="I8" s="23">
        <f t="shared" si="3"/>
        <v>500</v>
      </c>
      <c r="J8" s="23">
        <f t="shared" si="3"/>
        <v>1100</v>
      </c>
      <c r="K8" s="23">
        <f t="shared" si="3"/>
        <v>600</v>
      </c>
      <c r="L8" s="23">
        <f t="shared" si="3"/>
        <v>400</v>
      </c>
      <c r="M8" s="23">
        <f t="shared" si="3"/>
        <v>300</v>
      </c>
      <c r="O8" s="24">
        <v>400000</v>
      </c>
      <c r="P8" s="25">
        <v>2.6599999999999999E-2</v>
      </c>
      <c r="Q8" s="26">
        <v>0.80500000000000005</v>
      </c>
    </row>
    <row r="9" spans="1:17" ht="15" thickBot="1" x14ac:dyDescent="0.35">
      <c r="A9" s="22" t="s">
        <v>24</v>
      </c>
      <c r="B9" s="27">
        <f>VLOOKUP(B8,'[1]abaque balti'!$L$40:$M$54,2,TRUE)</f>
        <v>14.285714285714286</v>
      </c>
      <c r="C9" s="27">
        <f>VLOOKUP(C8,'[1]abaque balti'!$L$40:$M$54,2,TRUE)</f>
        <v>35.714285714285715</v>
      </c>
      <c r="D9" s="27">
        <f>VLOOKUP(D8,'[1]abaque balti'!$L$40:$M$54,2,TRUE)</f>
        <v>78.571428571428569</v>
      </c>
      <c r="E9" s="27">
        <f>VLOOKUP(E8,'[1]abaque balti'!$L$40:$M$54,2,TRUE)</f>
        <v>14.285714285714286</v>
      </c>
      <c r="F9" s="27">
        <f>VLOOKUP(F8,'[1]abaque balti'!$L$40:$M$54,2,TRUE)</f>
        <v>35.714285714285715</v>
      </c>
      <c r="G9" s="27">
        <f>VLOOKUP(G8,'[1]abaque balti'!$L$40:$M$54,2,TRUE)</f>
        <v>78.571428571428569</v>
      </c>
      <c r="H9" s="27">
        <f>VLOOKUP(H8,'[1]abaque balti'!$L$40:$M$54,2,TRUE)</f>
        <v>14.285714285714286</v>
      </c>
      <c r="I9" s="27">
        <f>VLOOKUP(I8,'[1]abaque balti'!$L$40:$M$54,2,TRUE)</f>
        <v>35.714285714285715</v>
      </c>
      <c r="J9" s="27">
        <f>VLOOKUP(J8,'[1]abaque balti'!$L$40:$M$54,2,TRUE)</f>
        <v>78.571428571428569</v>
      </c>
      <c r="K9" s="27">
        <f>VLOOKUP(K8,'[1]abaque balti'!$L$40:$M$54,2,TRUE)</f>
        <v>42.857142857142854</v>
      </c>
      <c r="L9" s="27">
        <f>VLOOKUP(L8,'[1]abaque balti'!$L$40:$M$54,2,TRUE)</f>
        <v>28.571428571428573</v>
      </c>
      <c r="M9" s="27">
        <f>VLOOKUP(M8,'[1]abaque balti'!$L$40:$M$54,2,TRUE)</f>
        <v>21.428571428571427</v>
      </c>
    </row>
    <row r="10" spans="1:17" ht="15" thickBot="1" x14ac:dyDescent="0.35">
      <c r="A10" s="28" t="s">
        <v>25</v>
      </c>
    </row>
    <row r="11" spans="1:17" x14ac:dyDescent="0.3">
      <c r="A11" s="29" t="s">
        <v>26</v>
      </c>
      <c r="B11" s="30">
        <v>17</v>
      </c>
      <c r="C11" s="31">
        <v>43.2</v>
      </c>
      <c r="D11" s="31">
        <v>94</v>
      </c>
      <c r="E11" s="31">
        <v>17</v>
      </c>
      <c r="F11" s="31">
        <v>43.2</v>
      </c>
      <c r="G11" s="31">
        <v>94</v>
      </c>
      <c r="H11" s="31">
        <v>17</v>
      </c>
      <c r="I11" s="31">
        <v>43.2</v>
      </c>
      <c r="J11" s="31">
        <v>94</v>
      </c>
      <c r="K11" s="31">
        <v>51</v>
      </c>
      <c r="L11" s="31">
        <v>34</v>
      </c>
      <c r="M11" s="31">
        <v>25</v>
      </c>
    </row>
    <row r="12" spans="1:17" x14ac:dyDescent="0.3">
      <c r="A12" s="32" t="s">
        <v>27</v>
      </c>
      <c r="B12" s="33">
        <f>(B11*B33)/3600</f>
        <v>4.7093160106776102</v>
      </c>
      <c r="C12" s="34">
        <f t="shared" ref="C12:M12" si="4">(C11*C33)/3600</f>
        <v>11.957752295289652</v>
      </c>
      <c r="D12" s="34">
        <f t="shared" si="4"/>
        <v>25.951203738700062</v>
      </c>
      <c r="E12" s="34">
        <f t="shared" si="4"/>
        <v>4.7002343726681071</v>
      </c>
      <c r="F12" s="34">
        <f t="shared" si="4"/>
        <v>11.918578992863782</v>
      </c>
      <c r="G12" s="34">
        <f t="shared" si="4"/>
        <v>25.790517035304866</v>
      </c>
      <c r="H12" s="34">
        <f t="shared" si="4"/>
        <v>4.6823528224594275</v>
      </c>
      <c r="I12" s="34">
        <f t="shared" si="4"/>
        <v>11.889357332679317</v>
      </c>
      <c r="J12" s="34">
        <f t="shared" si="4"/>
        <v>25.918295370541468</v>
      </c>
      <c r="K12" s="34">
        <f t="shared" si="4"/>
        <v>14.079965293319631</v>
      </c>
      <c r="L12" s="34">
        <f t="shared" si="4"/>
        <v>9.4096003701141271</v>
      </c>
      <c r="M12" s="34">
        <f t="shared" si="4"/>
        <v>6.9251993354863668</v>
      </c>
    </row>
    <row r="13" spans="1:17" x14ac:dyDescent="0.3">
      <c r="A13" s="35" t="s">
        <v>28</v>
      </c>
      <c r="B13" s="36">
        <v>200</v>
      </c>
      <c r="C13" s="37">
        <v>500</v>
      </c>
      <c r="D13" s="37">
        <v>1100</v>
      </c>
      <c r="E13" s="37">
        <v>200</v>
      </c>
      <c r="F13" s="37">
        <v>500</v>
      </c>
      <c r="G13" s="37">
        <v>1100</v>
      </c>
      <c r="H13" s="37">
        <v>200</v>
      </c>
      <c r="I13" s="37">
        <v>500</v>
      </c>
      <c r="J13" s="37">
        <v>1100</v>
      </c>
      <c r="K13" s="37">
        <v>600</v>
      </c>
      <c r="L13" s="37">
        <v>400</v>
      </c>
      <c r="M13" s="37">
        <v>300</v>
      </c>
    </row>
    <row r="14" spans="1:17" x14ac:dyDescent="0.3">
      <c r="A14" s="38" t="s">
        <v>29</v>
      </c>
      <c r="B14" s="39">
        <f>IF($A$1="V",2,1)</f>
        <v>2</v>
      </c>
      <c r="C14" s="39">
        <f t="shared" ref="C14:M14" si="5">IF($A$1="V",2,1)</f>
        <v>2</v>
      </c>
      <c r="D14" s="39">
        <f t="shared" si="5"/>
        <v>2</v>
      </c>
      <c r="E14" s="39">
        <f t="shared" si="5"/>
        <v>2</v>
      </c>
      <c r="F14" s="39">
        <f t="shared" si="5"/>
        <v>2</v>
      </c>
      <c r="G14" s="39">
        <f t="shared" si="5"/>
        <v>2</v>
      </c>
      <c r="H14" s="39">
        <f t="shared" si="5"/>
        <v>2</v>
      </c>
      <c r="I14" s="39">
        <f t="shared" si="5"/>
        <v>2</v>
      </c>
      <c r="J14" s="39">
        <f t="shared" si="5"/>
        <v>2</v>
      </c>
      <c r="K14" s="39">
        <f t="shared" si="5"/>
        <v>2</v>
      </c>
      <c r="L14" s="39">
        <f t="shared" si="5"/>
        <v>2</v>
      </c>
      <c r="M14" s="39">
        <f t="shared" si="5"/>
        <v>2</v>
      </c>
    </row>
    <row r="15" spans="1:17" ht="15" thickBot="1" x14ac:dyDescent="0.35">
      <c r="A15" s="40" t="s">
        <v>30</v>
      </c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</row>
    <row r="16" spans="1:17" x14ac:dyDescent="0.3">
      <c r="A16" s="42" t="s">
        <v>31</v>
      </c>
      <c r="B16" s="43">
        <f>B40*2</f>
        <v>1.67E-2</v>
      </c>
      <c r="C16" s="43">
        <f t="shared" ref="C16:M16" si="6">C40*2</f>
        <v>1.67E-2</v>
      </c>
      <c r="D16" s="43">
        <f t="shared" si="6"/>
        <v>1.67E-2</v>
      </c>
      <c r="E16" s="43">
        <f t="shared" si="6"/>
        <v>1.67E-2</v>
      </c>
      <c r="F16" s="43">
        <f t="shared" si="6"/>
        <v>1.67E-2</v>
      </c>
      <c r="G16" s="43">
        <f t="shared" si="6"/>
        <v>1.67E-2</v>
      </c>
      <c r="H16" s="43">
        <f t="shared" si="6"/>
        <v>1.67E-2</v>
      </c>
      <c r="I16" s="43">
        <f t="shared" si="6"/>
        <v>1.67E-2</v>
      </c>
      <c r="J16" s="43">
        <f t="shared" si="6"/>
        <v>1.67E-2</v>
      </c>
      <c r="K16" s="43">
        <f t="shared" si="6"/>
        <v>1.67E-2</v>
      </c>
      <c r="L16" s="43">
        <f t="shared" si="6"/>
        <v>1.67E-2</v>
      </c>
      <c r="M16" s="43">
        <f t="shared" si="6"/>
        <v>1.67E-2</v>
      </c>
    </row>
    <row r="17" spans="1:17" x14ac:dyDescent="0.3">
      <c r="A17" s="44" t="s">
        <v>32</v>
      </c>
      <c r="B17" s="45">
        <f t="shared" ref="B17:M17" si="7">1.5207*10^(-11)*(B3+273.15)^3-4.857*10^(-8)*(B3+273.15)^2+1.1084*10^(-4)*(B3+273.15)-3.9333*10^(-4)</f>
        <v>2.7494369056994143E-2</v>
      </c>
      <c r="C17" s="45">
        <f t="shared" si="7"/>
        <v>2.7598657371666818E-2</v>
      </c>
      <c r="D17" s="45">
        <f t="shared" si="7"/>
        <v>2.7867595084339218E-2</v>
      </c>
      <c r="E17" s="45">
        <f t="shared" si="7"/>
        <v>2.8058040846018234E-2</v>
      </c>
      <c r="F17" s="45">
        <f t="shared" si="7"/>
        <v>2.8463757775467339E-2</v>
      </c>
      <c r="G17" s="45">
        <f t="shared" si="7"/>
        <v>2.9594951873145457E-2</v>
      </c>
      <c r="H17" s="45">
        <f t="shared" si="7"/>
        <v>2.8945140589710816E-2</v>
      </c>
      <c r="I17" s="45">
        <f t="shared" si="7"/>
        <v>2.897944122599885E-2</v>
      </c>
      <c r="J17" s="45">
        <f t="shared" si="7"/>
        <v>2.8567096092044591E-2</v>
      </c>
      <c r="K17" s="45">
        <f t="shared" si="7"/>
        <v>2.8222241486513897E-2</v>
      </c>
      <c r="L17" s="45">
        <f t="shared" si="7"/>
        <v>2.7746223826712161E-2</v>
      </c>
      <c r="M17" s="45">
        <f t="shared" si="7"/>
        <v>2.7555216365871653E-2</v>
      </c>
    </row>
    <row r="18" spans="1:17" x14ac:dyDescent="0.3">
      <c r="A18" s="46" t="s">
        <v>33</v>
      </c>
      <c r="B18" s="47">
        <f t="shared" ref="B18:M18" si="8">B9*B74/(B47*B14)</f>
        <v>1.098901098901099</v>
      </c>
      <c r="C18" s="47">
        <f t="shared" si="8"/>
        <v>1.7170329670329669</v>
      </c>
      <c r="D18" s="47">
        <f t="shared" si="8"/>
        <v>3.7774725274725274</v>
      </c>
      <c r="E18" s="47">
        <f t="shared" si="8"/>
        <v>1.098901098901099</v>
      </c>
      <c r="F18" s="47">
        <f t="shared" si="8"/>
        <v>1.7170329670329669</v>
      </c>
      <c r="G18" s="47">
        <f t="shared" si="8"/>
        <v>1.6788766788766787</v>
      </c>
      <c r="H18" s="47">
        <f t="shared" si="8"/>
        <v>1.098901098901099</v>
      </c>
      <c r="I18" s="47">
        <f t="shared" si="8"/>
        <v>1.7170329670329669</v>
      </c>
      <c r="J18" s="47">
        <f t="shared" si="8"/>
        <v>2.033422064477965</v>
      </c>
      <c r="K18" s="47">
        <f t="shared" si="8"/>
        <v>2.0604395604395602</v>
      </c>
      <c r="L18" s="47">
        <f t="shared" si="8"/>
        <v>1.3736263736263736</v>
      </c>
      <c r="M18" s="47">
        <f t="shared" si="8"/>
        <v>1.0302197802197801</v>
      </c>
    </row>
    <row r="19" spans="1:17" x14ac:dyDescent="0.3">
      <c r="A19" s="44" t="s">
        <v>34</v>
      </c>
      <c r="B19" s="48">
        <f t="shared" ref="B19:M19" si="9">8.8848*10^(-15)*(B3+273.15)^3-3.2398*10^(-11)*(B3+273.15)^2+6.2657*10^(-8)*(B3+273.15)+2.3543*10^(-6)</f>
        <v>1.7727710096559375E-5</v>
      </c>
      <c r="C19" s="48">
        <f t="shared" si="9"/>
        <v>1.7783374976613147E-5</v>
      </c>
      <c r="D19" s="48">
        <f t="shared" si="9"/>
        <v>1.7926845520070558E-5</v>
      </c>
      <c r="E19" s="48">
        <f t="shared" si="9"/>
        <v>1.8028374994334827E-5</v>
      </c>
      <c r="F19" s="48">
        <f t="shared" si="9"/>
        <v>1.8244479817103506E-5</v>
      </c>
      <c r="G19" s="48">
        <f t="shared" si="9"/>
        <v>1.8845632921537818E-5</v>
      </c>
      <c r="H19" s="48">
        <f t="shared" si="9"/>
        <v>1.8500551622770007E-5</v>
      </c>
      <c r="I19" s="48">
        <f t="shared" si="9"/>
        <v>1.8518783826301406E-5</v>
      </c>
      <c r="J19" s="48">
        <f t="shared" si="9"/>
        <v>1.8299481579472649E-5</v>
      </c>
      <c r="K19" s="48">
        <f t="shared" si="9"/>
        <v>1.8115867405971033E-5</v>
      </c>
      <c r="L19" s="48">
        <f t="shared" si="9"/>
        <v>1.7862111300644773E-5</v>
      </c>
      <c r="M19" s="48">
        <f t="shared" si="9"/>
        <v>1.776018996286725E-5</v>
      </c>
    </row>
    <row r="20" spans="1:17" x14ac:dyDescent="0.3">
      <c r="A20" s="44" t="s">
        <v>35</v>
      </c>
      <c r="B20" s="48">
        <f>B19/B23</f>
        <v>1.4242547368176596E-5</v>
      </c>
      <c r="C20" s="49">
        <v>1.5999999999999999E-5</v>
      </c>
      <c r="D20" s="49">
        <v>1.5999999999999999E-5</v>
      </c>
      <c r="E20" s="49">
        <v>1.5999999999999999E-5</v>
      </c>
      <c r="F20" s="49">
        <v>1.5999999999999999E-5</v>
      </c>
      <c r="G20" s="49">
        <v>1.5999999999999999E-5</v>
      </c>
      <c r="H20" s="49">
        <v>1.5999999999999999E-5</v>
      </c>
      <c r="I20" s="49">
        <v>1.5999999999999999E-5</v>
      </c>
      <c r="J20" s="49">
        <v>1.5999999999999999E-5</v>
      </c>
      <c r="K20" s="49">
        <v>1.5999999999999999E-5</v>
      </c>
      <c r="L20" s="49">
        <v>1.5999999999999999E-5</v>
      </c>
      <c r="M20" s="49">
        <v>1.5999999999999999E-5</v>
      </c>
    </row>
    <row r="21" spans="1:17" x14ac:dyDescent="0.3">
      <c r="A21" s="44" t="s">
        <v>36</v>
      </c>
      <c r="B21" s="50">
        <v>0</v>
      </c>
      <c r="C21" s="50">
        <v>0</v>
      </c>
      <c r="D21" s="50">
        <v>0</v>
      </c>
      <c r="E21" s="50">
        <v>0</v>
      </c>
      <c r="F21" s="50">
        <v>0</v>
      </c>
      <c r="G21" s="50">
        <v>0</v>
      </c>
      <c r="H21" s="50">
        <v>0</v>
      </c>
      <c r="I21" s="50">
        <v>0</v>
      </c>
      <c r="J21" s="50">
        <v>0</v>
      </c>
      <c r="K21" s="50">
        <v>0</v>
      </c>
      <c r="L21" s="50">
        <v>0</v>
      </c>
      <c r="M21" s="50">
        <v>0</v>
      </c>
    </row>
    <row r="22" spans="1:17" x14ac:dyDescent="0.3">
      <c r="A22" s="44" t="s">
        <v>37</v>
      </c>
      <c r="B22" s="51">
        <f>1.19745*10^(-10)*(288.15-0.0065*B21)^5.25588</f>
        <v>1013.2525873766006</v>
      </c>
      <c r="C22" s="51">
        <f t="shared" ref="C22:M22" si="10">1.19745*10^(-10)*(288.15-0.0065*C21)^5.25588</f>
        <v>1013.2525873766006</v>
      </c>
      <c r="D22" s="51">
        <f t="shared" si="10"/>
        <v>1013.2525873766006</v>
      </c>
      <c r="E22" s="51">
        <f t="shared" si="10"/>
        <v>1013.2525873766006</v>
      </c>
      <c r="F22" s="51">
        <f t="shared" si="10"/>
        <v>1013.2525873766006</v>
      </c>
      <c r="G22" s="51">
        <f t="shared" si="10"/>
        <v>1013.2525873766006</v>
      </c>
      <c r="H22" s="51">
        <f t="shared" si="10"/>
        <v>1013.2525873766006</v>
      </c>
      <c r="I22" s="51">
        <f t="shared" si="10"/>
        <v>1013.2525873766006</v>
      </c>
      <c r="J22" s="51">
        <f t="shared" si="10"/>
        <v>1013.2525873766006</v>
      </c>
      <c r="K22" s="51">
        <f t="shared" si="10"/>
        <v>1013.2525873766006</v>
      </c>
      <c r="L22" s="51">
        <f t="shared" si="10"/>
        <v>1013.2525873766006</v>
      </c>
      <c r="M22" s="51">
        <f t="shared" si="10"/>
        <v>1013.2525873766006</v>
      </c>
    </row>
    <row r="23" spans="1:17" x14ac:dyDescent="0.3">
      <c r="A23" s="44" t="s">
        <v>38</v>
      </c>
      <c r="B23" s="52">
        <f t="shared" ref="B23:M23" si="11">1.293*(273.15/(B3+273.15))*(B22*100/101325)</f>
        <v>1.2447007995332346</v>
      </c>
      <c r="C23" s="52">
        <f t="shared" si="11"/>
        <v>1.2394590344536072</v>
      </c>
      <c r="D23" s="52">
        <f t="shared" si="11"/>
        <v>1.2261199509375298</v>
      </c>
      <c r="E23" s="52">
        <f t="shared" si="11"/>
        <v>1.2168263630234466</v>
      </c>
      <c r="F23" s="52">
        <f t="shared" si="11"/>
        <v>1.1974363514750141</v>
      </c>
      <c r="G23" s="52">
        <f t="shared" si="11"/>
        <v>1.1461426314053398</v>
      </c>
      <c r="H23" s="52">
        <f t="shared" si="11"/>
        <v>1.1751251101898368</v>
      </c>
      <c r="I23" s="52">
        <f t="shared" si="11"/>
        <v>1.1735632226866768</v>
      </c>
      <c r="J23" s="52">
        <f t="shared" si="11"/>
        <v>1.1925843385701687</v>
      </c>
      <c r="K23" s="52">
        <f t="shared" si="11"/>
        <v>1.2089127224629657</v>
      </c>
      <c r="L23" s="52">
        <f t="shared" si="11"/>
        <v>1.2321083267662845</v>
      </c>
      <c r="M23" s="52">
        <f t="shared" si="11"/>
        <v>1.2416377284849898</v>
      </c>
    </row>
    <row r="24" spans="1:17" x14ac:dyDescent="0.3">
      <c r="A24" s="44" t="s">
        <v>39</v>
      </c>
      <c r="B24" s="53">
        <f>B19*B5/B17</f>
        <v>0.64864468503240724</v>
      </c>
      <c r="C24" s="53">
        <f t="shared" ref="C24:M24" si="12">C19*C5/C17</f>
        <v>0.64822266480394208</v>
      </c>
      <c r="D24" s="53">
        <f t="shared" si="12"/>
        <v>0.64714614011762339</v>
      </c>
      <c r="E24" s="53">
        <f t="shared" si="12"/>
        <v>0.64639385707055264</v>
      </c>
      <c r="F24" s="53">
        <f t="shared" si="12"/>
        <v>0.64481811715757476</v>
      </c>
      <c r="G24" s="53">
        <f t="shared" si="12"/>
        <v>0.64060610067321067</v>
      </c>
      <c r="H24" s="53">
        <f t="shared" si="12"/>
        <v>0.64299411069789414</v>
      </c>
      <c r="I24" s="53">
        <f t="shared" si="12"/>
        <v>0.64286596777254068</v>
      </c>
      <c r="J24" s="53">
        <f t="shared" si="12"/>
        <v>0.64442246455971175</v>
      </c>
      <c r="K24" s="53">
        <f t="shared" si="12"/>
        <v>0.64575177769333225</v>
      </c>
      <c r="L24" s="53">
        <f t="shared" si="12"/>
        <v>0.64762989301445217</v>
      </c>
      <c r="M24" s="53">
        <f t="shared" si="12"/>
        <v>0.64839814231229231</v>
      </c>
    </row>
    <row r="25" spans="1:17" x14ac:dyDescent="0.3">
      <c r="A25" s="44" t="s">
        <v>40</v>
      </c>
      <c r="B25" s="54">
        <f>B18*B16/B20</f>
        <v>1288.5088514891017</v>
      </c>
      <c r="C25" s="55">
        <f t="shared" ref="C25:M25" si="13">C18*C16/C20</f>
        <v>1792.1531593406594</v>
      </c>
      <c r="D25" s="55">
        <f t="shared" si="13"/>
        <v>3942.7369505494507</v>
      </c>
      <c r="E25" s="55">
        <f t="shared" si="13"/>
        <v>1146.9780219780223</v>
      </c>
      <c r="F25" s="55">
        <f t="shared" si="13"/>
        <v>1792.1531593406594</v>
      </c>
      <c r="G25" s="55">
        <f t="shared" si="13"/>
        <v>1752.3275335775336</v>
      </c>
      <c r="H25" s="55">
        <f t="shared" si="13"/>
        <v>1146.9780219780223</v>
      </c>
      <c r="I25" s="55">
        <f t="shared" si="13"/>
        <v>1792.1531593406594</v>
      </c>
      <c r="J25" s="55">
        <f t="shared" si="13"/>
        <v>2122.3842797988764</v>
      </c>
      <c r="K25" s="55">
        <f t="shared" si="13"/>
        <v>2150.5837912087909</v>
      </c>
      <c r="L25" s="55">
        <f t="shared" si="13"/>
        <v>1433.7225274725274</v>
      </c>
      <c r="M25" s="55">
        <f t="shared" si="13"/>
        <v>1075.2918956043954</v>
      </c>
    </row>
    <row r="26" spans="1:17" x14ac:dyDescent="0.3">
      <c r="A26" s="44" t="s">
        <v>41</v>
      </c>
      <c r="B26" s="56">
        <v>0.68300000000000005</v>
      </c>
      <c r="C26" s="56">
        <v>0.68300000000000005</v>
      </c>
      <c r="D26" s="56">
        <v>0.68300000000000005</v>
      </c>
      <c r="E26" s="56">
        <v>0.68300000000000005</v>
      </c>
      <c r="F26" s="56">
        <v>0.68300000000000005</v>
      </c>
      <c r="G26" s="56">
        <v>0.68300000000000005</v>
      </c>
      <c r="H26" s="56">
        <v>0.68300000000000005</v>
      </c>
      <c r="I26" s="56">
        <v>0.68300000000000005</v>
      </c>
      <c r="J26" s="56">
        <v>0.68300000000000005</v>
      </c>
      <c r="K26" s="56">
        <v>0.68300000000000005</v>
      </c>
      <c r="L26" s="56">
        <v>0.68300000000000005</v>
      </c>
      <c r="M26" s="56">
        <v>0.68300000000000005</v>
      </c>
      <c r="N26" s="57"/>
      <c r="O26" s="57"/>
      <c r="P26" s="57"/>
      <c r="Q26" s="57"/>
    </row>
    <row r="27" spans="1:17" x14ac:dyDescent="0.3">
      <c r="A27" s="44" t="s">
        <v>42</v>
      </c>
      <c r="B27" s="58">
        <v>0.46600000000000003</v>
      </c>
      <c r="C27" s="56">
        <v>0.46600000000000003</v>
      </c>
      <c r="D27" s="56">
        <v>0.46600000000000003</v>
      </c>
      <c r="E27" s="56">
        <v>0.46600000000000003</v>
      </c>
      <c r="F27" s="56">
        <v>0.46600000000000003</v>
      </c>
      <c r="G27" s="56">
        <v>0.46600000000000003</v>
      </c>
      <c r="H27" s="56">
        <v>0.46600000000000003</v>
      </c>
      <c r="I27" s="56">
        <v>0.46600000000000003</v>
      </c>
      <c r="J27" s="56">
        <v>0.46600000000000003</v>
      </c>
      <c r="K27" s="56">
        <v>0.46600000000000003</v>
      </c>
      <c r="L27" s="56">
        <v>0.46600000000000003</v>
      </c>
      <c r="M27" s="56">
        <v>0.46600000000000003</v>
      </c>
      <c r="N27" s="57"/>
      <c r="O27" s="57"/>
      <c r="P27" s="57"/>
      <c r="Q27" s="57"/>
    </row>
    <row r="28" spans="1:17" x14ac:dyDescent="0.3">
      <c r="A28" s="44" t="s">
        <v>43</v>
      </c>
      <c r="B28" s="59">
        <f>B26*(B25^(B27))*B24^(1/3)</f>
        <v>16.636311988820438</v>
      </c>
      <c r="C28" s="60">
        <f t="shared" ref="C28:M28" si="14">C26*(C25^(C27))*C24^(1/3)</f>
        <v>19.397015577627027</v>
      </c>
      <c r="D28" s="60">
        <f t="shared" si="14"/>
        <v>27.993891065947938</v>
      </c>
      <c r="E28" s="60">
        <f t="shared" si="14"/>
        <v>15.740038319931951</v>
      </c>
      <c r="F28" s="60">
        <f t="shared" si="14"/>
        <v>19.362997423433967</v>
      </c>
      <c r="G28" s="60">
        <f t="shared" si="14"/>
        <v>19.119467090901562</v>
      </c>
      <c r="H28" s="60">
        <f t="shared" si="14"/>
        <v>15.712394580522979</v>
      </c>
      <c r="I28" s="60">
        <f t="shared" si="14"/>
        <v>19.343437554783154</v>
      </c>
      <c r="J28" s="60">
        <f t="shared" si="14"/>
        <v>20.946473707711103</v>
      </c>
      <c r="K28" s="60">
        <f t="shared" si="14"/>
        <v>21.09019076728444</v>
      </c>
      <c r="L28" s="60">
        <f t="shared" si="14"/>
        <v>17.476014916704464</v>
      </c>
      <c r="M28" s="60">
        <f t="shared" si="14"/>
        <v>15.289475262392205</v>
      </c>
      <c r="N28" s="57"/>
      <c r="O28" s="57"/>
      <c r="P28" s="57"/>
      <c r="Q28" s="57"/>
    </row>
    <row r="29" spans="1:17" ht="15" thickBot="1" x14ac:dyDescent="0.35">
      <c r="A29" s="61" t="s">
        <v>44</v>
      </c>
      <c r="B29" s="62">
        <f>B28*B17/B16</f>
        <v>27.389515063947627</v>
      </c>
      <c r="C29" s="63">
        <f t="shared" ref="C29:M29" si="15">C28*C17/C16</f>
        <v>32.055783650288156</v>
      </c>
      <c r="D29" s="63">
        <f t="shared" si="15"/>
        <v>46.713917428798702</v>
      </c>
      <c r="E29" s="63">
        <f t="shared" si="15"/>
        <v>26.44518791009239</v>
      </c>
      <c r="F29" s="63">
        <f t="shared" si="15"/>
        <v>33.002614878300754</v>
      </c>
      <c r="G29" s="63">
        <f t="shared" si="15"/>
        <v>33.882617269186831</v>
      </c>
      <c r="H29" s="63">
        <f t="shared" si="15"/>
        <v>27.233381445164547</v>
      </c>
      <c r="I29" s="63">
        <f t="shared" si="15"/>
        <v>33.56658752859984</v>
      </c>
      <c r="J29" s="63">
        <f t="shared" si="15"/>
        <v>35.831133365129858</v>
      </c>
      <c r="K29" s="63">
        <f t="shared" si="15"/>
        <v>35.641464480895046</v>
      </c>
      <c r="L29" s="63">
        <f t="shared" si="15"/>
        <v>29.035534220230094</v>
      </c>
      <c r="M29" s="63">
        <f t="shared" si="15"/>
        <v>25.227832274003564</v>
      </c>
      <c r="N29" s="57"/>
      <c r="O29" s="57"/>
      <c r="P29" s="57"/>
      <c r="Q29" s="57"/>
    </row>
    <row r="30" spans="1:17" ht="15" thickBot="1" x14ac:dyDescent="0.35">
      <c r="N30" s="57"/>
      <c r="O30" s="57"/>
      <c r="P30" s="57"/>
      <c r="Q30" s="57"/>
    </row>
    <row r="31" spans="1:17" ht="15" thickBot="1" x14ac:dyDescent="0.35">
      <c r="A31" s="65" t="s">
        <v>45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57"/>
      <c r="O31" s="57"/>
      <c r="P31" s="57"/>
      <c r="Q31" s="57"/>
    </row>
    <row r="32" spans="1:17" x14ac:dyDescent="0.3">
      <c r="A32" s="29" t="s">
        <v>46</v>
      </c>
      <c r="B32" s="67">
        <v>4181</v>
      </c>
      <c r="C32" s="68">
        <v>4181</v>
      </c>
      <c r="D32" s="68">
        <v>4181</v>
      </c>
      <c r="E32" s="68">
        <v>4181</v>
      </c>
      <c r="F32" s="68">
        <v>4181</v>
      </c>
      <c r="G32" s="68">
        <v>4181</v>
      </c>
      <c r="H32" s="68">
        <v>4181</v>
      </c>
      <c r="I32" s="68">
        <v>4181</v>
      </c>
      <c r="J32" s="68">
        <v>4181</v>
      </c>
      <c r="K32" s="68">
        <v>4181</v>
      </c>
      <c r="L32" s="68">
        <v>4181</v>
      </c>
      <c r="M32" s="68">
        <v>4181</v>
      </c>
      <c r="N32" s="57"/>
      <c r="O32" s="57"/>
      <c r="P32" s="57"/>
      <c r="Q32" s="57"/>
    </row>
    <row r="33" spans="1:17" x14ac:dyDescent="0.3">
      <c r="A33" s="32" t="s">
        <v>47</v>
      </c>
      <c r="B33" s="69">
        <f>-0.005*((B59+B58)/2)^2-0.0058*((B59+B58)/2)+1000.4</f>
        <v>997.26691990819984</v>
      </c>
      <c r="C33" s="69">
        <f t="shared" ref="C33:M33" si="16">-0.005*((C59+C58)/2)^2-0.0058*((C59+C58)/2)+1000.4</f>
        <v>996.47935794080422</v>
      </c>
      <c r="D33" s="69">
        <f t="shared" si="16"/>
        <v>993.87588786510889</v>
      </c>
      <c r="E33" s="69">
        <f t="shared" si="16"/>
        <v>995.34374950618735</v>
      </c>
      <c r="F33" s="69">
        <f t="shared" si="16"/>
        <v>993.21491607198175</v>
      </c>
      <c r="G33" s="69">
        <f t="shared" si="16"/>
        <v>987.72192901167568</v>
      </c>
      <c r="H33" s="69">
        <f t="shared" si="16"/>
        <v>991.55706828552582</v>
      </c>
      <c r="I33" s="69">
        <f t="shared" si="16"/>
        <v>990.77977772327642</v>
      </c>
      <c r="J33" s="69">
        <f t="shared" si="16"/>
        <v>992.61556738243917</v>
      </c>
      <c r="K33" s="69">
        <f t="shared" si="16"/>
        <v>993.87990305785638</v>
      </c>
      <c r="L33" s="69">
        <f t="shared" si="16"/>
        <v>996.31062742384881</v>
      </c>
      <c r="M33" s="69">
        <f t="shared" si="16"/>
        <v>997.22870431003685</v>
      </c>
      <c r="N33" s="57"/>
      <c r="O33" s="57"/>
      <c r="P33" s="57"/>
      <c r="Q33" s="57"/>
    </row>
    <row r="34" spans="1:17" x14ac:dyDescent="0.3">
      <c r="A34" s="70" t="s">
        <v>34</v>
      </c>
      <c r="B34" s="71">
        <f>B35*B33</f>
        <v>1.1341814906638593E-3</v>
      </c>
      <c r="C34" s="71">
        <f t="shared" ref="C34:M34" si="17">C35*C33</f>
        <v>1.068888183823053E-3</v>
      </c>
      <c r="D34" s="71">
        <f t="shared" si="17"/>
        <v>9.2181541485604902E-4</v>
      </c>
      <c r="E34" s="71">
        <f t="shared" si="17"/>
        <v>9.9481105041516397E-4</v>
      </c>
      <c r="F34" s="71">
        <f t="shared" si="17"/>
        <v>8.9474083331593328E-4</v>
      </c>
      <c r="G34" s="71">
        <f t="shared" si="17"/>
        <v>7.4298689059849063E-4</v>
      </c>
      <c r="H34" s="71">
        <f t="shared" si="17"/>
        <v>8.3781712496890364E-4</v>
      </c>
      <c r="I34" s="71">
        <f t="shared" si="17"/>
        <v>8.1525066419239651E-4</v>
      </c>
      <c r="J34" s="71">
        <f t="shared" si="17"/>
        <v>8.7255154669393063E-4</v>
      </c>
      <c r="K34" s="71">
        <f t="shared" si="17"/>
        <v>9.2198927844703378E-4</v>
      </c>
      <c r="L34" s="71">
        <f t="shared" si="17"/>
        <v>1.0565868407192184E-3</v>
      </c>
      <c r="M34" s="71">
        <f t="shared" si="17"/>
        <v>1.1306670424223125E-3</v>
      </c>
      <c r="N34" s="57"/>
      <c r="O34" s="57"/>
      <c r="P34" s="57"/>
      <c r="Q34" s="57"/>
    </row>
    <row r="35" spans="1:17" x14ac:dyDescent="0.3">
      <c r="A35" s="70" t="s">
        <v>35</v>
      </c>
      <c r="B35" s="71">
        <f>-4*10^(-12)*((B59+B58)/2)^3+7*10^-10*((B59+B58)/2)^2-5*10^(-8)*((B59+B58)/2)+2*10^(-6)</f>
        <v>1.1372897947605269E-6</v>
      </c>
      <c r="C35" s="71">
        <f t="shared" ref="C35:M35" si="18">-4*10^(-12)*((C59+C58)/2)^3+7*10^-10*((C59+C58)/2)^2-5*10^(-8)*((C59+C58)/2)+2*10^(-6)</f>
        <v>1.0726646521126935E-6</v>
      </c>
      <c r="D35" s="71">
        <f t="shared" si="18"/>
        <v>9.2749550131068268E-7</v>
      </c>
      <c r="E35" s="71">
        <f t="shared" si="18"/>
        <v>9.9946480892527058E-7</v>
      </c>
      <c r="F35" s="71">
        <f t="shared" si="18"/>
        <v>9.0085319787030695E-7</v>
      </c>
      <c r="G35" s="71">
        <f t="shared" si="18"/>
        <v>7.5222273473459341E-7</v>
      </c>
      <c r="H35" s="71">
        <f t="shared" si="18"/>
        <v>8.4495098846660466E-7</v>
      </c>
      <c r="I35" s="71">
        <f t="shared" si="18"/>
        <v>8.2283740799168293E-7</v>
      </c>
      <c r="J35" s="71">
        <f t="shared" si="18"/>
        <v>8.7904277886239339E-7</v>
      </c>
      <c r="K35" s="71">
        <f t="shared" si="18"/>
        <v>9.2766668851071671E-7</v>
      </c>
      <c r="L35" s="71">
        <f t="shared" si="18"/>
        <v>1.0604994181897117E-6</v>
      </c>
      <c r="M35" s="71">
        <f t="shared" si="18"/>
        <v>1.1338091628686112E-6</v>
      </c>
      <c r="N35" s="57"/>
      <c r="O35" s="57"/>
      <c r="P35" s="57"/>
      <c r="Q35" s="57"/>
    </row>
    <row r="36" spans="1:17" x14ac:dyDescent="0.3">
      <c r="A36" s="32" t="s">
        <v>48</v>
      </c>
      <c r="B36" s="72">
        <v>0.6</v>
      </c>
      <c r="C36" s="73">
        <v>0.6</v>
      </c>
      <c r="D36" s="73">
        <v>0.6</v>
      </c>
      <c r="E36" s="73">
        <v>0.6</v>
      </c>
      <c r="F36" s="73">
        <v>0.6</v>
      </c>
      <c r="G36" s="73">
        <v>0.6</v>
      </c>
      <c r="H36" s="73">
        <v>0.6</v>
      </c>
      <c r="I36" s="73">
        <v>0.6</v>
      </c>
      <c r="J36" s="73">
        <v>0.6</v>
      </c>
      <c r="K36" s="73">
        <v>0.6</v>
      </c>
      <c r="L36" s="73">
        <v>0.6</v>
      </c>
      <c r="M36" s="73">
        <v>0.6</v>
      </c>
      <c r="N36" s="57"/>
      <c r="O36" s="57"/>
      <c r="P36" s="57"/>
      <c r="Q36" s="57"/>
    </row>
    <row r="37" spans="1:17" x14ac:dyDescent="0.3">
      <c r="A37" s="32" t="s">
        <v>49</v>
      </c>
      <c r="B37" s="74">
        <f>B38*2</f>
        <v>1.5900000000000001E-2</v>
      </c>
      <c r="C37" s="75">
        <f t="shared" ref="C37:M37" si="19">C38*2</f>
        <v>1.5900000000000001E-2</v>
      </c>
      <c r="D37" s="75">
        <f t="shared" si="19"/>
        <v>1.5900000000000001E-2</v>
      </c>
      <c r="E37" s="75">
        <f t="shared" si="19"/>
        <v>1.5900000000000001E-2</v>
      </c>
      <c r="F37" s="75">
        <f t="shared" si="19"/>
        <v>1.5900000000000001E-2</v>
      </c>
      <c r="G37" s="75">
        <f t="shared" si="19"/>
        <v>1.5900000000000001E-2</v>
      </c>
      <c r="H37" s="75">
        <f t="shared" si="19"/>
        <v>1.5900000000000001E-2</v>
      </c>
      <c r="I37" s="75">
        <f t="shared" si="19"/>
        <v>1.5900000000000001E-2</v>
      </c>
      <c r="J37" s="75">
        <f t="shared" si="19"/>
        <v>1.5900000000000001E-2</v>
      </c>
      <c r="K37" s="75">
        <f t="shared" si="19"/>
        <v>1.5900000000000001E-2</v>
      </c>
      <c r="L37" s="75">
        <f t="shared" si="19"/>
        <v>1.5900000000000001E-2</v>
      </c>
      <c r="M37" s="75">
        <f t="shared" si="19"/>
        <v>1.5900000000000001E-2</v>
      </c>
      <c r="N37" s="57"/>
      <c r="O37" s="57"/>
      <c r="P37" s="57"/>
      <c r="Q37" s="57"/>
    </row>
    <row r="38" spans="1:17" x14ac:dyDescent="0.3">
      <c r="A38" s="32" t="s">
        <v>50</v>
      </c>
      <c r="B38" s="76">
        <v>7.9500000000000005E-3</v>
      </c>
      <c r="C38" s="76">
        <v>7.9500000000000005E-3</v>
      </c>
      <c r="D38" s="76">
        <v>7.9500000000000005E-3</v>
      </c>
      <c r="E38" s="76">
        <v>7.9500000000000005E-3</v>
      </c>
      <c r="F38" s="76">
        <v>7.9500000000000005E-3</v>
      </c>
      <c r="G38" s="76">
        <v>7.9500000000000005E-3</v>
      </c>
      <c r="H38" s="76">
        <v>7.9500000000000005E-3</v>
      </c>
      <c r="I38" s="76">
        <v>7.9500000000000005E-3</v>
      </c>
      <c r="J38" s="76">
        <v>7.9500000000000005E-3</v>
      </c>
      <c r="K38" s="76">
        <v>7.9500000000000005E-3</v>
      </c>
      <c r="L38" s="76">
        <v>7.9500000000000005E-3</v>
      </c>
      <c r="M38" s="76">
        <v>7.9500000000000005E-3</v>
      </c>
      <c r="N38" s="57"/>
      <c r="O38" s="57"/>
      <c r="P38" s="57"/>
      <c r="Q38" s="57"/>
    </row>
    <row r="39" spans="1:17" x14ac:dyDescent="0.3">
      <c r="A39" s="77" t="s">
        <v>51</v>
      </c>
      <c r="B39" s="78">
        <v>4.0000000000000002E-4</v>
      </c>
      <c r="C39" s="78">
        <v>4.0000000000000002E-4</v>
      </c>
      <c r="D39" s="78">
        <v>4.0000000000000002E-4</v>
      </c>
      <c r="E39" s="78">
        <v>4.0000000000000002E-4</v>
      </c>
      <c r="F39" s="78">
        <v>4.0000000000000002E-4</v>
      </c>
      <c r="G39" s="78">
        <v>4.0000000000000002E-4</v>
      </c>
      <c r="H39" s="78">
        <v>4.0000000000000002E-4</v>
      </c>
      <c r="I39" s="78">
        <v>4.0000000000000002E-4</v>
      </c>
      <c r="J39" s="78">
        <v>4.0000000000000002E-4</v>
      </c>
      <c r="K39" s="78">
        <v>4.0000000000000002E-4</v>
      </c>
      <c r="L39" s="78">
        <v>4.0000000000000002E-4</v>
      </c>
      <c r="M39" s="78">
        <v>4.0000000000000002E-4</v>
      </c>
    </row>
    <row r="40" spans="1:17" x14ac:dyDescent="0.3">
      <c r="A40" s="32" t="s">
        <v>52</v>
      </c>
      <c r="B40" s="79">
        <f>B38+B39</f>
        <v>8.3499999999999998E-3</v>
      </c>
      <c r="C40" s="80">
        <f t="shared" ref="C40:M40" si="20">C38+C39</f>
        <v>8.3499999999999998E-3</v>
      </c>
      <c r="D40" s="80">
        <f t="shared" si="20"/>
        <v>8.3499999999999998E-3</v>
      </c>
      <c r="E40" s="80">
        <f t="shared" si="20"/>
        <v>8.3499999999999998E-3</v>
      </c>
      <c r="F40" s="80">
        <f t="shared" si="20"/>
        <v>8.3499999999999998E-3</v>
      </c>
      <c r="G40" s="80">
        <f t="shared" si="20"/>
        <v>8.3499999999999998E-3</v>
      </c>
      <c r="H40" s="80">
        <f t="shared" si="20"/>
        <v>8.3499999999999998E-3</v>
      </c>
      <c r="I40" s="80">
        <f t="shared" si="20"/>
        <v>8.3499999999999998E-3</v>
      </c>
      <c r="J40" s="80">
        <f t="shared" si="20"/>
        <v>8.3499999999999998E-3</v>
      </c>
      <c r="K40" s="80">
        <f t="shared" si="20"/>
        <v>8.3499999999999998E-3</v>
      </c>
      <c r="L40" s="80">
        <f t="shared" si="20"/>
        <v>8.3499999999999998E-3</v>
      </c>
      <c r="M40" s="80">
        <f t="shared" si="20"/>
        <v>8.3499999999999998E-3</v>
      </c>
    </row>
    <row r="41" spans="1:17" x14ac:dyDescent="0.3">
      <c r="A41" s="32" t="s">
        <v>53</v>
      </c>
      <c r="B41" s="81">
        <v>390</v>
      </c>
      <c r="C41" s="82">
        <v>390</v>
      </c>
      <c r="D41" s="81">
        <v>390</v>
      </c>
      <c r="E41" s="82">
        <v>390</v>
      </c>
      <c r="F41" s="81">
        <v>390</v>
      </c>
      <c r="G41" s="82">
        <v>390</v>
      </c>
      <c r="H41" s="81">
        <v>390</v>
      </c>
      <c r="I41" s="82">
        <v>390</v>
      </c>
      <c r="J41" s="81">
        <v>390</v>
      </c>
      <c r="K41" s="82">
        <v>390</v>
      </c>
      <c r="L41" s="81">
        <v>390</v>
      </c>
      <c r="M41" s="82">
        <v>390</v>
      </c>
    </row>
    <row r="42" spans="1:17" x14ac:dyDescent="0.3">
      <c r="A42" s="32" t="s">
        <v>54</v>
      </c>
      <c r="B42" s="83">
        <f>(B43*4)/(PI()*(B37^2))</f>
        <v>5.2850582320148116E-2</v>
      </c>
      <c r="C42" s="83">
        <f t="shared" ref="C42:M42" si="21">(C43*4)/(PI()*(C37^2))</f>
        <v>0.17267484374851758</v>
      </c>
      <c r="D42" s="83">
        <f t="shared" si="21"/>
        <v>0.37572766926760759</v>
      </c>
      <c r="E42" s="83">
        <f t="shared" si="21"/>
        <v>6.7950748697333294E-2</v>
      </c>
      <c r="F42" s="83">
        <f t="shared" si="21"/>
        <v>0.17267484374851758</v>
      </c>
      <c r="G42" s="83">
        <f t="shared" si="21"/>
        <v>0.37572766926760759</v>
      </c>
      <c r="H42" s="83">
        <f t="shared" si="21"/>
        <v>6.7950748697333294E-2</v>
      </c>
      <c r="I42" s="83">
        <f t="shared" si="21"/>
        <v>0.17267484374851758</v>
      </c>
      <c r="J42" s="83">
        <f t="shared" si="21"/>
        <v>0.37572766926760759</v>
      </c>
      <c r="K42" s="83">
        <f t="shared" si="21"/>
        <v>0.20385224609199987</v>
      </c>
      <c r="L42" s="83">
        <f t="shared" si="21"/>
        <v>0.13590149739466659</v>
      </c>
      <c r="M42" s="83">
        <f t="shared" si="21"/>
        <v>9.9927571613725424E-2</v>
      </c>
    </row>
    <row r="43" spans="1:17" x14ac:dyDescent="0.3">
      <c r="A43" s="32" t="s">
        <v>55</v>
      </c>
      <c r="B43" s="84">
        <f>B49/3600</f>
        <v>1.0493827160493827E-5</v>
      </c>
      <c r="C43" s="85">
        <f>C49/3600</f>
        <v>3.428571428571429E-5</v>
      </c>
      <c r="D43" s="85">
        <f t="shared" ref="D43:M43" si="22">D49/3600</f>
        <v>7.4603174603174601E-5</v>
      </c>
      <c r="E43" s="85">
        <f t="shared" si="22"/>
        <v>1.3492063492063492E-5</v>
      </c>
      <c r="F43" s="85">
        <f t="shared" si="22"/>
        <v>3.428571428571429E-5</v>
      </c>
      <c r="G43" s="85">
        <f t="shared" si="22"/>
        <v>7.4603174603174601E-5</v>
      </c>
      <c r="H43" s="85">
        <f t="shared" si="22"/>
        <v>1.3492063492063492E-5</v>
      </c>
      <c r="I43" s="85">
        <f t="shared" si="22"/>
        <v>3.428571428571429E-5</v>
      </c>
      <c r="J43" s="85">
        <f t="shared" si="22"/>
        <v>7.4603174603174601E-5</v>
      </c>
      <c r="K43" s="85">
        <f t="shared" si="22"/>
        <v>4.0476190476190474E-5</v>
      </c>
      <c r="L43" s="85">
        <f t="shared" si="22"/>
        <v>2.6984126984126984E-5</v>
      </c>
      <c r="M43" s="85">
        <f t="shared" si="22"/>
        <v>1.9841269841269841E-5</v>
      </c>
    </row>
    <row r="44" spans="1:17" x14ac:dyDescent="0.3">
      <c r="A44" s="32" t="s">
        <v>56</v>
      </c>
      <c r="B44" s="86">
        <f>B43*B33</f>
        <v>1.0465146690394689E-2</v>
      </c>
      <c r="C44" s="87">
        <f t="shared" ref="C44:M44" si="23">C43*C33</f>
        <v>3.4165006557970438E-2</v>
      </c>
      <c r="D44" s="87">
        <f t="shared" si="23"/>
        <v>7.4146296396285893E-2</v>
      </c>
      <c r="E44" s="87">
        <f t="shared" si="23"/>
        <v>1.342924106476602E-2</v>
      </c>
      <c r="F44" s="87">
        <f t="shared" si="23"/>
        <v>3.4053082836753665E-2</v>
      </c>
      <c r="G44" s="87">
        <f t="shared" si="23"/>
        <v>7.3687191529442475E-2</v>
      </c>
      <c r="H44" s="87">
        <f t="shared" si="23"/>
        <v>1.337815092131265E-2</v>
      </c>
      <c r="I44" s="87">
        <f t="shared" si="23"/>
        <v>3.3969592379083771E-2</v>
      </c>
      <c r="J44" s="87">
        <f t="shared" si="23"/>
        <v>7.4052272487261331E-2</v>
      </c>
      <c r="K44" s="87">
        <f t="shared" si="23"/>
        <v>4.022847226662752E-2</v>
      </c>
      <c r="L44" s="87">
        <f t="shared" si="23"/>
        <v>2.6884572486040363E-2</v>
      </c>
      <c r="M44" s="87">
        <f t="shared" si="23"/>
        <v>1.9786283815675335E-2</v>
      </c>
    </row>
    <row r="45" spans="1:17" x14ac:dyDescent="0.3">
      <c r="A45" s="77" t="s">
        <v>57</v>
      </c>
      <c r="B45" s="88">
        <v>2.6</v>
      </c>
      <c r="C45" s="88">
        <v>2.6</v>
      </c>
      <c r="D45" s="88">
        <v>2.6</v>
      </c>
      <c r="E45" s="88">
        <v>2.6</v>
      </c>
      <c r="F45" s="88">
        <v>2.6</v>
      </c>
      <c r="G45" s="88">
        <v>2.6</v>
      </c>
      <c r="H45" s="88">
        <v>2.6</v>
      </c>
      <c r="I45" s="88">
        <v>2.6</v>
      </c>
      <c r="J45" s="88">
        <v>2.8</v>
      </c>
      <c r="K45" s="88">
        <v>2.6</v>
      </c>
      <c r="L45" s="88">
        <v>2.6</v>
      </c>
      <c r="M45" s="88">
        <v>2.6</v>
      </c>
    </row>
    <row r="46" spans="1:17" x14ac:dyDescent="0.3">
      <c r="A46" s="77" t="s">
        <v>58</v>
      </c>
      <c r="B46" s="89">
        <v>2.5</v>
      </c>
      <c r="C46" s="89">
        <v>4</v>
      </c>
      <c r="D46" s="89">
        <v>4</v>
      </c>
      <c r="E46" s="89">
        <v>2.5</v>
      </c>
      <c r="F46" s="89">
        <v>4</v>
      </c>
      <c r="G46" s="89">
        <v>9</v>
      </c>
      <c r="H46" s="89">
        <v>2.5</v>
      </c>
      <c r="I46" s="89">
        <v>4</v>
      </c>
      <c r="J46" s="89">
        <v>6.9</v>
      </c>
      <c r="K46" s="89">
        <v>4</v>
      </c>
      <c r="L46" s="89">
        <v>4</v>
      </c>
      <c r="M46" s="89">
        <v>4</v>
      </c>
    </row>
    <row r="47" spans="1:17" x14ac:dyDescent="0.3">
      <c r="A47" s="32" t="s">
        <v>59</v>
      </c>
      <c r="B47" s="90">
        <f>B46*B45</f>
        <v>6.5</v>
      </c>
      <c r="C47" s="90">
        <f t="shared" ref="C47:M47" si="24">C46*C45</f>
        <v>10.4</v>
      </c>
      <c r="D47" s="90">
        <f t="shared" si="24"/>
        <v>10.4</v>
      </c>
      <c r="E47" s="90">
        <f t="shared" si="24"/>
        <v>6.5</v>
      </c>
      <c r="F47" s="90">
        <f t="shared" si="24"/>
        <v>10.4</v>
      </c>
      <c r="G47" s="90">
        <f t="shared" si="24"/>
        <v>23.400000000000002</v>
      </c>
      <c r="H47" s="90">
        <f t="shared" si="24"/>
        <v>6.5</v>
      </c>
      <c r="I47" s="90">
        <f t="shared" si="24"/>
        <v>10.4</v>
      </c>
      <c r="J47" s="90">
        <f t="shared" si="24"/>
        <v>19.32</v>
      </c>
      <c r="K47" s="90">
        <f t="shared" si="24"/>
        <v>10.4</v>
      </c>
      <c r="L47" s="90">
        <f t="shared" si="24"/>
        <v>10.4</v>
      </c>
      <c r="M47" s="90">
        <f t="shared" si="24"/>
        <v>10.4</v>
      </c>
    </row>
    <row r="48" spans="1:17" x14ac:dyDescent="0.3">
      <c r="A48" s="77" t="s">
        <v>60</v>
      </c>
      <c r="B48" s="88">
        <v>450</v>
      </c>
      <c r="C48" s="88">
        <v>350</v>
      </c>
      <c r="D48" s="88">
        <v>350</v>
      </c>
      <c r="E48" s="88">
        <v>350</v>
      </c>
      <c r="F48" s="88">
        <v>350</v>
      </c>
      <c r="G48" s="88">
        <v>350</v>
      </c>
      <c r="H48" s="88">
        <v>350</v>
      </c>
      <c r="I48" s="88">
        <v>350</v>
      </c>
      <c r="J48" s="88">
        <v>350</v>
      </c>
      <c r="K48" s="88">
        <v>350</v>
      </c>
      <c r="L48" s="88">
        <v>350</v>
      </c>
      <c r="M48" s="88">
        <v>350</v>
      </c>
    </row>
    <row r="49" spans="1:13" x14ac:dyDescent="0.3">
      <c r="A49" s="32" t="s">
        <v>61</v>
      </c>
      <c r="B49" s="91">
        <f>B11/B48</f>
        <v>3.7777777777777778E-2</v>
      </c>
      <c r="C49" s="92">
        <f t="shared" ref="C49:M49" si="25">C11/C48</f>
        <v>0.12342857142857144</v>
      </c>
      <c r="D49" s="92">
        <f t="shared" si="25"/>
        <v>0.26857142857142857</v>
      </c>
      <c r="E49" s="92">
        <f t="shared" si="25"/>
        <v>4.8571428571428571E-2</v>
      </c>
      <c r="F49" s="92">
        <f t="shared" si="25"/>
        <v>0.12342857142857144</v>
      </c>
      <c r="G49" s="92">
        <f t="shared" si="25"/>
        <v>0.26857142857142857</v>
      </c>
      <c r="H49" s="92">
        <f t="shared" si="25"/>
        <v>4.8571428571428571E-2</v>
      </c>
      <c r="I49" s="92">
        <f t="shared" si="25"/>
        <v>0.12342857142857144</v>
      </c>
      <c r="J49" s="92">
        <f t="shared" si="25"/>
        <v>0.26857142857142857</v>
      </c>
      <c r="K49" s="92">
        <f t="shared" si="25"/>
        <v>0.14571428571428571</v>
      </c>
      <c r="L49" s="92">
        <f t="shared" si="25"/>
        <v>9.7142857142857142E-2</v>
      </c>
      <c r="M49" s="92">
        <f t="shared" si="25"/>
        <v>7.1428571428571425E-2</v>
      </c>
    </row>
    <row r="50" spans="1:13" x14ac:dyDescent="0.3">
      <c r="A50" s="32" t="s">
        <v>62</v>
      </c>
      <c r="B50" s="93">
        <f>B42*B37/B35</f>
        <v>738.88314373496837</v>
      </c>
      <c r="C50" s="94">
        <f t="shared" ref="C50:M50" si="26">C42*C37/C35</f>
        <v>2559.5418010595413</v>
      </c>
      <c r="D50" s="94">
        <f t="shared" si="26"/>
        <v>6441.0770002795198</v>
      </c>
      <c r="E50" s="94">
        <f t="shared" si="26"/>
        <v>1080.9954434007307</v>
      </c>
      <c r="F50" s="94">
        <f t="shared" si="26"/>
        <v>3047.6996941256298</v>
      </c>
      <c r="G50" s="94">
        <f t="shared" si="26"/>
        <v>7941.8896365353685</v>
      </c>
      <c r="H50" s="94">
        <f t="shared" si="26"/>
        <v>1278.6740521462816</v>
      </c>
      <c r="I50" s="94">
        <f t="shared" si="26"/>
        <v>3336.661640484363</v>
      </c>
      <c r="J50" s="94">
        <f t="shared" si="26"/>
        <v>6796.1083180573523</v>
      </c>
      <c r="K50" s="94">
        <f t="shared" si="26"/>
        <v>3493.9820013008411</v>
      </c>
      <c r="L50" s="94">
        <f t="shared" si="26"/>
        <v>2037.5624649222104</v>
      </c>
      <c r="M50" s="94">
        <f t="shared" si="26"/>
        <v>1401.3366981779759</v>
      </c>
    </row>
    <row r="51" spans="1:13" x14ac:dyDescent="0.3">
      <c r="A51" s="32" t="s">
        <v>39</v>
      </c>
      <c r="B51" s="95">
        <f>B32*B34/B36</f>
        <v>7.9033546874426603</v>
      </c>
      <c r="C51" s="96">
        <f t="shared" ref="C51:M51" si="27">C32*C34/C36</f>
        <v>7.4483691609403069</v>
      </c>
      <c r="D51" s="96">
        <f t="shared" si="27"/>
        <v>6.4235170825219017</v>
      </c>
      <c r="E51" s="96">
        <f t="shared" si="27"/>
        <v>6.9321750029763347</v>
      </c>
      <c r="F51" s="96">
        <f t="shared" si="27"/>
        <v>6.2348523734898622</v>
      </c>
      <c r="G51" s="96">
        <f t="shared" si="27"/>
        <v>5.1773803159871488</v>
      </c>
      <c r="H51" s="96">
        <f t="shared" si="27"/>
        <v>5.8381889991583105</v>
      </c>
      <c r="I51" s="96">
        <f t="shared" si="27"/>
        <v>5.6809383783140168</v>
      </c>
      <c r="J51" s="96">
        <f t="shared" si="27"/>
        <v>6.0802300278788737</v>
      </c>
      <c r="K51" s="96">
        <f t="shared" si="27"/>
        <v>6.4247286219784137</v>
      </c>
      <c r="L51" s="96">
        <f t="shared" si="27"/>
        <v>7.3626493017450869</v>
      </c>
      <c r="M51" s="96">
        <f t="shared" si="27"/>
        <v>7.878864840612815</v>
      </c>
    </row>
    <row r="52" spans="1:13" x14ac:dyDescent="0.3">
      <c r="A52" s="32" t="s">
        <v>43</v>
      </c>
      <c r="B52" s="95">
        <f>0.023*B50^(0.8)*B51^(1/3)</f>
        <v>9.0335600145337231</v>
      </c>
      <c r="C52" s="96">
        <f t="shared" ref="C52:M52" si="28">0.023*C50^(0.8)*C51^(1/3)</f>
        <v>23.930109271966973</v>
      </c>
      <c r="D52" s="96">
        <f t="shared" si="28"/>
        <v>47.659804507605642</v>
      </c>
      <c r="E52" s="96">
        <f t="shared" si="28"/>
        <v>11.724025813940578</v>
      </c>
      <c r="F52" s="96">
        <f t="shared" si="28"/>
        <v>25.932693759913263</v>
      </c>
      <c r="G52" s="96">
        <f t="shared" si="28"/>
        <v>52.444941286749319</v>
      </c>
      <c r="H52" s="96">
        <f t="shared" si="28"/>
        <v>12.663733656710084</v>
      </c>
      <c r="I52" s="96">
        <f t="shared" si="28"/>
        <v>27.030304017250998</v>
      </c>
      <c r="J52" s="96">
        <f t="shared" si="28"/>
        <v>48.84754477878608</v>
      </c>
      <c r="K52" s="96">
        <f t="shared" si="28"/>
        <v>29.219265597770715</v>
      </c>
      <c r="L52" s="96">
        <f t="shared" si="28"/>
        <v>19.862227542402383</v>
      </c>
      <c r="M52" s="96">
        <f t="shared" si="28"/>
        <v>15.058546319616104</v>
      </c>
    </row>
    <row r="53" spans="1:13" ht="15" thickBot="1" x14ac:dyDescent="0.35">
      <c r="A53" s="97" t="s">
        <v>63</v>
      </c>
      <c r="B53" s="98">
        <f>B52*B36/B37</f>
        <v>340.88905715221591</v>
      </c>
      <c r="C53" s="99">
        <f t="shared" ref="C53:M53" si="29">C52*C36/C37</f>
        <v>903.02299139498007</v>
      </c>
      <c r="D53" s="99">
        <f t="shared" si="29"/>
        <v>1798.4831889662505</v>
      </c>
      <c r="E53" s="99">
        <f t="shared" si="29"/>
        <v>442.41606845058777</v>
      </c>
      <c r="F53" s="99">
        <f t="shared" si="29"/>
        <v>978.59221735521749</v>
      </c>
      <c r="G53" s="99">
        <f t="shared" si="29"/>
        <v>1979.0543881792194</v>
      </c>
      <c r="H53" s="99">
        <f t="shared" si="29"/>
        <v>477.8767417626446</v>
      </c>
      <c r="I53" s="99">
        <f t="shared" si="29"/>
        <v>1020.0114723490941</v>
      </c>
      <c r="J53" s="99">
        <f t="shared" si="29"/>
        <v>1843.303576557965</v>
      </c>
      <c r="K53" s="99">
        <f t="shared" si="29"/>
        <v>1102.613796142291</v>
      </c>
      <c r="L53" s="99">
        <f t="shared" si="29"/>
        <v>749.51802046801436</v>
      </c>
      <c r="M53" s="99">
        <f t="shared" si="29"/>
        <v>568.24703092890957</v>
      </c>
    </row>
    <row r="54" spans="1:13" ht="15" thickBot="1" x14ac:dyDescent="0.35"/>
    <row r="55" spans="1:13" ht="15" thickBot="1" x14ac:dyDescent="0.35">
      <c r="A55" s="100" t="s">
        <v>64</v>
      </c>
      <c r="B55" s="57"/>
      <c r="C55" s="101"/>
    </row>
    <row r="56" spans="1:13" x14ac:dyDescent="0.3">
      <c r="A56" s="102" t="s">
        <v>65</v>
      </c>
      <c r="B56" s="103">
        <f>B57+10</f>
        <v>29.459017919240225</v>
      </c>
      <c r="C56" s="103">
        <f t="shared" ref="C56:M56" si="30">C57+10</f>
        <v>32.428298981536564</v>
      </c>
      <c r="D56" s="103">
        <f t="shared" si="30"/>
        <v>40.546981979930422</v>
      </c>
      <c r="E56" s="103">
        <f t="shared" si="30"/>
        <v>36.225447627136631</v>
      </c>
      <c r="F56" s="103">
        <f t="shared" si="30"/>
        <v>42.332441039896757</v>
      </c>
      <c r="G56" s="103">
        <f t="shared" si="30"/>
        <v>54.778222741324633</v>
      </c>
      <c r="H56" s="103">
        <f t="shared" si="30"/>
        <v>46.478563252860127</v>
      </c>
      <c r="I56" s="103">
        <f t="shared" si="30"/>
        <v>48.287765561340379</v>
      </c>
      <c r="J56" s="103">
        <f t="shared" si="30"/>
        <v>43.881663972926418</v>
      </c>
      <c r="K56" s="103">
        <f t="shared" si="30"/>
        <v>40.535866159192757</v>
      </c>
      <c r="L56" s="103">
        <f t="shared" si="30"/>
        <v>33.024386293542989</v>
      </c>
      <c r="M56" s="103">
        <f t="shared" si="30"/>
        <v>29.611179765795487</v>
      </c>
    </row>
    <row r="57" spans="1:13" x14ac:dyDescent="0.3">
      <c r="A57" s="104" t="s">
        <v>66</v>
      </c>
      <c r="B57" s="103">
        <v>19.459017919240225</v>
      </c>
      <c r="C57" s="103">
        <v>22.428298981536564</v>
      </c>
      <c r="D57" s="103">
        <v>30.546981979930425</v>
      </c>
      <c r="E57" s="103">
        <v>26.225447627136631</v>
      </c>
      <c r="F57" s="103">
        <v>32.332441039896757</v>
      </c>
      <c r="G57" s="103">
        <v>44.778222741324633</v>
      </c>
      <c r="H57" s="103">
        <v>36.478563252860127</v>
      </c>
      <c r="I57" s="103">
        <v>38.287765561340379</v>
      </c>
      <c r="J57" s="103">
        <v>33.881663972926418</v>
      </c>
      <c r="K57" s="103">
        <v>30.535866159192757</v>
      </c>
      <c r="L57" s="103">
        <v>23.024386293542992</v>
      </c>
      <c r="M57" s="103">
        <v>19.611179765795487</v>
      </c>
    </row>
    <row r="58" spans="1:13" x14ac:dyDescent="0.3">
      <c r="A58" s="105" t="s">
        <v>67</v>
      </c>
      <c r="B58" s="106">
        <f>B59+10</f>
        <v>29.459017919240225</v>
      </c>
      <c r="C58" s="107">
        <f t="shared" ref="C58:M58" si="31">C59+10</f>
        <v>32.428298981536564</v>
      </c>
      <c r="D58" s="107">
        <f t="shared" si="31"/>
        <v>40.546981979930422</v>
      </c>
      <c r="E58" s="107">
        <f t="shared" si="31"/>
        <v>36.225447627136631</v>
      </c>
      <c r="F58" s="107">
        <f t="shared" si="31"/>
        <v>42.332441039896757</v>
      </c>
      <c r="G58" s="107">
        <f t="shared" si="31"/>
        <v>54.778222741324633</v>
      </c>
      <c r="H58" s="107">
        <f t="shared" si="31"/>
        <v>46.478563252860127</v>
      </c>
      <c r="I58" s="107">
        <f t="shared" si="31"/>
        <v>48.287765561340379</v>
      </c>
      <c r="J58" s="107">
        <f t="shared" si="31"/>
        <v>43.881663972926418</v>
      </c>
      <c r="K58" s="107">
        <f t="shared" si="31"/>
        <v>40.535866159192757</v>
      </c>
      <c r="L58" s="107">
        <f t="shared" si="31"/>
        <v>33.024386293542989</v>
      </c>
      <c r="M58" s="107">
        <f t="shared" si="31"/>
        <v>29.611179765795487</v>
      </c>
    </row>
    <row r="59" spans="1:13" x14ac:dyDescent="0.3">
      <c r="A59" s="108" t="s">
        <v>68</v>
      </c>
      <c r="B59" s="109">
        <f t="shared" ref="B59:M59" si="32">IF(B57&lt;10,10,B57)</f>
        <v>19.459017919240225</v>
      </c>
      <c r="C59" s="109">
        <f t="shared" si="32"/>
        <v>22.428298981536564</v>
      </c>
      <c r="D59" s="109">
        <f t="shared" si="32"/>
        <v>30.546981979930425</v>
      </c>
      <c r="E59" s="109">
        <f t="shared" si="32"/>
        <v>26.225447627136631</v>
      </c>
      <c r="F59" s="109">
        <f t="shared" si="32"/>
        <v>32.332441039896757</v>
      </c>
      <c r="G59" s="109">
        <f t="shared" si="32"/>
        <v>44.778222741324633</v>
      </c>
      <c r="H59" s="109">
        <f t="shared" si="32"/>
        <v>36.478563252860127</v>
      </c>
      <c r="I59" s="109">
        <f t="shared" si="32"/>
        <v>38.287765561340379</v>
      </c>
      <c r="J59" s="109">
        <f t="shared" si="32"/>
        <v>33.881663972926418</v>
      </c>
      <c r="K59" s="109">
        <f t="shared" si="32"/>
        <v>30.535866159192757</v>
      </c>
      <c r="L59" s="109">
        <f t="shared" si="32"/>
        <v>23.024386293542992</v>
      </c>
      <c r="M59" s="109">
        <f t="shared" si="32"/>
        <v>19.611179765795487</v>
      </c>
    </row>
    <row r="60" spans="1:13" x14ac:dyDescent="0.3">
      <c r="A60" s="104" t="s">
        <v>69</v>
      </c>
      <c r="B60" s="110">
        <f t="shared" ref="B60:M60" si="33">B3</f>
        <v>10.6</v>
      </c>
      <c r="C60" s="111">
        <f t="shared" si="33"/>
        <v>11.8</v>
      </c>
      <c r="D60" s="111">
        <f t="shared" si="33"/>
        <v>14.9</v>
      </c>
      <c r="E60" s="111">
        <f t="shared" si="33"/>
        <v>17.100000000000001</v>
      </c>
      <c r="F60" s="111">
        <f t="shared" si="33"/>
        <v>21.8</v>
      </c>
      <c r="G60" s="111">
        <f t="shared" si="33"/>
        <v>35</v>
      </c>
      <c r="H60" s="111">
        <f t="shared" si="33"/>
        <v>27.4</v>
      </c>
      <c r="I60" s="111">
        <f t="shared" si="33"/>
        <v>27.8</v>
      </c>
      <c r="J60" s="111">
        <f t="shared" si="33"/>
        <v>23</v>
      </c>
      <c r="K60" s="111">
        <f t="shared" si="33"/>
        <v>19</v>
      </c>
      <c r="L60" s="111">
        <f t="shared" si="33"/>
        <v>13.5</v>
      </c>
      <c r="M60" s="111">
        <f t="shared" si="33"/>
        <v>11.3</v>
      </c>
    </row>
    <row r="61" spans="1:13" x14ac:dyDescent="0.3">
      <c r="A61" s="104" t="s">
        <v>70</v>
      </c>
      <c r="B61" s="110">
        <v>21.780599385213296</v>
      </c>
      <c r="C61" s="111">
        <v>23.027882977326975</v>
      </c>
      <c r="D61" s="111">
        <v>26.250032256953972</v>
      </c>
      <c r="E61" s="111">
        <v>28.536718842495716</v>
      </c>
      <c r="F61" s="111">
        <v>33.42191291160762</v>
      </c>
      <c r="G61" s="111">
        <v>47.142032424858066</v>
      </c>
      <c r="H61" s="111">
        <v>39.242569674804777</v>
      </c>
      <c r="I61" s="111">
        <v>39.658330872176009</v>
      </c>
      <c r="J61" s="111">
        <v>34.669196503721295</v>
      </c>
      <c r="K61" s="111">
        <v>30.511584530009038</v>
      </c>
      <c r="L61" s="111">
        <v>24.794868066154681</v>
      </c>
      <c r="M61" s="111">
        <v>22.508181480612947</v>
      </c>
    </row>
    <row r="62" spans="1:13" x14ac:dyDescent="0.3">
      <c r="A62" s="104" t="s">
        <v>71</v>
      </c>
      <c r="B62" s="112">
        <f>B13*1000</f>
        <v>200000</v>
      </c>
      <c r="C62" s="113">
        <f t="shared" ref="C62:M62" si="34">C13*1000</f>
        <v>500000</v>
      </c>
      <c r="D62" s="113">
        <f t="shared" si="34"/>
        <v>1100000</v>
      </c>
      <c r="E62" s="113">
        <f t="shared" si="34"/>
        <v>200000</v>
      </c>
      <c r="F62" s="113">
        <f t="shared" si="34"/>
        <v>500000</v>
      </c>
      <c r="G62" s="113">
        <f t="shared" si="34"/>
        <v>1100000</v>
      </c>
      <c r="H62" s="113">
        <f t="shared" si="34"/>
        <v>200000</v>
      </c>
      <c r="I62" s="113">
        <f t="shared" si="34"/>
        <v>500000</v>
      </c>
      <c r="J62" s="113">
        <f t="shared" si="34"/>
        <v>1100000</v>
      </c>
      <c r="K62" s="113">
        <f t="shared" si="34"/>
        <v>600000</v>
      </c>
      <c r="L62" s="113">
        <f t="shared" si="34"/>
        <v>400000</v>
      </c>
      <c r="M62" s="113">
        <f t="shared" si="34"/>
        <v>300000</v>
      </c>
    </row>
    <row r="63" spans="1:13" x14ac:dyDescent="0.3">
      <c r="A63" s="104" t="s">
        <v>72</v>
      </c>
      <c r="B63" s="114">
        <f>1/((1/B29)+(1/B53)+(B39/B41))</f>
        <v>25.351850192284505</v>
      </c>
      <c r="C63" s="115">
        <f t="shared" ref="C63:M63" si="35">1/((1/C29)+(1/C53)+(C39/C41))</f>
        <v>30.955884526532724</v>
      </c>
      <c r="D63" s="115">
        <f t="shared" si="35"/>
        <v>45.529158765903318</v>
      </c>
      <c r="E63" s="115">
        <f t="shared" si="35"/>
        <v>24.952960979611049</v>
      </c>
      <c r="F63" s="115">
        <f t="shared" si="35"/>
        <v>31.924880947245228</v>
      </c>
      <c r="G63" s="115">
        <f t="shared" si="35"/>
        <v>33.311152428716163</v>
      </c>
      <c r="H63" s="115">
        <f t="shared" si="35"/>
        <v>25.764392938877506</v>
      </c>
      <c r="I63" s="115">
        <f t="shared" si="35"/>
        <v>32.496085986632465</v>
      </c>
      <c r="J63" s="115">
        <f t="shared" si="35"/>
        <v>35.146642260439116</v>
      </c>
      <c r="K63" s="115">
        <f t="shared" si="35"/>
        <v>34.524223399239126</v>
      </c>
      <c r="L63" s="115">
        <f t="shared" si="35"/>
        <v>27.951875752484529</v>
      </c>
      <c r="M63" s="115">
        <f t="shared" si="35"/>
        <v>24.154832026529309</v>
      </c>
    </row>
    <row r="64" spans="1:13" x14ac:dyDescent="0.3">
      <c r="A64" s="104" t="s">
        <v>73</v>
      </c>
      <c r="B64" s="116">
        <f>169*B47-142.8</f>
        <v>955.7</v>
      </c>
      <c r="C64" s="116">
        <f t="shared" ref="C64:M64" si="36">169*C47-142.8</f>
        <v>1614.8000000000002</v>
      </c>
      <c r="D64" s="116">
        <f t="shared" si="36"/>
        <v>1614.8000000000002</v>
      </c>
      <c r="E64" s="116">
        <f t="shared" si="36"/>
        <v>955.7</v>
      </c>
      <c r="F64" s="116">
        <f t="shared" si="36"/>
        <v>1614.8000000000002</v>
      </c>
      <c r="G64" s="116">
        <f t="shared" si="36"/>
        <v>3811.8</v>
      </c>
      <c r="H64" s="116">
        <f t="shared" si="36"/>
        <v>955.7</v>
      </c>
      <c r="I64" s="116">
        <f t="shared" si="36"/>
        <v>1614.8000000000002</v>
      </c>
      <c r="J64" s="116">
        <f t="shared" si="36"/>
        <v>3122.2799999999997</v>
      </c>
      <c r="K64" s="116">
        <f t="shared" si="36"/>
        <v>1614.8000000000002</v>
      </c>
      <c r="L64" s="116">
        <f t="shared" si="36"/>
        <v>1614.8000000000002</v>
      </c>
      <c r="M64" s="116">
        <f t="shared" si="36"/>
        <v>1614.8000000000002</v>
      </c>
    </row>
    <row r="65" spans="1:13" x14ac:dyDescent="0.3">
      <c r="A65" s="104" t="s">
        <v>74</v>
      </c>
      <c r="B65" s="117">
        <f>B62/(B64*B63)</f>
        <v>8.2546516349849917</v>
      </c>
      <c r="C65" s="118">
        <f t="shared" ref="C65:M65" si="37">C62/(C64*C63)</f>
        <v>10.00248815224715</v>
      </c>
      <c r="D65" s="118">
        <f t="shared" si="37"/>
        <v>14.961816307308801</v>
      </c>
      <c r="E65" s="118">
        <f t="shared" si="37"/>
        <v>8.3866075777792464</v>
      </c>
      <c r="F65" s="118">
        <f t="shared" si="37"/>
        <v>9.698888736050014</v>
      </c>
      <c r="G65" s="118">
        <f t="shared" si="37"/>
        <v>8.6630919034259239</v>
      </c>
      <c r="H65" s="118">
        <f t="shared" si="37"/>
        <v>8.1224770999301992</v>
      </c>
      <c r="I65" s="118">
        <f t="shared" si="37"/>
        <v>9.528405000723648</v>
      </c>
      <c r="J65" s="118">
        <f t="shared" si="37"/>
        <v>10.02390626949642</v>
      </c>
      <c r="K65" s="118">
        <f t="shared" si="37"/>
        <v>10.762386674596659</v>
      </c>
      <c r="L65" s="118">
        <f t="shared" si="37"/>
        <v>8.8619703653756314</v>
      </c>
      <c r="M65" s="118">
        <f t="shared" si="37"/>
        <v>7.6912777007656423</v>
      </c>
    </row>
    <row r="66" spans="1:13" x14ac:dyDescent="0.3">
      <c r="A66" s="104" t="s">
        <v>75</v>
      </c>
      <c r="B66" s="118">
        <f>((B56-B61)-(B57-B60))/(LN(ABS(B56-B61)/ABS(B57-B60)))</f>
        <v>8.2546520173294446</v>
      </c>
      <c r="C66" s="118">
        <f t="shared" ref="C66:M66" si="38">((C56-C61)-(C57-C60))/(LN(ABS(C56-C61)/ABS(C57-C60)))</f>
        <v>10.001798768397215</v>
      </c>
      <c r="D66" s="118">
        <f t="shared" si="38"/>
        <v>14.961815903546427</v>
      </c>
      <c r="E66" s="118">
        <f t="shared" si="38"/>
        <v>8.3865876938855077</v>
      </c>
      <c r="F66" s="118">
        <f t="shared" si="38"/>
        <v>9.6988928625609176</v>
      </c>
      <c r="G66" s="118">
        <f t="shared" si="38"/>
        <v>8.6631150519099229</v>
      </c>
      <c r="H66" s="118">
        <f t="shared" si="38"/>
        <v>8.1224762749249884</v>
      </c>
      <c r="I66" s="118">
        <f t="shared" si="38"/>
        <v>9.5284166710307829</v>
      </c>
      <c r="J66" s="118">
        <f t="shared" si="38"/>
        <v>10.023913334898166</v>
      </c>
      <c r="K66" s="118">
        <f t="shared" si="38"/>
        <v>10.76238778695183</v>
      </c>
      <c r="L66" s="118">
        <f t="shared" si="38"/>
        <v>8.8611898277880794</v>
      </c>
      <c r="M66" s="118">
        <f t="shared" si="38"/>
        <v>7.6912799693024594</v>
      </c>
    </row>
    <row r="67" spans="1:13" x14ac:dyDescent="0.3">
      <c r="A67" s="119" t="s">
        <v>76</v>
      </c>
      <c r="B67" s="120">
        <f>(B62/(B63*B64)-((((B56-B61))-((B57-B60)))/(LN((ABS(B56-B61))/(ABS(B57-B60))))))</f>
        <v>-3.8234445298712672E-7</v>
      </c>
      <c r="C67" s="120">
        <f t="shared" ref="C67:M67" si="39">(C62/(C63*C64)-((((C56-C61))-((C57-C60)))/(LN((ABS(C56-C61))/(ABS(C57-C60))))))</f>
        <v>6.8938384993444402E-4</v>
      </c>
      <c r="D67" s="120">
        <f t="shared" si="39"/>
        <v>4.0376237464556652E-7</v>
      </c>
      <c r="E67" s="120">
        <f t="shared" si="39"/>
        <v>1.9883893738636971E-5</v>
      </c>
      <c r="F67" s="120">
        <f t="shared" si="39"/>
        <v>-4.126510903645908E-6</v>
      </c>
      <c r="G67" s="120">
        <f t="shared" si="39"/>
        <v>-2.3148483998980396E-5</v>
      </c>
      <c r="H67" s="120">
        <f t="shared" si="39"/>
        <v>8.2500521081385614E-7</v>
      </c>
      <c r="I67" s="120">
        <f t="shared" si="39"/>
        <v>-1.1670307134892255E-5</v>
      </c>
      <c r="J67" s="120">
        <f t="shared" si="39"/>
        <v>-7.0654017463311902E-6</v>
      </c>
      <c r="K67" s="120">
        <f t="shared" si="39"/>
        <v>-1.1123551715286339E-6</v>
      </c>
      <c r="L67" s="120">
        <f t="shared" si="39"/>
        <v>7.8053758755203262E-4</v>
      </c>
      <c r="M67" s="120">
        <f t="shared" si="39"/>
        <v>-2.2685368170627385E-6</v>
      </c>
    </row>
    <row r="68" spans="1:13" x14ac:dyDescent="0.3">
      <c r="A68" s="121" t="s">
        <v>77</v>
      </c>
      <c r="B68" s="110">
        <f>B59-B60</f>
        <v>8.859017919240225</v>
      </c>
      <c r="C68" s="110">
        <f t="shared" ref="C68:M68" si="40">C59-C60</f>
        <v>10.628298981536563</v>
      </c>
      <c r="D68" s="110">
        <f t="shared" si="40"/>
        <v>15.646981979930425</v>
      </c>
      <c r="E68" s="110">
        <f t="shared" si="40"/>
        <v>9.12544762713663</v>
      </c>
      <c r="F68" s="110">
        <f t="shared" si="40"/>
        <v>10.532441039896757</v>
      </c>
      <c r="G68" s="110">
        <f t="shared" si="40"/>
        <v>9.7782227413246332</v>
      </c>
      <c r="H68" s="110">
        <f t="shared" si="40"/>
        <v>9.0785632528601283</v>
      </c>
      <c r="I68" s="110">
        <f t="shared" si="40"/>
        <v>10.487765561340378</v>
      </c>
      <c r="J68" s="110">
        <f t="shared" si="40"/>
        <v>10.881663972926418</v>
      </c>
      <c r="K68" s="110">
        <f t="shared" si="40"/>
        <v>11.535866159192757</v>
      </c>
      <c r="L68" s="110">
        <f t="shared" si="40"/>
        <v>9.5243862935429924</v>
      </c>
      <c r="M68" s="110">
        <f t="shared" si="40"/>
        <v>8.3111797657954867</v>
      </c>
    </row>
    <row r="69" spans="1:13" ht="15" thickBot="1" x14ac:dyDescent="0.35">
      <c r="A69" s="122"/>
      <c r="B69" s="123"/>
      <c r="C69" s="123"/>
      <c r="D69" s="123"/>
      <c r="E69" s="123"/>
      <c r="F69" s="123"/>
      <c r="G69" s="123"/>
      <c r="H69" s="123"/>
      <c r="I69" s="123"/>
      <c r="J69" s="123"/>
      <c r="K69" s="123"/>
      <c r="L69" s="123"/>
      <c r="M69" s="123"/>
    </row>
    <row r="70" spans="1:13" x14ac:dyDescent="0.3">
      <c r="A70" s="124" t="s">
        <v>78</v>
      </c>
      <c r="B70" s="125">
        <f t="shared" ref="B70:M70" si="41">B6*9.81*B71/B72</f>
        <v>4004.0816326530617</v>
      </c>
      <c r="C70" s="126">
        <f t="shared" si="41"/>
        <v>10010.204081632655</v>
      </c>
      <c r="D70" s="127">
        <f t="shared" si="41"/>
        <v>22022.448979591838</v>
      </c>
      <c r="E70" s="125">
        <f t="shared" si="41"/>
        <v>4004.0816326530617</v>
      </c>
      <c r="F70" s="126">
        <f t="shared" si="41"/>
        <v>10010.204081632655</v>
      </c>
      <c r="G70" s="127">
        <f t="shared" si="41"/>
        <v>22022.448979591838</v>
      </c>
      <c r="H70" s="125">
        <f t="shared" si="41"/>
        <v>4004.0816326530617</v>
      </c>
      <c r="I70" s="126">
        <f t="shared" si="41"/>
        <v>10010.204081632655</v>
      </c>
      <c r="J70" s="127">
        <f t="shared" si="41"/>
        <v>22022.448979591838</v>
      </c>
      <c r="K70" s="112">
        <f t="shared" si="41"/>
        <v>12012.244897959186</v>
      </c>
      <c r="L70" s="113">
        <f t="shared" si="41"/>
        <v>8008.1632653061233</v>
      </c>
      <c r="M70" s="113">
        <f t="shared" si="41"/>
        <v>6006.1224489795932</v>
      </c>
    </row>
    <row r="71" spans="1:13" x14ac:dyDescent="0.3">
      <c r="A71" s="128" t="s">
        <v>79</v>
      </c>
      <c r="B71" s="129">
        <v>20</v>
      </c>
      <c r="C71" s="130">
        <v>20</v>
      </c>
      <c r="D71" s="131">
        <v>20</v>
      </c>
      <c r="E71" s="129">
        <v>20</v>
      </c>
      <c r="F71" s="130">
        <v>20</v>
      </c>
      <c r="G71" s="131">
        <v>20</v>
      </c>
      <c r="H71" s="129">
        <v>20</v>
      </c>
      <c r="I71" s="130">
        <v>20</v>
      </c>
      <c r="J71" s="131">
        <v>20</v>
      </c>
      <c r="K71" s="132">
        <v>20</v>
      </c>
      <c r="L71" s="130">
        <v>20</v>
      </c>
      <c r="M71" s="130">
        <v>20</v>
      </c>
    </row>
    <row r="72" spans="1:13" ht="15" thickBot="1" x14ac:dyDescent="0.35">
      <c r="A72" s="128" t="s">
        <v>80</v>
      </c>
      <c r="B72" s="133">
        <v>0.7</v>
      </c>
      <c r="C72" s="134">
        <v>0.7</v>
      </c>
      <c r="D72" s="135">
        <v>0.7</v>
      </c>
      <c r="E72" s="133">
        <v>0.7</v>
      </c>
      <c r="F72" s="134">
        <v>0.7</v>
      </c>
      <c r="G72" s="135">
        <v>0.7</v>
      </c>
      <c r="H72" s="133">
        <v>0.7</v>
      </c>
      <c r="I72" s="134">
        <v>0.7</v>
      </c>
      <c r="J72" s="135">
        <v>0.7</v>
      </c>
      <c r="K72" s="136">
        <v>0.7</v>
      </c>
      <c r="L72" s="39">
        <v>0.7</v>
      </c>
      <c r="M72" s="39">
        <v>0.7</v>
      </c>
    </row>
    <row r="74" spans="1:13" x14ac:dyDescent="0.3">
      <c r="A74" s="137" t="s">
        <v>82</v>
      </c>
      <c r="B74" s="138">
        <v>1</v>
      </c>
      <c r="C74" s="138">
        <v>1</v>
      </c>
      <c r="D74" s="138">
        <v>1</v>
      </c>
      <c r="E74" s="138">
        <v>1</v>
      </c>
      <c r="F74" s="138">
        <v>1</v>
      </c>
      <c r="G74" s="138">
        <v>1</v>
      </c>
      <c r="H74" s="138">
        <v>1</v>
      </c>
      <c r="I74" s="138">
        <v>1</v>
      </c>
      <c r="J74" s="138">
        <v>1</v>
      </c>
      <c r="K74" s="138">
        <v>1</v>
      </c>
      <c r="L74" s="138">
        <v>1</v>
      </c>
      <c r="M74" s="138">
        <v>1</v>
      </c>
    </row>
    <row r="76" spans="1:13" x14ac:dyDescent="0.3">
      <c r="A76" s="38" t="s">
        <v>81</v>
      </c>
      <c r="B76" s="110">
        <v>25</v>
      </c>
      <c r="C76" s="110">
        <v>25</v>
      </c>
      <c r="D76" s="110">
        <v>25</v>
      </c>
      <c r="E76" s="110">
        <v>25</v>
      </c>
      <c r="F76" s="110">
        <v>25</v>
      </c>
      <c r="G76" s="110">
        <v>25</v>
      </c>
      <c r="H76" s="110">
        <v>25</v>
      </c>
      <c r="I76" s="110">
        <v>25</v>
      </c>
      <c r="J76" s="110">
        <v>25</v>
      </c>
      <c r="K76" s="110">
        <v>25</v>
      </c>
      <c r="L76" s="110">
        <v>25</v>
      </c>
      <c r="M76" s="110">
        <v>25</v>
      </c>
    </row>
    <row r="77" spans="1:13" x14ac:dyDescent="0.3">
      <c r="A77" s="122"/>
      <c r="B77" s="139"/>
      <c r="C77" s="139"/>
      <c r="D77" s="139"/>
      <c r="E77" s="139"/>
      <c r="F77" s="139"/>
      <c r="G77" s="139"/>
      <c r="H77" s="139"/>
      <c r="I77" s="139"/>
      <c r="J77" s="139"/>
      <c r="K77" s="139"/>
      <c r="L77" s="139"/>
      <c r="M77" s="139"/>
    </row>
    <row r="82" spans="1:1" x14ac:dyDescent="0.3">
      <c r="A82" s="140"/>
    </row>
    <row r="83" spans="1:1" x14ac:dyDescent="0.3">
      <c r="A83" s="140"/>
    </row>
    <row r="84" spans="1:1" x14ac:dyDescent="0.3">
      <c r="A84" s="3"/>
    </row>
    <row r="86" spans="1:1" x14ac:dyDescent="0.3">
      <c r="A86" s="141"/>
    </row>
    <row r="97" s="3" customFormat="1" x14ac:dyDescent="0.3"/>
    <row r="98" s="3" customFormat="1" x14ac:dyDescent="0.3"/>
    <row r="99" s="3" customFormat="1" x14ac:dyDescent="0.3"/>
    <row r="100" s="3" customFormat="1" x14ac:dyDescent="0.3"/>
    <row r="101" s="3" customFormat="1" x14ac:dyDescent="0.3"/>
    <row r="102" s="3" customFormat="1" x14ac:dyDescent="0.3"/>
    <row r="103" s="3" customFormat="1" x14ac:dyDescent="0.3"/>
    <row r="104" s="3" customFormat="1" x14ac:dyDescent="0.3"/>
    <row r="105" s="3" customFormat="1" x14ac:dyDescent="0.3"/>
    <row r="106" s="3" customFormat="1" x14ac:dyDescent="0.3"/>
    <row r="107" s="3" customFormat="1" x14ac:dyDescent="0.3"/>
    <row r="108" s="3" customFormat="1" x14ac:dyDescent="0.3"/>
    <row r="109" s="3" customFormat="1" x14ac:dyDescent="0.3"/>
    <row r="110" s="3" customFormat="1" x14ac:dyDescent="0.3"/>
    <row r="111" s="3" customFormat="1" x14ac:dyDescent="0.3"/>
    <row r="112" s="3" customFormat="1" x14ac:dyDescent="0.3"/>
    <row r="113" s="3" customFormat="1" x14ac:dyDescent="0.3"/>
    <row r="114" s="3" customFormat="1" x14ac:dyDescent="0.3"/>
    <row r="115" s="3" customFormat="1" x14ac:dyDescent="0.3"/>
  </sheetData>
  <mergeCells count="1">
    <mergeCell ref="O1:Q1"/>
  </mergeCells>
  <conditionalFormatting sqref="B6:C6">
    <cfRule type="cellIs" dxfId="23" priority="25" operator="greaterThan">
      <formula>$C$9</formula>
    </cfRule>
    <cfRule type="cellIs" priority="26" operator="greaterThan">
      <formula>$C$9</formula>
    </cfRule>
  </conditionalFormatting>
  <conditionalFormatting sqref="D6">
    <cfRule type="cellIs" dxfId="22" priority="24" operator="greaterThan">
      <formula>$D$9</formula>
    </cfRule>
  </conditionalFormatting>
  <conditionalFormatting sqref="E6">
    <cfRule type="cellIs" dxfId="21" priority="23" operator="greaterThan">
      <formula>$E$9</formula>
    </cfRule>
  </conditionalFormatting>
  <conditionalFormatting sqref="F6">
    <cfRule type="cellIs" dxfId="20" priority="22" operator="greaterThan">
      <formula>$F$9</formula>
    </cfRule>
  </conditionalFormatting>
  <conditionalFormatting sqref="G6">
    <cfRule type="cellIs" dxfId="19" priority="14" operator="greaterThan">
      <formula>$G$9</formula>
    </cfRule>
    <cfRule type="cellIs" priority="21" operator="greaterThan">
      <formula>$G$9</formula>
    </cfRule>
  </conditionalFormatting>
  <conditionalFormatting sqref="H6">
    <cfRule type="cellIs" dxfId="18" priority="20" operator="greaterThan">
      <formula>$H$9</formula>
    </cfRule>
  </conditionalFormatting>
  <conditionalFormatting sqref="I6">
    <cfRule type="cellIs" dxfId="17" priority="19" operator="greaterThan">
      <formula>$I$9</formula>
    </cfRule>
  </conditionalFormatting>
  <conditionalFormatting sqref="J6">
    <cfRule type="cellIs" dxfId="16" priority="18" operator="greaterThan">
      <formula>$J$9</formula>
    </cfRule>
  </conditionalFormatting>
  <conditionalFormatting sqref="K6">
    <cfRule type="cellIs" dxfId="15" priority="17" operator="greaterThan">
      <formula>$K$9</formula>
    </cfRule>
  </conditionalFormatting>
  <conditionalFormatting sqref="L6">
    <cfRule type="cellIs" dxfId="14" priority="16" operator="greaterThan">
      <formula>$L$9</formula>
    </cfRule>
  </conditionalFormatting>
  <conditionalFormatting sqref="M6">
    <cfRule type="cellIs" dxfId="13" priority="15" operator="greaterThan">
      <formula>$M$9</formula>
    </cfRule>
  </conditionalFormatting>
  <conditionalFormatting sqref="B6">
    <cfRule type="cellIs" dxfId="12" priority="13" operator="greaterThan">
      <formula>$B$9</formula>
    </cfRule>
  </conditionalFormatting>
  <conditionalFormatting sqref="B61">
    <cfRule type="cellIs" dxfId="11" priority="12" operator="greaterThan">
      <formula>$B$58</formula>
    </cfRule>
  </conditionalFormatting>
  <conditionalFormatting sqref="C61">
    <cfRule type="cellIs" dxfId="10" priority="11" operator="greaterThan">
      <formula>$C$58</formula>
    </cfRule>
  </conditionalFormatting>
  <conditionalFormatting sqref="D61">
    <cfRule type="cellIs" dxfId="9" priority="10" operator="greaterThan">
      <formula>$D$58</formula>
    </cfRule>
  </conditionalFormatting>
  <conditionalFormatting sqref="E61">
    <cfRule type="cellIs" dxfId="8" priority="9" operator="greaterThan">
      <formula>$E$58</formula>
    </cfRule>
  </conditionalFormatting>
  <conditionalFormatting sqref="F61">
    <cfRule type="cellIs" dxfId="7" priority="8" operator="greaterThan">
      <formula>$F$58</formula>
    </cfRule>
  </conditionalFormatting>
  <conditionalFormatting sqref="G61">
    <cfRule type="cellIs" dxfId="6" priority="7" operator="greaterThan">
      <formula>$G$58</formula>
    </cfRule>
  </conditionalFormatting>
  <conditionalFormatting sqref="H61">
    <cfRule type="cellIs" dxfId="5" priority="6" operator="greaterThan">
      <formula>$H$58</formula>
    </cfRule>
  </conditionalFormatting>
  <conditionalFormatting sqref="I61">
    <cfRule type="cellIs" dxfId="4" priority="5" operator="greaterThan">
      <formula>$I$58</formula>
    </cfRule>
  </conditionalFormatting>
  <conditionalFormatting sqref="J61">
    <cfRule type="cellIs" dxfId="3" priority="4" operator="greaterThan">
      <formula>$J$58</formula>
    </cfRule>
  </conditionalFormatting>
  <conditionalFormatting sqref="K61">
    <cfRule type="cellIs" dxfId="2" priority="3" operator="greaterThan">
      <formula>$K$58</formula>
    </cfRule>
  </conditionalFormatting>
  <conditionalFormatting sqref="L61">
    <cfRule type="cellIs" dxfId="1" priority="2" operator="greaterThan">
      <formula>$L$58</formula>
    </cfRule>
  </conditionalFormatting>
  <conditionalFormatting sqref="M61">
    <cfRule type="cellIs" dxfId="0" priority="1" operator="greaterThan">
      <formula>$M$58</formula>
    </cfRule>
  </conditionalFormatting>
  <dataValidations count="4">
    <dataValidation type="list" allowBlank="1" showInputMessage="1" showErrorMessage="1" sqref="A1">
      <formula1>"V,Plat"</formula1>
    </dataValidation>
    <dataValidation allowBlank="1" showDropDown="1" showInputMessage="1" showErrorMessage="1" sqref="B2:M3"/>
    <dataValidation type="whole" operator="greaterThan" allowBlank="1" showInputMessage="1" showErrorMessage="1" sqref="B56:M56">
      <formula1>B61</formula1>
    </dataValidation>
    <dataValidation type="whole" operator="greaterThan" allowBlank="1" showInputMessage="1" showErrorMessage="1" sqref="B57:M57">
      <formula1>B60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Feuil1.resolution_aero_sec1">
                <anchor moveWithCells="1" sizeWithCells="1">
                  <from>
                    <xdr:col>0</xdr:col>
                    <xdr:colOff>426720</xdr:colOff>
                    <xdr:row>77</xdr:row>
                    <xdr:rowOff>7620</xdr:rowOff>
                  </from>
                  <to>
                    <xdr:col>0</xdr:col>
                    <xdr:colOff>2217420</xdr:colOff>
                    <xdr:row>79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Filleul</dc:creator>
  <cp:lastModifiedBy>Corentin Filleul</cp:lastModifiedBy>
  <dcterms:created xsi:type="dcterms:W3CDTF">2019-06-12T08:41:22Z</dcterms:created>
  <dcterms:modified xsi:type="dcterms:W3CDTF">2019-06-12T08:52:15Z</dcterms:modified>
</cp:coreProperties>
</file>