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sponsable Qualite\Desktop\"/>
    </mc:Choice>
  </mc:AlternateContent>
  <bookViews>
    <workbookView xWindow="0" yWindow="0" windowWidth="20490" windowHeight="7620" activeTab="2"/>
  </bookViews>
  <sheets>
    <sheet name="Liste nature des faits EI" sheetId="1" r:id="rId1"/>
    <sheet name="Notice d'utilisation" sheetId="15" r:id="rId2"/>
    <sheet name="Base de données suivi des FEI" sheetId="2" r:id="rId3"/>
    <sheet name="Analyses graphiques" sheetId="13" state="hidden" r:id="rId4"/>
    <sheet name="Liste des établissements" sheetId="5" state="hidden" r:id="rId5"/>
  </sheets>
  <definedNames>
    <definedName name="_xlnm._FilterDatabase" localSheetId="2" hidden="1">'Base de données suivi des FEI'!#REF!</definedName>
    <definedName name="Atteinte_aux_biens">'Liste nature des faits EI'!$E$3:$E$6</definedName>
    <definedName name="Atteinte_personne">'Liste nature des faits EI'!$B$3:$B$9</definedName>
    <definedName name="Autres">'Liste nature des faits EI'!$F$3:$F$6</definedName>
    <definedName name="Etablissements">'Liste des établissements'!$A$2:$A$16</definedName>
    <definedName name="Liste_établissements">'Liste des établissements'!$A$2:$A$17</definedName>
    <definedName name="Listedenatures">'Liste nature des faits EI'!$B$16:$B$20</definedName>
    <definedName name="Listefaits">'Liste nature des faits EI'!$B$1:$F$1</definedName>
    <definedName name="Nature_faits_EIG">#REF!</definedName>
    <definedName name="Problème_logistique_hotellerie">'Liste nature des faits EI'!$D$3:$D$7</definedName>
    <definedName name="Problème_soins">'Liste nature des faits EI'!$C$3:$C$5</definedName>
    <definedName name="Qualification">'Liste nature des faits EI'!$K$2:$K$4</definedName>
    <definedName name="_xlnm.Print_Area" localSheetId="2">'Base de données suivi des FEI'!#REF!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7" i="13" l="1"/>
  <c r="AI17" i="13"/>
  <c r="AH17" i="13"/>
  <c r="AG17" i="13"/>
  <c r="AE17" i="13"/>
  <c r="AD17" i="13"/>
  <c r="AC17" i="13"/>
  <c r="AB17" i="13"/>
  <c r="AA17" i="13"/>
  <c r="Y17" i="13"/>
  <c r="X17" i="13"/>
  <c r="W17" i="13"/>
  <c r="U17" i="13"/>
  <c r="T17" i="13"/>
  <c r="S17" i="13"/>
  <c r="R17" i="13"/>
  <c r="Q17" i="13"/>
  <c r="P17" i="13"/>
  <c r="O17" i="13"/>
  <c r="E17" i="13"/>
  <c r="D17" i="13"/>
  <c r="AJ16" i="13"/>
  <c r="AI16" i="13"/>
  <c r="AH16" i="13"/>
  <c r="AG16" i="13"/>
  <c r="AE16" i="13"/>
  <c r="AD16" i="13"/>
  <c r="AC16" i="13"/>
  <c r="AB16" i="13"/>
  <c r="AA16" i="13"/>
  <c r="Y16" i="13"/>
  <c r="X16" i="13"/>
  <c r="W16" i="13"/>
  <c r="U16" i="13"/>
  <c r="T16" i="13"/>
  <c r="S16" i="13"/>
  <c r="R16" i="13"/>
  <c r="Q16" i="13"/>
  <c r="P16" i="13"/>
  <c r="O16" i="13"/>
  <c r="E16" i="13"/>
  <c r="D16" i="13"/>
  <c r="AJ15" i="13"/>
  <c r="AI15" i="13"/>
  <c r="AH15" i="13"/>
  <c r="AG15" i="13"/>
  <c r="AE15" i="13"/>
  <c r="AD15" i="13"/>
  <c r="AC15" i="13"/>
  <c r="AB15" i="13"/>
  <c r="AA15" i="13"/>
  <c r="Y15" i="13"/>
  <c r="X15" i="13"/>
  <c r="W15" i="13"/>
  <c r="U15" i="13"/>
  <c r="T15" i="13"/>
  <c r="S15" i="13"/>
  <c r="R15" i="13"/>
  <c r="Q15" i="13"/>
  <c r="P15" i="13"/>
  <c r="O15" i="13"/>
  <c r="E15" i="13"/>
  <c r="D15" i="13"/>
  <c r="AJ14" i="13"/>
  <c r="AI14" i="13"/>
  <c r="AH14" i="13"/>
  <c r="AG14" i="13"/>
  <c r="AE14" i="13"/>
  <c r="AD14" i="13"/>
  <c r="AC14" i="13"/>
  <c r="AB14" i="13"/>
  <c r="AA14" i="13"/>
  <c r="Y14" i="13"/>
  <c r="X14" i="13"/>
  <c r="W14" i="13"/>
  <c r="U14" i="13"/>
  <c r="T14" i="13"/>
  <c r="S14" i="13"/>
  <c r="R14" i="13"/>
  <c r="Q14" i="13"/>
  <c r="P14" i="13"/>
  <c r="O14" i="13"/>
  <c r="E14" i="13"/>
  <c r="D14" i="13"/>
  <c r="E13" i="13"/>
  <c r="D13" i="13"/>
  <c r="AJ12" i="13"/>
  <c r="AI12" i="13"/>
  <c r="AH12" i="13"/>
  <c r="AG12" i="13"/>
  <c r="AE12" i="13"/>
  <c r="AD12" i="13"/>
  <c r="AC12" i="13"/>
  <c r="AB12" i="13"/>
  <c r="AA12" i="13"/>
  <c r="Y12" i="13"/>
  <c r="X12" i="13"/>
  <c r="W12" i="13"/>
  <c r="U12" i="13"/>
  <c r="T12" i="13"/>
  <c r="S12" i="13"/>
  <c r="R12" i="13"/>
  <c r="Q12" i="13"/>
  <c r="P12" i="13"/>
  <c r="O12" i="13"/>
  <c r="E12" i="13"/>
  <c r="D12" i="13"/>
  <c r="AJ11" i="13"/>
  <c r="AI11" i="13"/>
  <c r="AH11" i="13"/>
  <c r="AG11" i="13"/>
  <c r="AE11" i="13"/>
  <c r="AD11" i="13"/>
  <c r="AC11" i="13"/>
  <c r="AB11" i="13"/>
  <c r="AA11" i="13"/>
  <c r="Y11" i="13"/>
  <c r="X11" i="13"/>
  <c r="W11" i="13"/>
  <c r="U11" i="13"/>
  <c r="T11" i="13"/>
  <c r="S11" i="13"/>
  <c r="R11" i="13"/>
  <c r="Q11" i="13"/>
  <c r="P11" i="13"/>
  <c r="O11" i="13"/>
  <c r="E11" i="13"/>
  <c r="D11" i="13"/>
  <c r="AJ10" i="13"/>
  <c r="AI10" i="13"/>
  <c r="AH10" i="13"/>
  <c r="AG10" i="13"/>
  <c r="AE10" i="13"/>
  <c r="AD10" i="13"/>
  <c r="AC10" i="13"/>
  <c r="AB10" i="13"/>
  <c r="AA10" i="13"/>
  <c r="Y10" i="13"/>
  <c r="X10" i="13"/>
  <c r="W10" i="13"/>
  <c r="U10" i="13"/>
  <c r="T10" i="13"/>
  <c r="S10" i="13"/>
  <c r="R10" i="13"/>
  <c r="Q10" i="13"/>
  <c r="P10" i="13"/>
  <c r="O10" i="13"/>
  <c r="E10" i="13"/>
  <c r="D10" i="13"/>
  <c r="E9" i="13"/>
  <c r="D9" i="13"/>
  <c r="AJ8" i="13"/>
  <c r="AI8" i="13"/>
  <c r="AH8" i="13"/>
  <c r="AG8" i="13"/>
  <c r="AE8" i="13"/>
  <c r="AD8" i="13"/>
  <c r="AC8" i="13"/>
  <c r="AB8" i="13"/>
  <c r="AA8" i="13"/>
  <c r="Y8" i="13"/>
  <c r="X8" i="13"/>
  <c r="W8" i="13"/>
  <c r="U8" i="13"/>
  <c r="T8" i="13"/>
  <c r="S8" i="13"/>
  <c r="R8" i="13"/>
  <c r="Q8" i="13"/>
  <c r="P8" i="13"/>
  <c r="O8" i="13"/>
  <c r="E8" i="13"/>
  <c r="D8" i="13"/>
  <c r="AJ7" i="13"/>
  <c r="AI7" i="13"/>
  <c r="AH7" i="13"/>
  <c r="AG7" i="13"/>
  <c r="AE7" i="13"/>
  <c r="AD7" i="13"/>
  <c r="AC7" i="13"/>
  <c r="AB7" i="13"/>
  <c r="AA7" i="13"/>
  <c r="Y7" i="13"/>
  <c r="X7" i="13"/>
  <c r="W7" i="13"/>
  <c r="U7" i="13"/>
  <c r="T7" i="13"/>
  <c r="S7" i="13"/>
  <c r="R7" i="13"/>
  <c r="Q7" i="13"/>
  <c r="P7" i="13"/>
  <c r="O7" i="13"/>
  <c r="E7" i="13"/>
  <c r="D7" i="13"/>
  <c r="AJ6" i="13"/>
  <c r="AI6" i="13"/>
  <c r="AH6" i="13"/>
  <c r="AG6" i="13"/>
  <c r="AE6" i="13"/>
  <c r="AD6" i="13"/>
  <c r="AC6" i="13"/>
  <c r="AB6" i="13"/>
  <c r="AA6" i="13"/>
  <c r="Y6" i="13"/>
  <c r="X6" i="13"/>
  <c r="W6" i="13"/>
  <c r="U6" i="13"/>
  <c r="T6" i="13"/>
  <c r="S6" i="13"/>
  <c r="R6" i="13"/>
  <c r="Q6" i="13"/>
  <c r="P6" i="13"/>
  <c r="O6" i="13"/>
  <c r="E6" i="13"/>
  <c r="D6" i="13"/>
  <c r="AJ5" i="13"/>
  <c r="AI5" i="13"/>
  <c r="AH5" i="13"/>
  <c r="AG5" i="13"/>
  <c r="AE5" i="13"/>
  <c r="AD5" i="13"/>
  <c r="AC5" i="13"/>
  <c r="AB5" i="13"/>
  <c r="AA5" i="13"/>
  <c r="Y5" i="13"/>
  <c r="X5" i="13"/>
  <c r="W5" i="13"/>
  <c r="U5" i="13"/>
  <c r="T5" i="13"/>
  <c r="S5" i="13"/>
  <c r="R5" i="13"/>
  <c r="Q5" i="13"/>
  <c r="P5" i="13"/>
  <c r="O5" i="13"/>
  <c r="E5" i="13"/>
  <c r="D5" i="13"/>
  <c r="C5" i="13"/>
  <c r="AJ4" i="13"/>
  <c r="AI4" i="13"/>
  <c r="AH4" i="13"/>
  <c r="E4" i="13"/>
  <c r="D4" i="13"/>
  <c r="AJ3" i="13"/>
  <c r="AI3" i="13"/>
  <c r="AH3" i="13"/>
  <c r="AG3" i="13"/>
  <c r="AE3" i="13"/>
  <c r="AD3" i="13"/>
  <c r="AC3" i="13"/>
  <c r="AB3" i="13"/>
  <c r="AA3" i="13"/>
  <c r="Y3" i="13"/>
  <c r="X3" i="13"/>
  <c r="W3" i="13"/>
  <c r="U3" i="13"/>
  <c r="T3" i="13"/>
  <c r="S3" i="13"/>
  <c r="R3" i="13"/>
  <c r="Q3" i="13"/>
  <c r="P3" i="13"/>
  <c r="O3" i="13"/>
  <c r="E3" i="13"/>
  <c r="D3" i="13"/>
  <c r="C3" i="13"/>
  <c r="B3" i="13"/>
  <c r="C8" i="13"/>
  <c r="C17" i="13"/>
  <c r="B17" i="13"/>
  <c r="C16" i="13"/>
  <c r="B16" i="13"/>
  <c r="C15" i="13"/>
  <c r="B15" i="13"/>
  <c r="C14" i="13"/>
  <c r="B14" i="13"/>
  <c r="C13" i="13"/>
  <c r="B13" i="13"/>
  <c r="C12" i="13"/>
  <c r="B12" i="13"/>
  <c r="C11" i="13"/>
  <c r="B11" i="13"/>
  <c r="C10" i="13"/>
  <c r="B10" i="13"/>
  <c r="C9" i="13"/>
  <c r="B9" i="13"/>
  <c r="B8" i="13"/>
  <c r="C7" i="13"/>
  <c r="B7" i="13"/>
  <c r="C6" i="13"/>
  <c r="B6" i="13"/>
  <c r="B5" i="13"/>
  <c r="C4" i="13"/>
  <c r="B4" i="13"/>
  <c r="AG4" i="13"/>
  <c r="AE4" i="13"/>
  <c r="AD4" i="13"/>
  <c r="AC4" i="13"/>
  <c r="AB4" i="13"/>
  <c r="AA4" i="13"/>
  <c r="Y4" i="13"/>
  <c r="X4" i="13"/>
  <c r="W4" i="13"/>
  <c r="U4" i="13"/>
  <c r="T4" i="13"/>
  <c r="S4" i="13"/>
  <c r="R4" i="13"/>
  <c r="Q4" i="13"/>
  <c r="P4" i="13"/>
  <c r="O4" i="13"/>
  <c r="W39" i="13" l="1"/>
  <c r="W32" i="13"/>
  <c r="W27" i="13"/>
  <c r="W20" i="13"/>
  <c r="G22" i="13" l="1"/>
  <c r="F9" i="13" l="1"/>
  <c r="F13" i="13"/>
  <c r="W28" i="13"/>
  <c r="AA36" i="13"/>
  <c r="AA23" i="13"/>
  <c r="AJ18" i="13"/>
  <c r="AI18" i="13"/>
  <c r="AE18" i="13"/>
  <c r="AD18" i="13"/>
  <c r="Y18" i="13"/>
  <c r="T18" i="13"/>
  <c r="P18" i="13"/>
  <c r="G25" i="13"/>
  <c r="W21" i="13"/>
  <c r="AK17" i="13"/>
  <c r="AF17" i="13"/>
  <c r="Z17" i="13"/>
  <c r="V17" i="13"/>
  <c r="F17" i="13"/>
  <c r="AK16" i="13"/>
  <c r="AF16" i="13"/>
  <c r="Z16" i="13"/>
  <c r="V16" i="13"/>
  <c r="F16" i="13"/>
  <c r="AK15" i="13"/>
  <c r="AF15" i="13"/>
  <c r="Z15" i="13"/>
  <c r="V15" i="13"/>
  <c r="F15" i="13"/>
  <c r="AK14" i="13"/>
  <c r="AF14" i="13"/>
  <c r="Z14" i="13"/>
  <c r="V14" i="13"/>
  <c r="F14" i="13"/>
  <c r="X43" i="13"/>
  <c r="AK12" i="13"/>
  <c r="AF12" i="13"/>
  <c r="Z12" i="13"/>
  <c r="AC23" i="13"/>
  <c r="AB23" i="13"/>
  <c r="Y23" i="13"/>
  <c r="X23" i="13"/>
  <c r="V12" i="13"/>
  <c r="F12" i="13"/>
  <c r="AK11" i="13"/>
  <c r="AF11" i="13"/>
  <c r="Z11" i="13"/>
  <c r="V11" i="13"/>
  <c r="F11" i="13"/>
  <c r="AK10" i="13"/>
  <c r="AF10" i="13"/>
  <c r="Z10" i="13"/>
  <c r="V10" i="13"/>
  <c r="F10" i="13"/>
  <c r="AK8" i="13"/>
  <c r="AF8" i="13"/>
  <c r="Z8" i="13"/>
  <c r="V8" i="13"/>
  <c r="F8" i="13"/>
  <c r="AK7" i="13"/>
  <c r="AF7" i="13"/>
  <c r="Z7" i="13"/>
  <c r="V7" i="13"/>
  <c r="F7" i="13"/>
  <c r="AK6" i="13"/>
  <c r="AF6" i="13"/>
  <c r="Z6" i="13"/>
  <c r="V6" i="13"/>
  <c r="F6" i="13"/>
  <c r="AK5" i="13"/>
  <c r="AF5" i="13"/>
  <c r="Z5" i="13"/>
  <c r="V5" i="13"/>
  <c r="AK4" i="13"/>
  <c r="AF4" i="13"/>
  <c r="H25" i="13" l="1"/>
  <c r="F5" i="13"/>
  <c r="R18" i="13"/>
  <c r="AB18" i="13"/>
  <c r="Z4" i="13"/>
  <c r="U18" i="13"/>
  <c r="B18" i="13"/>
  <c r="S18" i="13"/>
  <c r="X18" i="13"/>
  <c r="AC18" i="13"/>
  <c r="AH18" i="13"/>
  <c r="Z3" i="13"/>
  <c r="AF3" i="13"/>
  <c r="AF18" i="13" s="1"/>
  <c r="AK3" i="13"/>
  <c r="AK18" i="13" s="1"/>
  <c r="E18" i="13"/>
  <c r="V4" i="13"/>
  <c r="V3" i="13"/>
  <c r="D18" i="13"/>
  <c r="Y30" i="13"/>
  <c r="X36" i="13"/>
  <c r="Q18" i="13"/>
  <c r="AB36" i="13"/>
  <c r="Z30" i="13"/>
  <c r="AA43" i="13"/>
  <c r="O18" i="13"/>
  <c r="W18" i="13"/>
  <c r="AA18" i="13"/>
  <c r="I25" i="13"/>
  <c r="W30" i="13"/>
  <c r="Y36" i="13"/>
  <c r="Y43" i="13"/>
  <c r="AG18" i="13"/>
  <c r="G23" i="13"/>
  <c r="Z23" i="13"/>
  <c r="AD23" i="13"/>
  <c r="J25" i="13"/>
  <c r="X30" i="13"/>
  <c r="W33" i="13"/>
  <c r="Z36" i="13"/>
  <c r="W40" i="13"/>
  <c r="Z43" i="13"/>
  <c r="F3" i="13"/>
  <c r="W23" i="13"/>
  <c r="W36" i="13"/>
  <c r="W43" i="13"/>
  <c r="Z18" i="13" l="1"/>
  <c r="V18" i="13"/>
  <c r="F4" i="13" l="1"/>
  <c r="C18" i="13"/>
  <c r="F18" i="13" s="1"/>
</calcChain>
</file>

<file path=xl/sharedStrings.xml><?xml version="1.0" encoding="utf-8"?>
<sst xmlns="http://schemas.openxmlformats.org/spreadsheetml/2006/main" count="181" uniqueCount="69">
  <si>
    <t xml:space="preserve">Nature </t>
  </si>
  <si>
    <t>Autres</t>
  </si>
  <si>
    <t>Physique</t>
  </si>
  <si>
    <t>Psychique</t>
  </si>
  <si>
    <t>Entre résidents</t>
  </si>
  <si>
    <t>Résident envers professionnels</t>
  </si>
  <si>
    <t>Contre elle-même</t>
  </si>
  <si>
    <t>Erreur médicamenteuse</t>
  </si>
  <si>
    <t>Matériel</t>
  </si>
  <si>
    <t>Autre</t>
  </si>
  <si>
    <t>Restauration</t>
  </si>
  <si>
    <t xml:space="preserve">Linge </t>
  </si>
  <si>
    <t>Entretien</t>
  </si>
  <si>
    <t>Panne</t>
  </si>
  <si>
    <t>Vols et dégradation</t>
  </si>
  <si>
    <t>Inondation</t>
  </si>
  <si>
    <t>Départ de feu</t>
  </si>
  <si>
    <t>Atteinte_personne</t>
  </si>
  <si>
    <t>Problème_logistique_hotellerie</t>
  </si>
  <si>
    <t xml:space="preserve">Atteinte_aux_biens </t>
  </si>
  <si>
    <t>Personnes concernées</t>
  </si>
  <si>
    <t>Nature des faits</t>
  </si>
  <si>
    <t>Mesures immédiates prises</t>
  </si>
  <si>
    <t xml:space="preserve">Problème_soins </t>
  </si>
  <si>
    <t>Précisions</t>
  </si>
  <si>
    <t>EAJE/SESSAD</t>
  </si>
  <si>
    <t>IME</t>
  </si>
  <si>
    <t>LA MAILLERIE</t>
  </si>
  <si>
    <t>CITL VANVES</t>
  </si>
  <si>
    <t>CITL JC.RICHARD</t>
  </si>
  <si>
    <t xml:space="preserve">SAVS </t>
  </si>
  <si>
    <t>FOYER M.DARTY</t>
  </si>
  <si>
    <t>FOYER POINT DU JOUR</t>
  </si>
  <si>
    <t>FAM BILLANCOURT</t>
  </si>
  <si>
    <t>ESAT YVONNE WENDLING</t>
  </si>
  <si>
    <t>ESAT GEORGES DAGNEAUX</t>
  </si>
  <si>
    <t>ESAT SUZANNE LAWSON</t>
  </si>
  <si>
    <t>Date de signalement</t>
  </si>
  <si>
    <t>En cours</t>
  </si>
  <si>
    <t>Clos</t>
  </si>
  <si>
    <t>Professionnel envers résidents</t>
  </si>
  <si>
    <t>Analyse des causes et actions correctives mises en place</t>
  </si>
  <si>
    <t>TOTAL</t>
  </si>
  <si>
    <t>SP LA TISSANDERIE</t>
  </si>
  <si>
    <t>Etablissements</t>
  </si>
  <si>
    <t xml:space="preserve">Description des faits </t>
  </si>
  <si>
    <t>ATTEINTES PERSONNES</t>
  </si>
  <si>
    <t>PROBLEMES SOINS</t>
  </si>
  <si>
    <t>PROBLEME LOGISTIQUE HOTELLERIE</t>
  </si>
  <si>
    <t>ATTEINTE AUX BIENS</t>
  </si>
  <si>
    <t>FOYER ERIC</t>
  </si>
  <si>
    <t>CITL VINET</t>
  </si>
  <si>
    <t>Liste</t>
  </si>
  <si>
    <t>Etablissement</t>
  </si>
  <si>
    <t>Qualification</t>
  </si>
  <si>
    <t>EI</t>
  </si>
  <si>
    <t>EIG</t>
  </si>
  <si>
    <t>Date de l'événement</t>
  </si>
  <si>
    <t>Personne déclarante</t>
  </si>
  <si>
    <t>Heure</t>
  </si>
  <si>
    <t xml:space="preserve">Lieu </t>
  </si>
  <si>
    <t/>
  </si>
  <si>
    <t>1- Cliquer sur l'onglet "Base de données de suivi des FEI" en bas du fichier</t>
  </si>
  <si>
    <t>2- Cliquer sur le bouton "Saisir un événement"</t>
  </si>
  <si>
    <t>3- Compléter le formulaire de saisie</t>
  </si>
  <si>
    <t>4- Cliquer sur le bouton "enregistrer" puis le bouton "fermer"</t>
  </si>
  <si>
    <t>I-SAISIE D'UN EVENEMENT INDESIRABLE DANS LA BASE DE DONNEES :</t>
  </si>
  <si>
    <t>II-MISE A JOUR DU TABLEAU DE BORD FEI</t>
  </si>
  <si>
    <t>NOTICE D'UTILISATION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</si>
</sst>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A7B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9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medium">
        <color rgb="FF92D050"/>
      </left>
      <right/>
      <top style="medium">
        <color theme="9"/>
      </top>
      <bottom/>
      <diagonal/>
    </border>
    <border>
      <left/>
      <right style="medium">
        <color rgb="FF92D050"/>
      </right>
      <top style="medium">
        <color theme="9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4" xfId="0" applyBorder="1"/>
    <xf numFmtId="0" fontId="0" fillId="0" borderId="0" xfId="0" applyBorder="1"/>
    <xf numFmtId="0" fontId="0" fillId="0" borderId="5" xfId="0" applyFill="1" applyBorder="1"/>
    <xf numFmtId="0" fontId="0" fillId="0" borderId="0" xfId="0" applyBorder="1" applyAlignment="1">
      <alignment wrapText="1"/>
    </xf>
    <xf numFmtId="0" fontId="0" fillId="3" borderId="5" xfId="0" applyFill="1" applyBorder="1"/>
    <xf numFmtId="0" fontId="0" fillId="2" borderId="10" xfId="0" applyFill="1" applyBorder="1"/>
    <xf numFmtId="0" fontId="0" fillId="3" borderId="6" xfId="0" applyFill="1" applyBorder="1"/>
    <xf numFmtId="0" fontId="0" fillId="2" borderId="11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7" xfId="0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0" fillId="0" borderId="0" xfId="0" applyAlignment="1">
      <alignment wrapText="1"/>
    </xf>
    <xf numFmtId="0" fontId="0" fillId="0" borderId="7" xfId="0" applyBorder="1"/>
    <xf numFmtId="0" fontId="0" fillId="3" borderId="4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5" xfId="0" applyFill="1" applyBorder="1" applyAlignment="1">
      <alignment horizontal="left" vertical="top" wrapText="1"/>
    </xf>
    <xf numFmtId="0" fontId="2" fillId="0" borderId="0" xfId="1"/>
    <xf numFmtId="0" fontId="0" fillId="0" borderId="5" xfId="0" applyBorder="1" applyAlignment="1"/>
    <xf numFmtId="0" fontId="0" fillId="0" borderId="0" xfId="0" applyBorder="1" applyAlignment="1"/>
    <xf numFmtId="0" fontId="0" fillId="5" borderId="0" xfId="0" applyFill="1"/>
    <xf numFmtId="0" fontId="0" fillId="5" borderId="0" xfId="0" applyFill="1" applyBorder="1"/>
    <xf numFmtId="0" fontId="0" fillId="0" borderId="4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 applyAlignment="1"/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quotePrefix="1"/>
    <xf numFmtId="0" fontId="3" fillId="7" borderId="20" xfId="0" applyFont="1" applyFill="1" applyBorder="1"/>
    <xf numFmtId="0" fontId="3" fillId="7" borderId="21" xfId="0" applyFont="1" applyFill="1" applyBorder="1"/>
    <xf numFmtId="0" fontId="1" fillId="0" borderId="0" xfId="0" applyFont="1"/>
    <xf numFmtId="0" fontId="5" fillId="0" borderId="0" xfId="0" applyFont="1" applyAlignment="1">
      <alignment vertical="center" wrapText="1"/>
    </xf>
    <xf numFmtId="0" fontId="0" fillId="5" borderId="15" xfId="0" applyFill="1" applyBorder="1"/>
    <xf numFmtId="0" fontId="0" fillId="5" borderId="25" xfId="0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0" borderId="25" xfId="0" applyBorder="1"/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5" borderId="25" xfId="0" applyFill="1" applyBorder="1" applyAlignment="1">
      <alignment horizontal="left" wrapText="1"/>
    </xf>
    <xf numFmtId="0" fontId="0" fillId="5" borderId="0" xfId="0" applyFill="1" applyBorder="1" applyAlignment="1">
      <alignment horizontal="left" wrapText="1"/>
    </xf>
    <xf numFmtId="0" fontId="1" fillId="8" borderId="2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BA7B3"/>
      <color rgb="FFCCFF99"/>
      <color rgb="FFFFCCCC"/>
      <color rgb="FF81BDC9"/>
      <color rgb="FF66FFFF"/>
      <color rgb="FFDDDDDD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809625</xdr:colOff>
      <xdr:row>13</xdr:row>
      <xdr:rowOff>114720</xdr:rowOff>
    </xdr:from>
    <xdr:to>
      <xdr:col>10</xdr:col>
      <xdr:colOff>617988</xdr:colOff>
      <xdr:row>31</xdr:row>
      <xdr:rowOff>8844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7075" y="2400720"/>
          <a:ext cx="5542413" cy="3323124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6</xdr:row>
      <xdr:rowOff>142875</xdr:rowOff>
    </xdr:from>
    <xdr:to>
      <xdr:col>7</xdr:col>
      <xdr:colOff>171069</xdr:colOff>
      <xdr:row>11</xdr:row>
      <xdr:rowOff>57042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0" y="1095375"/>
          <a:ext cx="3047619" cy="866667"/>
        </a:xfrm>
        <a:prstGeom prst="rect">
          <a:avLst/>
        </a:prstGeom>
      </xdr:spPr>
    </xdr:pic>
    <xdr:clientData/>
  </xdr:twoCellAnchor>
  <xdr:twoCellAnchor editAs="oneCell">
    <xdr:from>
      <xdr:col>5</xdr:col>
      <xdr:colOff>439997</xdr:colOff>
      <xdr:row>3</xdr:row>
      <xdr:rowOff>114300</xdr:rowOff>
    </xdr:from>
    <xdr:to>
      <xdr:col>9</xdr:col>
      <xdr:colOff>675650</xdr:colOff>
      <xdr:row>5</xdr:row>
      <xdr:rowOff>28575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45614"/>
        <a:stretch/>
      </xdr:blipFill>
      <xdr:spPr>
        <a:xfrm>
          <a:off x="4535747" y="638175"/>
          <a:ext cx="3512253" cy="295275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3</xdr:row>
      <xdr:rowOff>171450</xdr:rowOff>
    </xdr:from>
    <xdr:to>
      <xdr:col>6</xdr:col>
      <xdr:colOff>790575</xdr:colOff>
      <xdr:row>4</xdr:row>
      <xdr:rowOff>104775</xdr:rowOff>
    </xdr:to>
    <xdr:cxnSp macro="">
      <xdr:nvCxnSpPr>
        <xdr:cNvPr id="8" name="Connecteur droit avec flèche 7"/>
        <xdr:cNvCxnSpPr/>
      </xdr:nvCxnSpPr>
      <xdr:spPr>
        <a:xfrm>
          <a:off x="3314700" y="695325"/>
          <a:ext cx="2390775" cy="123825"/>
        </a:xfrm>
        <a:prstGeom prst="straightConnector1">
          <a:avLst/>
        </a:prstGeom>
        <a:ln w="22225" cmpd="sng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8</xdr:row>
      <xdr:rowOff>180975</xdr:rowOff>
    </xdr:from>
    <xdr:to>
      <xdr:col>3</xdr:col>
      <xdr:colOff>495300</xdr:colOff>
      <xdr:row>9</xdr:row>
      <xdr:rowOff>161925</xdr:rowOff>
    </xdr:to>
    <xdr:cxnSp macro="">
      <xdr:nvCxnSpPr>
        <xdr:cNvPr id="14" name="Connecteur droit avec flèche 13"/>
        <xdr:cNvCxnSpPr/>
      </xdr:nvCxnSpPr>
      <xdr:spPr>
        <a:xfrm>
          <a:off x="1828800" y="1657350"/>
          <a:ext cx="1123950" cy="171450"/>
        </a:xfrm>
        <a:prstGeom prst="straightConnector1">
          <a:avLst/>
        </a:prstGeom>
        <a:ln w="22225" cmpd="sng"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16</xdr:row>
      <xdr:rowOff>142875</xdr:rowOff>
    </xdr:from>
    <xdr:to>
      <xdr:col>3</xdr:col>
      <xdr:colOff>762000</xdr:colOff>
      <xdr:row>16</xdr:row>
      <xdr:rowOff>152400</xdr:rowOff>
    </xdr:to>
    <xdr:cxnSp macro="">
      <xdr:nvCxnSpPr>
        <xdr:cNvPr id="16" name="Connecteur droit avec flèche 15"/>
        <xdr:cNvCxnSpPr/>
      </xdr:nvCxnSpPr>
      <xdr:spPr>
        <a:xfrm flipV="1">
          <a:off x="2190750" y="3143250"/>
          <a:ext cx="1028700" cy="9525"/>
        </a:xfrm>
        <a:prstGeom prst="straightConnector1">
          <a:avLst/>
        </a:prstGeom>
        <a:ln w="19050"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26</xdr:row>
      <xdr:rowOff>180975</xdr:rowOff>
    </xdr:from>
    <xdr:to>
      <xdr:col>8</xdr:col>
      <xdr:colOff>581025</xdr:colOff>
      <xdr:row>30</xdr:row>
      <xdr:rowOff>76200</xdr:rowOff>
    </xdr:to>
    <xdr:cxnSp macro="">
      <xdr:nvCxnSpPr>
        <xdr:cNvPr id="18" name="Connecteur droit avec flèche 17"/>
        <xdr:cNvCxnSpPr/>
      </xdr:nvCxnSpPr>
      <xdr:spPr>
        <a:xfrm>
          <a:off x="2133600" y="5086350"/>
          <a:ext cx="5000625" cy="657225"/>
        </a:xfrm>
        <a:prstGeom prst="straightConnector1">
          <a:avLst/>
        </a:prstGeom>
        <a:ln w="22225" cmpd="sng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27</xdr:row>
      <xdr:rowOff>171451</xdr:rowOff>
    </xdr:from>
    <xdr:to>
      <xdr:col>9</xdr:col>
      <xdr:colOff>666750</xdr:colOff>
      <xdr:row>30</xdr:row>
      <xdr:rowOff>9525</xdr:rowOff>
    </xdr:to>
    <xdr:cxnSp macro="">
      <xdr:nvCxnSpPr>
        <xdr:cNvPr id="22" name="Connecteur droit avec flèche 21"/>
        <xdr:cNvCxnSpPr/>
      </xdr:nvCxnSpPr>
      <xdr:spPr>
        <a:xfrm>
          <a:off x="495300" y="5267326"/>
          <a:ext cx="7543800" cy="409574"/>
        </a:xfrm>
        <a:prstGeom prst="straightConnector1">
          <a:avLst/>
        </a:prstGeom>
        <a:ln w="22225" cmpd="sng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122464</xdr:colOff>
      <xdr:row>0</xdr:row>
      <xdr:rowOff>142876</xdr:rowOff>
    </xdr:from>
    <xdr:to>
      <xdr:col>3</xdr:col>
      <xdr:colOff>1859643</xdr:colOff>
      <xdr:row>6</xdr:row>
      <xdr:rowOff>68036</xdr:rowOff>
    </xdr:to>
    <xdr:sp macro="[0]!ouvreFormulaire" textlink="">
      <xdr:nvSpPr>
        <xdr:cNvPr id="2" name="Rectangle à coins arrondis 1"/>
        <xdr:cNvSpPr/>
      </xdr:nvSpPr>
      <xdr:spPr>
        <a:xfrm>
          <a:off x="3170464" y="142876"/>
          <a:ext cx="4009572" cy="106816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SAISIR</a:t>
          </a:r>
          <a:r>
            <a:rPr lang="fr-FR" sz="2000" b="1" baseline="0">
              <a:solidFill>
                <a:sysClr val="windowText" lastClr="000000"/>
              </a:solidFill>
            </a:rPr>
            <a:t> UN EVENEMENT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8:M59" totalsRowShown="0" headerRowDxfId="0">
  <autoFilter ref="A8:M59"/>
  <tableColumns count="13">
    <tableColumn id="1" name="Etablissement"/>
    <tableColumn id="2" name="Personne déclarante"/>
    <tableColumn id="3" name="Personnes concernées"/>
    <tableColumn id="4" name="Date de l'événement"/>
    <tableColumn id="5" name="Heure"/>
    <tableColumn id="6" name="Lieu "/>
    <tableColumn id="7" name="Date de signalement"/>
    <tableColumn id="8" name="Nature des faits"/>
    <tableColumn id="9" name="Précisions"/>
    <tableColumn id="10" name="Description des faits "/>
    <tableColumn id="11" name="Mesures immédiates prises"/>
    <tableColumn id="12" name="Analyse des causes et actions correctives mises en place"/>
    <tableColumn id="13" name="Qualification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F1" sqref="B1:F1"/>
    </sheetView>
  </sheetViews>
  <sheetFormatPr baseColWidth="10" defaultRowHeight="15" x14ac:dyDescent="0.25"/>
  <cols>
    <col min="2" max="2" width="29.28515625" bestFit="1" customWidth="1"/>
    <col min="3" max="3" width="22.5703125" bestFit="1" customWidth="1"/>
    <col min="4" max="4" width="31.5703125" customWidth="1"/>
    <col min="5" max="5" width="21" customWidth="1"/>
    <col min="11" max="11" width="12.42578125" bestFit="1" customWidth="1"/>
  </cols>
  <sheetData>
    <row r="1" spans="1:11" x14ac:dyDescent="0.25">
      <c r="A1" t="s">
        <v>0</v>
      </c>
      <c r="B1" t="s">
        <v>17</v>
      </c>
      <c r="C1" t="s">
        <v>23</v>
      </c>
      <c r="D1" t="s">
        <v>18</v>
      </c>
      <c r="E1" t="s">
        <v>19</v>
      </c>
      <c r="F1" t="s">
        <v>1</v>
      </c>
      <c r="H1" t="s">
        <v>44</v>
      </c>
      <c r="K1" t="s">
        <v>54</v>
      </c>
    </row>
    <row r="2" spans="1:11" x14ac:dyDescent="0.25">
      <c r="H2" t="s">
        <v>25</v>
      </c>
      <c r="K2" s="34" t="s">
        <v>55</v>
      </c>
    </row>
    <row r="3" spans="1:11" x14ac:dyDescent="0.25">
      <c r="B3" t="s">
        <v>2</v>
      </c>
      <c r="C3" t="s">
        <v>7</v>
      </c>
      <c r="D3" t="s">
        <v>10</v>
      </c>
      <c r="E3" t="s">
        <v>14</v>
      </c>
      <c r="H3" t="s">
        <v>26</v>
      </c>
      <c r="K3" s="34" t="s">
        <v>56</v>
      </c>
    </row>
    <row r="4" spans="1:11" x14ac:dyDescent="0.25">
      <c r="B4" t="s">
        <v>3</v>
      </c>
      <c r="C4" t="s">
        <v>8</v>
      </c>
      <c r="D4" t="s">
        <v>11</v>
      </c>
      <c r="E4" t="s">
        <v>15</v>
      </c>
      <c r="H4" t="s">
        <v>27</v>
      </c>
    </row>
    <row r="5" spans="1:11" x14ac:dyDescent="0.25">
      <c r="B5" t="s">
        <v>4</v>
      </c>
      <c r="C5" t="s">
        <v>9</v>
      </c>
      <c r="D5" t="s">
        <v>12</v>
      </c>
      <c r="E5" t="s">
        <v>16</v>
      </c>
      <c r="H5" t="s">
        <v>43</v>
      </c>
    </row>
    <row r="6" spans="1:11" x14ac:dyDescent="0.25">
      <c r="B6" t="s">
        <v>40</v>
      </c>
      <c r="D6" t="s">
        <v>13</v>
      </c>
      <c r="E6" t="s">
        <v>1</v>
      </c>
      <c r="H6" t="s">
        <v>28</v>
      </c>
    </row>
    <row r="7" spans="1:11" x14ac:dyDescent="0.25">
      <c r="B7" t="s">
        <v>5</v>
      </c>
      <c r="D7" t="s">
        <v>1</v>
      </c>
      <c r="H7" t="s">
        <v>29</v>
      </c>
    </row>
    <row r="8" spans="1:11" x14ac:dyDescent="0.25">
      <c r="B8" t="s">
        <v>6</v>
      </c>
      <c r="H8" t="s">
        <v>51</v>
      </c>
    </row>
    <row r="9" spans="1:11" x14ac:dyDescent="0.25">
      <c r="B9" t="s">
        <v>1</v>
      </c>
      <c r="H9" t="s">
        <v>30</v>
      </c>
    </row>
    <row r="10" spans="1:11" x14ac:dyDescent="0.25">
      <c r="H10" t="s">
        <v>31</v>
      </c>
    </row>
    <row r="11" spans="1:11" x14ac:dyDescent="0.25">
      <c r="H11" t="s">
        <v>32</v>
      </c>
    </row>
    <row r="12" spans="1:11" x14ac:dyDescent="0.25">
      <c r="H12" t="s">
        <v>50</v>
      </c>
    </row>
    <row r="13" spans="1:11" x14ac:dyDescent="0.25">
      <c r="H13" t="s">
        <v>33</v>
      </c>
    </row>
    <row r="14" spans="1:11" x14ac:dyDescent="0.25">
      <c r="H14" t="s">
        <v>34</v>
      </c>
    </row>
    <row r="15" spans="1:11" x14ac:dyDescent="0.25">
      <c r="B15" t="s">
        <v>52</v>
      </c>
      <c r="H15" t="s">
        <v>35</v>
      </c>
    </row>
    <row r="16" spans="1:11" x14ac:dyDescent="0.25">
      <c r="B16" s="32" t="s">
        <v>17</v>
      </c>
      <c r="H16" t="s">
        <v>36</v>
      </c>
    </row>
    <row r="17" spans="2:2" x14ac:dyDescent="0.25">
      <c r="B17" s="32" t="s">
        <v>23</v>
      </c>
    </row>
    <row r="18" spans="2:2" x14ac:dyDescent="0.25">
      <c r="B18" s="32" t="s">
        <v>18</v>
      </c>
    </row>
    <row r="19" spans="2:2" x14ac:dyDescent="0.25">
      <c r="B19" s="32" t="s">
        <v>19</v>
      </c>
    </row>
    <row r="20" spans="2:2" x14ac:dyDescent="0.25">
      <c r="B20" s="3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BA7B3"/>
  </sheetPr>
  <dimension ref="A1:K263"/>
  <sheetViews>
    <sheetView view="pageLayout" topLeftCell="A92" zoomScaleNormal="100" workbookViewId="0">
      <selection activeCell="L4" sqref="L4"/>
    </sheetView>
  </sheetViews>
  <sheetFormatPr baseColWidth="10" defaultRowHeight="15" x14ac:dyDescent="0.25"/>
  <sheetData>
    <row r="1" spans="1:11" ht="20.25" customHeight="1" thickBot="1" x14ac:dyDescent="0.3">
      <c r="A1" s="50" t="s">
        <v>68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7.25" customHeight="1" thickBot="1" x14ac:dyDescent="0.3">
      <c r="A2" s="45" t="s">
        <v>66</v>
      </c>
      <c r="B2" s="46"/>
      <c r="C2" s="46"/>
      <c r="D2" s="46"/>
      <c r="E2" s="46"/>
      <c r="F2" s="46"/>
      <c r="G2" s="46"/>
      <c r="H2" s="46"/>
      <c r="I2" s="46"/>
      <c r="J2" s="46"/>
      <c r="K2" s="47"/>
    </row>
    <row r="3" spans="1:11" x14ac:dyDescent="0.25">
      <c r="A3" s="42"/>
      <c r="B3" s="36"/>
      <c r="C3" s="36"/>
      <c r="D3" s="36"/>
      <c r="E3" s="36"/>
      <c r="F3" s="36"/>
      <c r="G3" s="36"/>
      <c r="H3" s="36"/>
      <c r="I3" s="36"/>
      <c r="J3" s="36"/>
      <c r="K3" s="43"/>
    </row>
    <row r="4" spans="1:11" x14ac:dyDescent="0.25">
      <c r="A4" s="37" t="s">
        <v>62</v>
      </c>
      <c r="B4" s="25"/>
      <c r="C4" s="25"/>
      <c r="D4" s="25"/>
      <c r="E4" s="25"/>
      <c r="F4" s="25"/>
      <c r="G4" s="25"/>
      <c r="H4" s="25"/>
      <c r="I4" s="25"/>
      <c r="J4" s="25"/>
      <c r="K4" s="38"/>
    </row>
    <row r="5" spans="1:11" x14ac:dyDescent="0.25">
      <c r="A5" s="37"/>
      <c r="B5" s="25"/>
      <c r="C5" s="25"/>
      <c r="D5" s="25"/>
      <c r="E5" s="25"/>
      <c r="F5" s="25"/>
      <c r="G5" s="25"/>
      <c r="H5" s="25"/>
      <c r="I5" s="25"/>
      <c r="J5" s="25"/>
      <c r="K5" s="38"/>
    </row>
    <row r="6" spans="1:11" x14ac:dyDescent="0.25">
      <c r="A6" s="37"/>
      <c r="B6" s="25"/>
      <c r="C6" s="25"/>
      <c r="D6" s="25"/>
      <c r="E6" s="25"/>
      <c r="F6" s="25"/>
      <c r="G6" s="25"/>
      <c r="H6" s="25"/>
      <c r="I6" s="25"/>
      <c r="J6" s="25"/>
      <c r="K6" s="38"/>
    </row>
    <row r="7" spans="1:11" x14ac:dyDescent="0.25">
      <c r="A7" s="37"/>
      <c r="B7" s="25"/>
      <c r="C7" s="25"/>
      <c r="D7" s="25"/>
      <c r="E7" s="25"/>
      <c r="F7" s="25"/>
      <c r="G7" s="25"/>
      <c r="H7" s="25"/>
      <c r="I7" s="25"/>
      <c r="J7" s="25"/>
      <c r="K7" s="38"/>
    </row>
    <row r="8" spans="1:11" x14ac:dyDescent="0.25">
      <c r="A8" s="37"/>
      <c r="B8" s="25"/>
      <c r="C8" s="25"/>
      <c r="D8" s="25"/>
      <c r="E8" s="25"/>
      <c r="F8" s="25"/>
      <c r="G8" s="25"/>
      <c r="H8" s="25"/>
      <c r="I8" s="25"/>
      <c r="J8" s="25"/>
      <c r="K8" s="38"/>
    </row>
    <row r="9" spans="1:11" x14ac:dyDescent="0.25">
      <c r="A9" s="37" t="s">
        <v>63</v>
      </c>
      <c r="B9" s="25"/>
      <c r="C9" s="25"/>
      <c r="D9" s="25"/>
      <c r="E9" s="25"/>
      <c r="F9" s="25"/>
      <c r="G9" s="25"/>
      <c r="H9" s="25"/>
      <c r="I9" s="25"/>
      <c r="J9" s="25"/>
      <c r="K9" s="38"/>
    </row>
    <row r="10" spans="1:11" x14ac:dyDescent="0.25">
      <c r="A10" s="37"/>
      <c r="B10" s="25"/>
      <c r="C10" s="25"/>
      <c r="D10" s="25"/>
      <c r="E10" s="25"/>
      <c r="F10" s="25"/>
      <c r="G10" s="25"/>
      <c r="H10" s="25"/>
      <c r="I10" s="25"/>
      <c r="J10" s="25"/>
      <c r="K10" s="38"/>
    </row>
    <row r="11" spans="1:11" x14ac:dyDescent="0.25">
      <c r="A11" s="37"/>
      <c r="B11" s="25"/>
      <c r="C11" s="25"/>
      <c r="D11" s="25"/>
      <c r="E11" s="25"/>
      <c r="F11" s="25"/>
      <c r="G11" s="25"/>
      <c r="H11" s="25"/>
      <c r="I11" s="25"/>
      <c r="J11" s="25"/>
      <c r="K11" s="38"/>
    </row>
    <row r="12" spans="1:11" x14ac:dyDescent="0.25">
      <c r="A12" s="37"/>
      <c r="B12" s="25"/>
      <c r="C12" s="25"/>
      <c r="D12" s="25"/>
      <c r="E12" s="25"/>
      <c r="F12" s="25"/>
      <c r="G12" s="25"/>
      <c r="H12" s="25"/>
      <c r="I12" s="25"/>
      <c r="J12" s="25"/>
      <c r="K12" s="38"/>
    </row>
    <row r="13" spans="1:11" x14ac:dyDescent="0.25">
      <c r="A13" s="37"/>
      <c r="B13" s="25"/>
      <c r="C13" s="25"/>
      <c r="D13" s="25"/>
      <c r="E13" s="25"/>
      <c r="F13" s="25"/>
      <c r="G13" s="25"/>
      <c r="H13" s="25"/>
      <c r="I13" s="25"/>
      <c r="J13" s="25"/>
      <c r="K13" s="38"/>
    </row>
    <row r="14" spans="1:11" x14ac:dyDescent="0.25">
      <c r="A14" s="37"/>
      <c r="B14" s="25"/>
      <c r="C14" s="25"/>
      <c r="D14" s="25"/>
      <c r="E14" s="25"/>
      <c r="F14" s="25"/>
      <c r="G14" s="25"/>
      <c r="H14" s="25"/>
      <c r="I14" s="25"/>
      <c r="J14" s="25"/>
      <c r="K14" s="38"/>
    </row>
    <row r="15" spans="1:11" x14ac:dyDescent="0.25">
      <c r="A15" s="37"/>
      <c r="B15" s="25"/>
      <c r="C15" s="25"/>
      <c r="D15" s="25"/>
      <c r="E15" s="25"/>
      <c r="F15" s="25"/>
      <c r="G15" s="25"/>
      <c r="H15" s="25"/>
      <c r="I15" s="25"/>
      <c r="J15" s="25"/>
      <c r="K15" s="38"/>
    </row>
    <row r="16" spans="1:11" x14ac:dyDescent="0.25">
      <c r="A16" s="37"/>
      <c r="B16" s="25"/>
      <c r="C16" s="25"/>
      <c r="D16" s="25"/>
      <c r="E16" s="25"/>
      <c r="F16" s="25"/>
      <c r="G16" s="25"/>
      <c r="H16" s="25"/>
      <c r="I16" s="25"/>
      <c r="J16" s="25"/>
      <c r="K16" s="38"/>
    </row>
    <row r="17" spans="1:11" x14ac:dyDescent="0.25">
      <c r="A17" s="37" t="s">
        <v>64</v>
      </c>
      <c r="B17" s="25"/>
      <c r="C17" s="25"/>
      <c r="D17" s="25"/>
      <c r="E17" s="25"/>
      <c r="F17" s="25"/>
      <c r="G17" s="25"/>
      <c r="H17" s="25"/>
      <c r="I17" s="25"/>
      <c r="J17" s="25"/>
      <c r="K17" s="38"/>
    </row>
    <row r="18" spans="1:11" x14ac:dyDescent="0.25">
      <c r="A18" s="37"/>
      <c r="B18" s="25"/>
      <c r="C18" s="25"/>
      <c r="D18" s="25"/>
      <c r="E18" s="25"/>
      <c r="F18" s="25"/>
      <c r="G18" s="25"/>
      <c r="H18" s="25"/>
      <c r="I18" s="25"/>
      <c r="J18" s="25"/>
      <c r="K18" s="38"/>
    </row>
    <row r="19" spans="1:11" x14ac:dyDescent="0.25">
      <c r="A19" s="37"/>
      <c r="B19" s="25"/>
      <c r="C19" s="25"/>
      <c r="D19" s="25"/>
      <c r="E19" s="25"/>
      <c r="F19" s="25"/>
      <c r="G19" s="25"/>
      <c r="H19" s="25"/>
      <c r="I19" s="25"/>
      <c r="J19" s="25"/>
      <c r="K19" s="38"/>
    </row>
    <row r="20" spans="1:11" x14ac:dyDescent="0.25">
      <c r="A20" s="37"/>
      <c r="B20" s="25"/>
      <c r="C20" s="25"/>
      <c r="D20" s="25"/>
      <c r="E20" s="25"/>
      <c r="F20" s="25"/>
      <c r="G20" s="25"/>
      <c r="H20" s="25"/>
      <c r="I20" s="25"/>
      <c r="J20" s="25"/>
      <c r="K20" s="38"/>
    </row>
    <row r="21" spans="1:11" x14ac:dyDescent="0.25">
      <c r="A21" s="37"/>
      <c r="B21" s="25"/>
      <c r="C21" s="25"/>
      <c r="D21" s="25"/>
      <c r="E21" s="25"/>
      <c r="F21" s="25"/>
      <c r="G21" s="25"/>
      <c r="H21" s="25"/>
      <c r="I21" s="25"/>
      <c r="J21" s="25"/>
      <c r="K21" s="38"/>
    </row>
    <row r="22" spans="1:11" x14ac:dyDescent="0.25">
      <c r="A22" s="37"/>
      <c r="B22" s="25"/>
      <c r="C22" s="25"/>
      <c r="D22" s="25"/>
      <c r="E22" s="25"/>
      <c r="F22" s="25"/>
      <c r="G22" s="25"/>
      <c r="H22" s="25"/>
      <c r="I22" s="25"/>
      <c r="J22" s="25"/>
      <c r="K22" s="38"/>
    </row>
    <row r="23" spans="1:11" x14ac:dyDescent="0.25">
      <c r="A23" s="37"/>
      <c r="B23" s="25"/>
      <c r="C23" s="25"/>
      <c r="D23" s="25"/>
      <c r="E23" s="25"/>
      <c r="F23" s="25"/>
      <c r="G23" s="25"/>
      <c r="H23" s="25"/>
      <c r="I23" s="25"/>
      <c r="J23" s="25"/>
      <c r="K23" s="38"/>
    </row>
    <row r="24" spans="1:11" x14ac:dyDescent="0.25">
      <c r="A24" s="37"/>
      <c r="B24" s="25"/>
      <c r="C24" s="25"/>
      <c r="D24" s="25"/>
      <c r="E24" s="25"/>
      <c r="F24" s="25"/>
      <c r="G24" s="25"/>
      <c r="H24" s="25"/>
      <c r="I24" s="25"/>
      <c r="J24" s="25"/>
      <c r="K24" s="38"/>
    </row>
    <row r="25" spans="1:11" x14ac:dyDescent="0.25">
      <c r="A25" s="37"/>
      <c r="B25" s="25"/>
      <c r="C25" s="25"/>
      <c r="D25" s="25"/>
      <c r="E25" s="25"/>
      <c r="F25" s="25"/>
      <c r="G25" s="25"/>
      <c r="H25" s="25"/>
      <c r="I25" s="25"/>
      <c r="J25" s="25"/>
      <c r="K25" s="38"/>
    </row>
    <row r="26" spans="1:11" x14ac:dyDescent="0.25">
      <c r="A26" s="48" t="s">
        <v>65</v>
      </c>
      <c r="B26" s="49"/>
      <c r="C26" s="49"/>
      <c r="D26" s="49"/>
      <c r="E26" s="25"/>
      <c r="F26" s="25"/>
      <c r="G26" s="25"/>
      <c r="H26" s="25"/>
      <c r="I26" s="25"/>
      <c r="J26" s="25"/>
      <c r="K26" s="38"/>
    </row>
    <row r="27" spans="1:11" x14ac:dyDescent="0.25">
      <c r="A27" s="48"/>
      <c r="B27" s="49"/>
      <c r="C27" s="49"/>
      <c r="D27" s="49"/>
      <c r="E27" s="25"/>
      <c r="F27" s="25"/>
      <c r="G27" s="25"/>
      <c r="H27" s="25"/>
      <c r="I27" s="25"/>
      <c r="J27" s="25"/>
      <c r="K27" s="38"/>
    </row>
    <row r="28" spans="1:11" x14ac:dyDescent="0.25">
      <c r="A28" s="48"/>
      <c r="B28" s="49"/>
      <c r="C28" s="49"/>
      <c r="D28" s="49"/>
      <c r="E28" s="25"/>
      <c r="F28" s="25"/>
      <c r="G28" s="25"/>
      <c r="H28" s="25"/>
      <c r="I28" s="25"/>
      <c r="J28" s="25"/>
      <c r="K28" s="38"/>
    </row>
    <row r="29" spans="1:11" x14ac:dyDescent="0.25">
      <c r="A29" s="37"/>
      <c r="B29" s="25"/>
      <c r="C29" s="25"/>
      <c r="D29" s="25"/>
      <c r="E29" s="25"/>
      <c r="F29" s="25"/>
      <c r="G29" s="25"/>
      <c r="H29" s="25"/>
      <c r="I29" s="25"/>
      <c r="J29" s="25"/>
      <c r="K29" s="38"/>
    </row>
    <row r="30" spans="1:11" x14ac:dyDescent="0.25">
      <c r="A30" s="37"/>
      <c r="B30" s="25"/>
      <c r="C30" s="25"/>
      <c r="D30" s="25"/>
      <c r="E30" s="25"/>
      <c r="F30" s="25"/>
      <c r="G30" s="25"/>
      <c r="H30" s="25"/>
      <c r="I30" s="25"/>
      <c r="J30" s="25"/>
      <c r="K30" s="38"/>
    </row>
    <row r="31" spans="1:11" x14ac:dyDescent="0.25">
      <c r="A31" s="37"/>
      <c r="B31" s="25"/>
      <c r="C31" s="25"/>
      <c r="D31" s="25"/>
      <c r="E31" s="25"/>
      <c r="F31" s="25"/>
      <c r="G31" s="25"/>
      <c r="H31" s="25"/>
      <c r="I31" s="25"/>
      <c r="J31" s="25"/>
      <c r="K31" s="38"/>
    </row>
    <row r="32" spans="1:11" x14ac:dyDescent="0.25">
      <c r="A32" s="44"/>
      <c r="B32" s="25"/>
      <c r="C32" s="25"/>
      <c r="D32" s="25"/>
      <c r="E32" s="25"/>
      <c r="F32" s="25"/>
      <c r="G32" s="25"/>
      <c r="H32" s="25"/>
      <c r="I32" s="25"/>
      <c r="J32" s="25"/>
      <c r="K32" s="38"/>
    </row>
    <row r="33" spans="1:11" ht="6" customHeight="1" thickBot="1" x14ac:dyDescent="0.3">
      <c r="A33" s="39"/>
      <c r="B33" s="40"/>
      <c r="C33" s="40"/>
      <c r="D33" s="40"/>
      <c r="E33" s="40"/>
      <c r="F33" s="40"/>
      <c r="G33" s="40"/>
      <c r="H33" s="40"/>
      <c r="I33" s="40"/>
      <c r="J33" s="40"/>
      <c r="K33" s="41"/>
    </row>
    <row r="34" spans="1:11" ht="24" customHeight="1" x14ac:dyDescent="0.25">
      <c r="A34" s="45" t="s">
        <v>67</v>
      </c>
      <c r="B34" s="46"/>
      <c r="C34" s="46"/>
      <c r="D34" s="46"/>
      <c r="E34" s="46"/>
      <c r="F34" s="46"/>
      <c r="G34" s="46"/>
      <c r="H34" s="46"/>
      <c r="I34" s="46"/>
      <c r="J34" s="46"/>
      <c r="K34" s="47"/>
    </row>
    <row r="35" spans="1:11" x14ac:dyDescent="0.25">
      <c r="A35" s="37"/>
      <c r="B35" s="25"/>
      <c r="C35" s="25"/>
      <c r="D35" s="25"/>
      <c r="E35" s="25"/>
      <c r="F35" s="25"/>
      <c r="G35" s="25"/>
      <c r="H35" s="25"/>
      <c r="I35" s="25"/>
      <c r="J35" s="25"/>
      <c r="K35" s="38"/>
    </row>
    <row r="36" spans="1:11" x14ac:dyDescent="0.25">
      <c r="A36" s="37"/>
      <c r="B36" s="25"/>
      <c r="C36" s="25"/>
      <c r="D36" s="25"/>
      <c r="E36" s="25"/>
      <c r="F36" s="25"/>
      <c r="G36" s="25"/>
      <c r="H36" s="25"/>
      <c r="I36" s="25"/>
      <c r="J36" s="25"/>
      <c r="K36" s="38"/>
    </row>
    <row r="37" spans="1:11" x14ac:dyDescent="0.25">
      <c r="A37" s="37"/>
      <c r="B37" s="25"/>
      <c r="C37" s="25"/>
      <c r="D37" s="25"/>
      <c r="E37" s="25"/>
      <c r="F37" s="25"/>
      <c r="G37" s="25"/>
      <c r="H37" s="25"/>
      <c r="I37" s="25"/>
      <c r="J37" s="25"/>
      <c r="K37" s="38"/>
    </row>
    <row r="38" spans="1:11" x14ac:dyDescent="0.25">
      <c r="A38" s="37"/>
      <c r="B38" s="25"/>
      <c r="C38" s="25"/>
      <c r="D38" s="25"/>
      <c r="E38" s="25"/>
      <c r="F38" s="25"/>
      <c r="G38" s="25"/>
      <c r="H38" s="25"/>
      <c r="I38" s="25"/>
      <c r="J38" s="25"/>
      <c r="K38" s="38"/>
    </row>
    <row r="39" spans="1:11" x14ac:dyDescent="0.25">
      <c r="A39" s="37"/>
      <c r="B39" s="25"/>
      <c r="C39" s="25"/>
      <c r="D39" s="25"/>
      <c r="E39" s="25"/>
      <c r="F39" s="25"/>
      <c r="G39" s="25"/>
      <c r="H39" s="25"/>
      <c r="I39" s="25"/>
      <c r="J39" s="25"/>
      <c r="K39" s="38"/>
    </row>
    <row r="40" spans="1:11" x14ac:dyDescent="0.25">
      <c r="A40" s="37"/>
      <c r="B40" s="25"/>
      <c r="C40" s="25"/>
      <c r="D40" s="25"/>
      <c r="E40" s="25"/>
      <c r="F40" s="25"/>
      <c r="G40" s="25"/>
      <c r="H40" s="25"/>
      <c r="I40" s="25"/>
      <c r="J40" s="25"/>
      <c r="K40" s="38"/>
    </row>
    <row r="41" spans="1:11" x14ac:dyDescent="0.25">
      <c r="A41" s="37"/>
      <c r="B41" s="25"/>
      <c r="C41" s="25"/>
      <c r="D41" s="25"/>
      <c r="E41" s="25"/>
      <c r="F41" s="25"/>
      <c r="G41" s="25"/>
      <c r="H41" s="25"/>
      <c r="I41" s="25"/>
      <c r="J41" s="25"/>
      <c r="K41" s="38"/>
    </row>
    <row r="42" spans="1:11" x14ac:dyDescent="0.25">
      <c r="A42" s="37"/>
      <c r="B42" s="25"/>
      <c r="C42" s="25"/>
      <c r="D42" s="25"/>
      <c r="E42" s="25"/>
      <c r="F42" s="25"/>
      <c r="G42" s="25"/>
      <c r="H42" s="25"/>
      <c r="I42" s="25"/>
      <c r="J42" s="25"/>
      <c r="K42" s="38"/>
    </row>
    <row r="43" spans="1:11" x14ac:dyDescent="0.25">
      <c r="A43" s="37"/>
      <c r="B43" s="25"/>
      <c r="C43" s="25"/>
      <c r="D43" s="25"/>
      <c r="E43" s="25"/>
      <c r="F43" s="25"/>
      <c r="G43" s="25"/>
      <c r="H43" s="25"/>
      <c r="I43" s="25"/>
      <c r="J43" s="25"/>
      <c r="K43" s="38"/>
    </row>
    <row r="44" spans="1:11" x14ac:dyDescent="0.25">
      <c r="A44" s="37"/>
      <c r="B44" s="25"/>
      <c r="C44" s="25"/>
      <c r="D44" s="25"/>
      <c r="E44" s="25"/>
      <c r="F44" s="25"/>
      <c r="G44" s="25"/>
      <c r="H44" s="25"/>
      <c r="I44" s="25"/>
      <c r="J44" s="25"/>
      <c r="K44" s="38"/>
    </row>
    <row r="45" spans="1:11" x14ac:dyDescent="0.25">
      <c r="A45" s="37"/>
      <c r="B45" s="25"/>
      <c r="C45" s="25"/>
      <c r="D45" s="25"/>
      <c r="E45" s="25"/>
      <c r="F45" s="25"/>
      <c r="G45" s="25"/>
      <c r="H45" s="25"/>
      <c r="I45" s="25"/>
      <c r="J45" s="25"/>
      <c r="K45" s="38"/>
    </row>
    <row r="46" spans="1:11" x14ac:dyDescent="0.25">
      <c r="A46" s="37"/>
      <c r="B46" s="25"/>
      <c r="C46" s="25"/>
      <c r="D46" s="25"/>
      <c r="E46" s="25"/>
      <c r="F46" s="25"/>
      <c r="G46" s="25"/>
      <c r="H46" s="25"/>
      <c r="I46" s="25"/>
      <c r="J46" s="25"/>
      <c r="K46" s="38"/>
    </row>
    <row r="47" spans="1:11" x14ac:dyDescent="0.25">
      <c r="A47" s="37"/>
      <c r="B47" s="25"/>
      <c r="C47" s="25"/>
      <c r="D47" s="25"/>
      <c r="E47" s="25"/>
      <c r="F47" s="25"/>
      <c r="G47" s="25"/>
      <c r="H47" s="25"/>
      <c r="I47" s="25"/>
      <c r="J47" s="25"/>
      <c r="K47" s="38"/>
    </row>
    <row r="48" spans="1:11" x14ac:dyDescent="0.25">
      <c r="A48" s="37"/>
      <c r="B48" s="25"/>
      <c r="C48" s="25"/>
      <c r="D48" s="25"/>
      <c r="E48" s="25"/>
      <c r="F48" s="25"/>
      <c r="G48" s="25"/>
      <c r="H48" s="25"/>
      <c r="I48" s="25"/>
      <c r="J48" s="25"/>
      <c r="K48" s="38"/>
    </row>
    <row r="49" spans="1:11" x14ac:dyDescent="0.25">
      <c r="A49" s="37"/>
      <c r="B49" s="25"/>
      <c r="C49" s="25"/>
      <c r="D49" s="25"/>
      <c r="E49" s="25"/>
      <c r="F49" s="25"/>
      <c r="G49" s="25"/>
      <c r="H49" s="25"/>
      <c r="I49" s="25"/>
      <c r="J49" s="25"/>
      <c r="K49" s="38"/>
    </row>
    <row r="50" spans="1:11" x14ac:dyDescent="0.25">
      <c r="A50" s="37"/>
      <c r="B50" s="25"/>
      <c r="C50" s="25"/>
      <c r="D50" s="25"/>
      <c r="E50" s="25"/>
      <c r="F50" s="25"/>
      <c r="G50" s="25"/>
      <c r="H50" s="25"/>
      <c r="I50" s="25"/>
      <c r="J50" s="25"/>
      <c r="K50" s="38"/>
    </row>
    <row r="51" spans="1:11" x14ac:dyDescent="0.25">
      <c r="A51" s="37"/>
      <c r="B51" s="25"/>
      <c r="C51" s="25"/>
      <c r="D51" s="25"/>
      <c r="E51" s="25"/>
      <c r="F51" s="25"/>
      <c r="G51" s="25"/>
      <c r="H51" s="25"/>
      <c r="I51" s="25"/>
      <c r="J51" s="25"/>
      <c r="K51" s="38"/>
    </row>
    <row r="52" spans="1:11" x14ac:dyDescent="0.25">
      <c r="A52" s="37"/>
      <c r="B52" s="25"/>
      <c r="C52" s="25"/>
      <c r="D52" s="25"/>
      <c r="E52" s="25"/>
      <c r="F52" s="25"/>
      <c r="G52" s="25"/>
      <c r="H52" s="25"/>
      <c r="I52" s="25"/>
      <c r="J52" s="25"/>
      <c r="K52" s="38"/>
    </row>
    <row r="53" spans="1:11" x14ac:dyDescent="0.25">
      <c r="A53" s="37"/>
      <c r="B53" s="25"/>
      <c r="C53" s="25"/>
      <c r="D53" s="25"/>
      <c r="E53" s="25"/>
      <c r="F53" s="25"/>
      <c r="G53" s="25"/>
      <c r="H53" s="25"/>
      <c r="I53" s="25"/>
      <c r="J53" s="25"/>
      <c r="K53" s="38"/>
    </row>
    <row r="54" spans="1:11" x14ac:dyDescent="0.25">
      <c r="A54" s="37"/>
      <c r="B54" s="25"/>
      <c r="C54" s="25"/>
      <c r="D54" s="25"/>
      <c r="E54" s="25"/>
      <c r="F54" s="25"/>
      <c r="G54" s="25"/>
      <c r="H54" s="25"/>
      <c r="I54" s="25"/>
      <c r="J54" s="25"/>
      <c r="K54" s="38"/>
    </row>
    <row r="55" spans="1:11" x14ac:dyDescent="0.25">
      <c r="A55" s="37"/>
      <c r="B55" s="25"/>
      <c r="C55" s="25"/>
      <c r="D55" s="25"/>
      <c r="E55" s="25"/>
      <c r="F55" s="25"/>
      <c r="G55" s="25"/>
      <c r="H55" s="25"/>
      <c r="I55" s="25"/>
      <c r="J55" s="25"/>
      <c r="K55" s="38"/>
    </row>
    <row r="56" spans="1:11" x14ac:dyDescent="0.25">
      <c r="A56" s="37"/>
      <c r="B56" s="25"/>
      <c r="C56" s="25"/>
      <c r="D56" s="25"/>
      <c r="E56" s="25"/>
      <c r="F56" s="25"/>
      <c r="G56" s="25"/>
      <c r="H56" s="25"/>
      <c r="I56" s="25"/>
      <c r="J56" s="25"/>
      <c r="K56" s="38"/>
    </row>
    <row r="57" spans="1:11" x14ac:dyDescent="0.25">
      <c r="A57" s="37"/>
      <c r="B57" s="25"/>
      <c r="C57" s="25"/>
      <c r="D57" s="25"/>
      <c r="E57" s="25"/>
      <c r="F57" s="25"/>
      <c r="G57" s="25"/>
      <c r="H57" s="25"/>
      <c r="I57" s="25"/>
      <c r="J57" s="25"/>
      <c r="K57" s="38"/>
    </row>
    <row r="58" spans="1:11" x14ac:dyDescent="0.25">
      <c r="A58" s="37"/>
      <c r="B58" s="25"/>
      <c r="C58" s="25"/>
      <c r="D58" s="25"/>
      <c r="E58" s="25"/>
      <c r="F58" s="25"/>
      <c r="G58" s="25"/>
      <c r="H58" s="25"/>
      <c r="I58" s="25"/>
      <c r="J58" s="25"/>
      <c r="K58" s="38"/>
    </row>
    <row r="59" spans="1:11" x14ac:dyDescent="0.25">
      <c r="A59" s="37"/>
      <c r="B59" s="25"/>
      <c r="C59" s="25"/>
      <c r="D59" s="25"/>
      <c r="E59" s="25"/>
      <c r="F59" s="25"/>
      <c r="G59" s="25"/>
      <c r="H59" s="25"/>
      <c r="I59" s="25"/>
      <c r="J59" s="25"/>
      <c r="K59" s="38"/>
    </row>
    <row r="60" spans="1:11" x14ac:dyDescent="0.25">
      <c r="A60" s="37"/>
      <c r="B60" s="25"/>
      <c r="C60" s="25"/>
      <c r="D60" s="25"/>
      <c r="E60" s="25"/>
      <c r="F60" s="25"/>
      <c r="G60" s="25"/>
      <c r="H60" s="25"/>
      <c r="I60" s="25"/>
      <c r="J60" s="25"/>
      <c r="K60" s="38"/>
    </row>
    <row r="61" spans="1:11" x14ac:dyDescent="0.25">
      <c r="A61" s="37"/>
      <c r="B61" s="25"/>
      <c r="C61" s="25"/>
      <c r="D61" s="25"/>
      <c r="E61" s="25"/>
      <c r="F61" s="25"/>
      <c r="G61" s="25"/>
      <c r="H61" s="25"/>
      <c r="I61" s="25"/>
      <c r="J61" s="25"/>
      <c r="K61" s="38"/>
    </row>
    <row r="62" spans="1:11" x14ac:dyDescent="0.25">
      <c r="A62" s="37"/>
      <c r="B62" s="25"/>
      <c r="C62" s="25"/>
      <c r="D62" s="25"/>
      <c r="E62" s="25"/>
      <c r="F62" s="25"/>
      <c r="G62" s="25"/>
      <c r="H62" s="25"/>
      <c r="I62" s="25"/>
      <c r="J62" s="25"/>
      <c r="K62" s="38"/>
    </row>
    <row r="63" spans="1:11" x14ac:dyDescent="0.25">
      <c r="A63" s="37"/>
      <c r="B63" s="25"/>
      <c r="C63" s="25"/>
      <c r="D63" s="25"/>
      <c r="E63" s="25"/>
      <c r="F63" s="25"/>
      <c r="G63" s="25"/>
      <c r="H63" s="25"/>
      <c r="I63" s="25"/>
      <c r="J63" s="25"/>
      <c r="K63" s="38"/>
    </row>
    <row r="64" spans="1:11" x14ac:dyDescent="0.25">
      <c r="A64" s="37"/>
      <c r="B64" s="25"/>
      <c r="C64" s="25"/>
      <c r="D64" s="25"/>
      <c r="E64" s="25"/>
      <c r="F64" s="25"/>
      <c r="G64" s="25"/>
      <c r="H64" s="25"/>
      <c r="I64" s="25"/>
      <c r="J64" s="25"/>
      <c r="K64" s="38"/>
    </row>
    <row r="65" spans="1:11" ht="15.75" thickBot="1" x14ac:dyDescent="0.3">
      <c r="A65" s="39"/>
      <c r="B65" s="40"/>
      <c r="C65" s="40"/>
      <c r="D65" s="40"/>
      <c r="E65" s="40"/>
      <c r="F65" s="40"/>
      <c r="G65" s="40"/>
      <c r="H65" s="40"/>
      <c r="I65" s="40"/>
      <c r="J65" s="40"/>
      <c r="K65" s="41"/>
    </row>
    <row r="66" spans="1:11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</row>
    <row r="67" spans="1:11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1:11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0" spans="1:11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</row>
    <row r="73" spans="1:11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</row>
    <row r="75" spans="1:11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1:11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1:11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1:11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1:11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1:11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1:11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1:11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1:11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1:11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1:11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1:11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1:11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1:11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1:11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1:11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1:11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1:11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4" spans="1:11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1:11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</row>
    <row r="96" spans="1:11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</row>
    <row r="97" spans="1:11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1:11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1:11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</row>
    <row r="100" spans="1:11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1:11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1:11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1:11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1:11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1:11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1:11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1:11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1:11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1:11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1:11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1:11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1:11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1:11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1:11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1:11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1:11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1:11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1:11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1:11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1:11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1:11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1:11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1:11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1:11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1:11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1:11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1:11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1:11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1:11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1:11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1:11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1:11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1:11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1:11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1:11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1:11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1:11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1:11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1:11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1:11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1:11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1:11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1:11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1:11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1:11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1:11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1:11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1:11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1:11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1:11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1:11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1:11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1:11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1:11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1:11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1:11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1:11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1:11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1:11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1:11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1:11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</row>
    <row r="162" spans="1:11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</row>
    <row r="163" spans="1:11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1:11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</row>
    <row r="165" spans="1:11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</row>
    <row r="166" spans="1:11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1:11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</row>
    <row r="168" spans="1:11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</row>
    <row r="169" spans="1:11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1:11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</row>
    <row r="171" spans="1:11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</row>
    <row r="172" spans="1:11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1:11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</row>
    <row r="174" spans="1:11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</row>
    <row r="175" spans="1:11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1:11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</row>
    <row r="177" spans="1:11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</row>
    <row r="178" spans="1:11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1:11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</row>
    <row r="180" spans="1:11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</row>
    <row r="181" spans="1:11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1:11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</row>
    <row r="183" spans="1:11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</row>
    <row r="184" spans="1:11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1:11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</row>
    <row r="186" spans="1:11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</row>
    <row r="187" spans="1:11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1:11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</row>
    <row r="189" spans="1:11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</row>
    <row r="190" spans="1:11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1:11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1:11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1:11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1:11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</row>
    <row r="195" spans="1:11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</row>
    <row r="196" spans="1:11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1:11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</row>
    <row r="198" spans="1:11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</row>
    <row r="199" spans="1:11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1:11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</row>
    <row r="201" spans="1:11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</row>
    <row r="202" spans="1:11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1:11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</row>
    <row r="204" spans="1:11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</row>
    <row r="205" spans="1:11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1:11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1:11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</row>
    <row r="208" spans="1:11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1:11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</row>
    <row r="210" spans="1:11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</row>
    <row r="211" spans="1:11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1:11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</row>
    <row r="213" spans="1:11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</row>
    <row r="214" spans="1:11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1:11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</row>
    <row r="216" spans="1:11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</row>
    <row r="217" spans="1:11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1:11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</row>
    <row r="219" spans="1:11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</row>
    <row r="220" spans="1:11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1:11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</row>
    <row r="222" spans="1:11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</row>
    <row r="223" spans="1:11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1:11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</row>
    <row r="225" spans="1:11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</row>
    <row r="226" spans="1:11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1:11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</row>
    <row r="228" spans="1:11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</row>
    <row r="229" spans="1:11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1:11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</row>
    <row r="231" spans="1:11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</row>
    <row r="232" spans="1:11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1:11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</row>
    <row r="234" spans="1:11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</row>
    <row r="235" spans="1:11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1:11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</row>
    <row r="237" spans="1:11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</row>
    <row r="238" spans="1:1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1:11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</row>
    <row r="240" spans="1:11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1:11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1:11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1:11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</row>
    <row r="244" spans="1:11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1:11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</row>
    <row r="246" spans="1:11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</row>
    <row r="247" spans="1:11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1:11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</row>
    <row r="249" spans="1:11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1:11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1:11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1:11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1:11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1:11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1:11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1:11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1:11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1:11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1:11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1:11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1:11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1:11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1:11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</row>
  </sheetData>
  <mergeCells count="4">
    <mergeCell ref="A2:K2"/>
    <mergeCell ref="A26:D28"/>
    <mergeCell ref="A34:K34"/>
    <mergeCell ref="A1:K1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M9"/>
  <sheetViews>
    <sheetView tabSelected="1" zoomScale="70" zoomScaleNormal="70" workbookViewId="0">
      <selection activeCell="C12" sqref="C12"/>
    </sheetView>
  </sheetViews>
  <sheetFormatPr baseColWidth="10" defaultRowHeight="15" x14ac:dyDescent="0.25"/>
  <cols>
    <col min="1" max="1" width="22.7109375" bestFit="1" customWidth="1"/>
    <col min="2" max="2" width="23" customWidth="1"/>
    <col min="3" max="3" width="34" bestFit="1" customWidth="1"/>
    <col min="4" max="4" width="30.5703125" bestFit="1" customWidth="1"/>
    <col min="5" max="5" width="11.7109375" bestFit="1" customWidth="1"/>
    <col min="6" max="6" width="10" bestFit="1" customWidth="1"/>
    <col min="7" max="7" width="22.42578125" customWidth="1"/>
    <col min="8" max="8" width="25.42578125" bestFit="1" customWidth="1"/>
    <col min="9" max="9" width="20" customWidth="1"/>
    <col min="10" max="10" width="83" customWidth="1"/>
    <col min="11" max="11" width="39.42578125" bestFit="1" customWidth="1"/>
    <col min="12" max="12" width="75" customWidth="1"/>
    <col min="13" max="13" width="29" bestFit="1" customWidth="1"/>
  </cols>
  <sheetData>
    <row r="1" spans="1:13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x14ac:dyDescent="0.25">
      <c r="A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3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3" ht="68.25" customHeight="1" x14ac:dyDescent="0.25">
      <c r="A8" s="35" t="s">
        <v>53</v>
      </c>
      <c r="B8" s="35" t="s">
        <v>58</v>
      </c>
      <c r="C8" s="35" t="s">
        <v>20</v>
      </c>
      <c r="D8" s="35" t="s">
        <v>57</v>
      </c>
      <c r="E8" s="35" t="s">
        <v>59</v>
      </c>
      <c r="F8" s="35" t="s">
        <v>60</v>
      </c>
      <c r="G8" s="35" t="s">
        <v>37</v>
      </c>
      <c r="H8" s="35" t="s">
        <v>21</v>
      </c>
      <c r="I8" s="35" t="s">
        <v>24</v>
      </c>
      <c r="J8" s="35" t="s">
        <v>45</v>
      </c>
      <c r="K8" s="35" t="s">
        <v>22</v>
      </c>
      <c r="L8" s="35" t="s">
        <v>41</v>
      </c>
      <c r="M8" s="35" t="s">
        <v>54</v>
      </c>
    </row>
    <row r="9" spans="1:13" x14ac:dyDescent="0.25">
      <c r="H9" t="s">
        <v>19</v>
      </c>
      <c r="M9" t="s">
        <v>61</v>
      </c>
    </row>
  </sheetData>
  <sortState ref="A3:N9">
    <sortCondition ref="D3:D9"/>
  </sortState>
  <pageMargins left="0.25" right="0.25" top="0.75" bottom="0.75" header="0.3" footer="0.3"/>
  <pageSetup paperSize="8" scale="45" orientation="landscape" r:id="rId1"/>
  <headerFooter>
    <oddFooter>&amp;LA.VATINE-GHAMRI&amp;CDate mise à jour: 04/04/2017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43"/>
  <sheetViews>
    <sheetView zoomScaleNormal="100" zoomScalePageLayoutView="80" workbookViewId="0">
      <selection activeCell="D20" sqref="D20"/>
    </sheetView>
  </sheetViews>
  <sheetFormatPr baseColWidth="10" defaultRowHeight="15" x14ac:dyDescent="0.25"/>
  <cols>
    <col min="1" max="1" width="25.42578125" customWidth="1"/>
    <col min="2" max="3" width="11.7109375" customWidth="1"/>
    <col min="4" max="4" width="8.85546875" customWidth="1"/>
    <col min="5" max="5" width="12" customWidth="1"/>
    <col min="6" max="6" width="6.5703125" bestFit="1" customWidth="1"/>
    <col min="7" max="7" width="16" customWidth="1"/>
    <col min="8" max="8" width="28" customWidth="1"/>
    <col min="9" max="9" width="14.42578125" customWidth="1"/>
    <col min="10" max="10" width="13" customWidth="1"/>
    <col min="11" max="11" width="13.140625" customWidth="1"/>
    <col min="12" max="12" width="16.85546875" customWidth="1"/>
    <col min="14" max="14" width="16.140625" customWidth="1"/>
    <col min="15" max="15" width="10.7109375" bestFit="1" customWidth="1"/>
    <col min="16" max="16" width="11.42578125" bestFit="1" customWidth="1"/>
    <col min="20" max="20" width="8.140625" customWidth="1"/>
    <col min="21" max="21" width="7.5703125" customWidth="1"/>
    <col min="22" max="22" width="8.7109375" customWidth="1"/>
    <col min="23" max="23" width="20" customWidth="1"/>
    <col min="25" max="25" width="13.140625" bestFit="1" customWidth="1"/>
    <col min="27" max="27" width="14.140625" bestFit="1" customWidth="1"/>
    <col min="28" max="28" width="10.85546875" bestFit="1" customWidth="1"/>
  </cols>
  <sheetData>
    <row r="1" spans="1:37" ht="15.75" thickBot="1" x14ac:dyDescent="0.3">
      <c r="N1" s="51" t="s">
        <v>46</v>
      </c>
      <c r="O1" s="52"/>
      <c r="P1" s="52"/>
      <c r="Q1" s="52"/>
      <c r="R1" s="52"/>
      <c r="S1" s="52"/>
      <c r="T1" s="52"/>
      <c r="U1" s="52"/>
      <c r="V1" s="53"/>
      <c r="W1" s="54" t="s">
        <v>47</v>
      </c>
      <c r="X1" s="55"/>
      <c r="Y1" s="55"/>
      <c r="Z1" s="56"/>
      <c r="AA1" s="57" t="s">
        <v>48</v>
      </c>
      <c r="AB1" s="58"/>
      <c r="AC1" s="58"/>
      <c r="AD1" s="58"/>
      <c r="AE1" s="58"/>
      <c r="AF1" s="59"/>
      <c r="AG1" s="60" t="s">
        <v>49</v>
      </c>
      <c r="AH1" s="61"/>
      <c r="AI1" s="61"/>
      <c r="AJ1" s="61"/>
      <c r="AK1" s="61"/>
    </row>
    <row r="2" spans="1:37" ht="27" customHeight="1" x14ac:dyDescent="0.25">
      <c r="A2" s="3"/>
      <c r="B2" s="18" t="s">
        <v>17</v>
      </c>
      <c r="C2" s="18" t="s">
        <v>23</v>
      </c>
      <c r="D2" s="18" t="s">
        <v>18</v>
      </c>
      <c r="E2" s="19" t="s">
        <v>19</v>
      </c>
      <c r="F2" s="15" t="s">
        <v>42</v>
      </c>
      <c r="H2" s="23"/>
      <c r="I2" s="23"/>
      <c r="J2" s="6"/>
      <c r="K2" s="6"/>
      <c r="L2" s="6"/>
      <c r="M2" s="6"/>
      <c r="N2" s="28"/>
      <c r="O2" s="27" t="s">
        <v>2</v>
      </c>
      <c r="P2" s="27" t="s">
        <v>3</v>
      </c>
      <c r="Q2" s="27" t="s">
        <v>4</v>
      </c>
      <c r="R2" s="27" t="s">
        <v>40</v>
      </c>
      <c r="S2" s="27" t="s">
        <v>5</v>
      </c>
      <c r="T2" s="27" t="s">
        <v>6</v>
      </c>
      <c r="U2" s="27" t="s">
        <v>1</v>
      </c>
      <c r="V2" s="27" t="s">
        <v>42</v>
      </c>
      <c r="W2" s="27" t="s">
        <v>7</v>
      </c>
      <c r="X2" s="3" t="s">
        <v>8</v>
      </c>
      <c r="Y2" s="3" t="s">
        <v>9</v>
      </c>
      <c r="Z2" s="26" t="s">
        <v>42</v>
      </c>
      <c r="AA2" s="3" t="s">
        <v>10</v>
      </c>
      <c r="AB2" s="3" t="s">
        <v>11</v>
      </c>
      <c r="AC2" s="3" t="s">
        <v>12</v>
      </c>
      <c r="AD2" s="3" t="s">
        <v>13</v>
      </c>
      <c r="AE2" s="3" t="s">
        <v>1</v>
      </c>
      <c r="AF2" s="3" t="s">
        <v>42</v>
      </c>
      <c r="AG2" s="29" t="s">
        <v>14</v>
      </c>
      <c r="AH2" s="30" t="s">
        <v>15</v>
      </c>
      <c r="AI2" s="29" t="s">
        <v>16</v>
      </c>
      <c r="AJ2" s="30" t="s">
        <v>1</v>
      </c>
      <c r="AK2" s="1" t="s">
        <v>42</v>
      </c>
    </row>
    <row r="3" spans="1:37" x14ac:dyDescent="0.25">
      <c r="A3" s="7" t="s">
        <v>25</v>
      </c>
      <c r="B3" s="1">
        <f>COUNTIFS('Base de données suivi des FEI'!$A:$A,"EAJE/SESSAD",'Base de données suivi des FEI'!$H:$H,"Atteinte_personne")</f>
        <v>0</v>
      </c>
      <c r="C3" s="1">
        <f>COUNTIFS('Base de données suivi des FEI'!$A:$A,"EAJE/SESSAD",'Base de données suivi des FEI'!$H:$H,"Problème_soins")</f>
        <v>0</v>
      </c>
      <c r="D3" s="1">
        <f>COUNTIFS('Base de données suivi des FEI'!$A:$A,"EAJE/SESSAD",'Base de données suivi des FEI'!$H:$H,"Problème_logistique_hotellerie")</f>
        <v>0</v>
      </c>
      <c r="E3" s="1">
        <f>COUNTIFS('Base de données suivi des FEI'!$A:$A,"EAJE/SESSAD",'Base de données suivi des FEI'!$H:$H,"Atteinte_aux_biens ")</f>
        <v>0</v>
      </c>
      <c r="F3" s="8">
        <f t="shared" ref="F3:F18" si="0">SUM(B3:E3)</f>
        <v>0</v>
      </c>
      <c r="H3" s="6"/>
      <c r="I3" s="4"/>
      <c r="J3" s="4"/>
      <c r="K3" s="4"/>
      <c r="L3" s="4"/>
      <c r="M3" s="4"/>
      <c r="N3" s="22" t="s">
        <v>25</v>
      </c>
      <c r="O3" s="1">
        <f>COUNTIFS('Base de données suivi des FEI'!$A:$A,"EAJE/SESSAD",'Base de données suivi des FEI'!$I:$I,"Physique")</f>
        <v>0</v>
      </c>
      <c r="P3" s="1">
        <f>COUNTIFS('Base de données suivi des FEI'!$A:$A,"EAJE/SESSAD",'Base de données suivi des FEI'!$I:$I,"Psychique")</f>
        <v>0</v>
      </c>
      <c r="Q3" s="1">
        <f>COUNTIFS('Base de données suivi des FEI'!$A:$A,"EAJE/SESSAD",'Base de données suivi des FEI'!$I:$I,"Entre résidents")</f>
        <v>0</v>
      </c>
      <c r="R3" s="1">
        <f>COUNTIFS('Base de données suivi des FEI'!$A:$A,"EAJE/SESSAD",'Base de données suivi des FEI'!$I:$I,"Professionnel envers résidents")</f>
        <v>0</v>
      </c>
      <c r="S3" s="1">
        <f>COUNTIFS('Base de données suivi des FEI'!$A:$A,"EAJE/SESSAD",'Base de données suivi des FEI'!$I:$I,"Résident envers professionnels")</f>
        <v>0</v>
      </c>
      <c r="T3" s="1">
        <f>COUNTIFS('Base de données suivi des FEI'!$A:$A,"EAJE/SESSAD",'Base de données suivi des FEI'!$I:$I,"Contre elle-même")</f>
        <v>0</v>
      </c>
      <c r="U3" s="1">
        <f>COUNTIFS('Base de données suivi des FEI'!$A:$A,"EAJE/SESSAD",'Base de données suivi des FEI'!$I:$I,"Autres")</f>
        <v>0</v>
      </c>
      <c r="V3" s="1">
        <f t="shared" ref="V3:V17" si="1">SUM(O3:U3)</f>
        <v>0</v>
      </c>
      <c r="W3" s="1">
        <f>COUNTIFS('Base de données suivi des FEI'!$A:$A,"EAJE/SESSAD",'Base de données suivi des FEI'!$I:$I,"Erreur médicamenteuse")</f>
        <v>0</v>
      </c>
      <c r="X3" s="5">
        <f>COUNTIFS('Base de données suivi des FEI'!$A:$A,"EAJE/SESSAD",'Base de données suivi des FEI'!$I:$I,"Matériel")</f>
        <v>0</v>
      </c>
      <c r="Y3" s="5">
        <f>COUNTIFS('Base de données suivi des FEI'!$A:$A,"EAJE/SESSAD",'Base de données suivi des FEI'!$I:$I,"Autre")</f>
        <v>0</v>
      </c>
      <c r="Z3" s="1">
        <f>SUM(W3:Y3)</f>
        <v>0</v>
      </c>
      <c r="AA3" s="1">
        <f>COUNTIFS('Base de données suivi des FEI'!$A:$A,"EAJE/SESSAD",'Base de données suivi des FEI'!$I:$I,"Restauration")</f>
        <v>0</v>
      </c>
      <c r="AB3" s="1">
        <f>COUNTIFS('Base de données suivi des FEI'!$A:$A,"EAJE/SESSAD",'Base de données suivi des FEI'!$I:$I,"Linge")</f>
        <v>0</v>
      </c>
      <c r="AC3" s="1">
        <f>COUNTIFS('Base de données suivi des FEI'!$A:$A,"EAJE/SESSAD",'Base de données suivi des FEI'!$I:$I,"Entretien")</f>
        <v>0</v>
      </c>
      <c r="AD3" s="1">
        <f>COUNTIFS('Base de données suivi des FEI'!$A:$A,"EAJE/SESSAD",'Base de données suivi des FEI'!$I:$I,"Panne")</f>
        <v>0</v>
      </c>
      <c r="AE3" s="1">
        <f>COUNTIFS('Base de données suivi des FEI'!$A:$A,"EAJE/SESSAD",'Base de données suivi des FEI'!$I:$I,"Autres")</f>
        <v>0</v>
      </c>
      <c r="AF3" s="1">
        <f>SUM(AA3:AE3)</f>
        <v>0</v>
      </c>
      <c r="AG3" s="1">
        <f>COUNTIFS('Base de données suivi des FEI'!$A:$A,"EAJE/SESSAD",'Base de données suivi des FEI'!$I:$I,"Vols et dégradation")</f>
        <v>0</v>
      </c>
      <c r="AH3" s="1">
        <f>COUNTIFS('Base de données suivi des FEI'!$A:$A,"EAJE/SESSAD",'Base de données suivi des FEI'!$I:$I,"Inondation")</f>
        <v>0</v>
      </c>
      <c r="AI3" s="1">
        <f>COUNTIFS('Base de données suivi des FEI'!$A:$A,"EAJE/SESSAD",'Base de données suivi des FEI'!$I:$I,"Départ de feu")</f>
        <v>0</v>
      </c>
      <c r="AJ3" s="1">
        <f>COUNTIFS('Base de données suivi des FEI'!$A:$A,"EAJE/SESSAD",'Base de données suivi des FEI'!$I:$I,"Autres")</f>
        <v>0</v>
      </c>
      <c r="AK3" s="1">
        <f>SUM(AG3:AJ3)</f>
        <v>0</v>
      </c>
    </row>
    <row r="4" spans="1:37" x14ac:dyDescent="0.25">
      <c r="A4" s="7" t="s">
        <v>26</v>
      </c>
      <c r="B4" s="1" t="e">
        <f>COUNTIFS('Base de données suivi des FEI'!A:A,"IME",'Base de données suivi des FEI'!H:H,"Atteinte_personne",'Base de données suivi des FEI'!#REF!,)</f>
        <v>#REF!</v>
      </c>
      <c r="C4" s="1">
        <f>COUNTIFS('Base de données suivi des FEI'!B:B,"IME",'Base de données suivi des FEI'!I:I,"Problème_soins",'Base de données suivi des FEI'!H:H,)</f>
        <v>0</v>
      </c>
      <c r="D4" s="1">
        <f>COUNTIFS('Base de données suivi des FEI'!$A:$A,"IME",'Base de données suivi des FEI'!$H:$H,"Problème_logistique_hotellerie")</f>
        <v>0</v>
      </c>
      <c r="E4" s="1">
        <f>COUNTIFS('Base de données suivi des FEI'!$A:$A,"IME",'Base de données suivi des FEI'!$H:$H,"Atteinte_aux_biens ")</f>
        <v>0</v>
      </c>
      <c r="F4" s="8" t="e">
        <f t="shared" si="0"/>
        <v>#REF!</v>
      </c>
      <c r="H4" s="6"/>
      <c r="I4" s="4"/>
      <c r="J4" s="4"/>
      <c r="K4" s="4"/>
      <c r="L4" s="4"/>
      <c r="M4" s="4"/>
      <c r="N4" s="2" t="s">
        <v>26</v>
      </c>
      <c r="O4" s="1" t="e">
        <f>COUNTIFS('Base de données suivi des FEI'!$A:$A,"IME",'Base de données suivi des FEI'!$I:$I,"Physique",'Base de données suivi des FEI'!#REF!," ")</f>
        <v>#REF!</v>
      </c>
      <c r="P4" s="1" t="e">
        <f>COUNTIFS('Base de données suivi des FEI'!$A:$A,"IME",'Base de données suivi des FEI'!$I:$I,"Psychique",'Base de données suivi des FEI'!#REF!," ")</f>
        <v>#REF!</v>
      </c>
      <c r="Q4" s="1" t="e">
        <f>COUNTIFS('Base de données suivi des FEI'!$A:$A,"IME",'Base de données suivi des FEI'!$I:$I,"Entre résidents",'Base de données suivi des FEI'!#REF!," ")</f>
        <v>#REF!</v>
      </c>
      <c r="R4" s="1" t="e">
        <f>COUNTIFS('Base de données suivi des FEI'!$A:$A,"IME",'Base de données suivi des FEI'!$I:$I,"Professionnel envers résidents",'Base de données suivi des FEI'!#REF!," ")</f>
        <v>#REF!</v>
      </c>
      <c r="S4" s="1" t="e">
        <f>COUNTIFS('Base de données suivi des FEI'!$A:$A,"IME",'Base de données suivi des FEI'!$I:$I,"Résident envers professionnels",'Base de données suivi des FEI'!#REF!," ")</f>
        <v>#REF!</v>
      </c>
      <c r="T4" s="1" t="e">
        <f>COUNTIFS('Base de données suivi des FEI'!$A:$A,"IME",'Base de données suivi des FEI'!$I:$I,"Contre elle-même",'Base de données suivi des FEI'!#REF!," ")</f>
        <v>#REF!</v>
      </c>
      <c r="U4" s="1" t="e">
        <f>COUNTIFS('Base de données suivi des FEI'!$A:$A,"IME",'Base de données suivi des FEI'!$I:$I,"Autres",'Base de données suivi des FEI'!#REF!," ")</f>
        <v>#REF!</v>
      </c>
      <c r="V4" s="1" t="e">
        <f t="shared" si="1"/>
        <v>#REF!</v>
      </c>
      <c r="W4" s="1" t="e">
        <f>COUNTIFS('Base de données suivi des FEI'!$A:$A,"IME",'Base de données suivi des FEI'!$I:$I,"Erreur médicamenteuse",'Base de données suivi des FEI'!#REF!," ")</f>
        <v>#REF!</v>
      </c>
      <c r="X4" s="5" t="e">
        <f>COUNTIFS('Base de données suivi des FEI'!$A:$A,"IME",'Base de données suivi des FEI'!$I:$I,"Matériel",'Base de données suivi des FEI'!#REF!," ")</f>
        <v>#REF!</v>
      </c>
      <c r="Y4" s="5" t="e">
        <f>COUNTIFS('Base de données suivi des FEI'!$A:$A,"IME",'Base de données suivi des FEI'!$I:$I,"Autre",'Base de données suivi des FEI'!#REF!," ")</f>
        <v>#REF!</v>
      </c>
      <c r="Z4" s="1" t="e">
        <f t="shared" ref="Z4:Z17" si="2">SUM(W4:Y4)</f>
        <v>#REF!</v>
      </c>
      <c r="AA4" s="1" t="e">
        <f>COUNTIFS('Base de données suivi des FEI'!$A:$A,"IME",'Base de données suivi des FEI'!$I:$I,"Restauration",'Base de données suivi des FEI'!#REF!," ")</f>
        <v>#REF!</v>
      </c>
      <c r="AB4" s="1" t="e">
        <f>COUNTIFS('Base de données suivi des FEI'!$A:$A,"IME",'Base de données suivi des FEI'!$I:$I,"Linge",'Base de données suivi des FEI'!#REF!," ")</f>
        <v>#REF!</v>
      </c>
      <c r="AC4" s="1" t="e">
        <f>COUNTIFS('Base de données suivi des FEI'!$A:$A,"IME",'Base de données suivi des FEI'!$I:$I,"Entretien",'Base de données suivi des FEI'!#REF!," ")</f>
        <v>#REF!</v>
      </c>
      <c r="AD4" s="1" t="e">
        <f>COUNTIFS('Base de données suivi des FEI'!$A:$A,"IME",'Base de données suivi des FEI'!$I:$I,"Panne",'Base de données suivi des FEI'!#REF!," ")</f>
        <v>#REF!</v>
      </c>
      <c r="AE4" s="1" t="e">
        <f>COUNTIFS('Base de données suivi des FEI'!$A:$A,"IME",'Base de données suivi des FEI'!$I:$I,"Autres",'Base de données suivi des FEI'!#REF!," ")</f>
        <v>#REF!</v>
      </c>
      <c r="AF4" s="1" t="e">
        <f t="shared" ref="AF4:AF17" si="3">SUM(AA4:AE4)</f>
        <v>#REF!</v>
      </c>
      <c r="AG4" s="1" t="e">
        <f>COUNTIFS('Base de données suivi des FEI'!$A:$A,"IME",'Base de données suivi des FEI'!$I:$I,"Vols et dégradation",'Base de données suivi des FEI'!#REF!," ")</f>
        <v>#REF!</v>
      </c>
      <c r="AH4" s="1">
        <f>COUNTIFS('Base de données suivi des FEI'!$A:$A,"IME",'Base de données suivi des FEI'!$I:$I,"Inondation")</f>
        <v>0</v>
      </c>
      <c r="AI4" s="1">
        <f>COUNTIFS('Base de données suivi des FEI'!$A:$A,"IME",'Base de données suivi des FEI'!$I:$I,"Départ de feu")</f>
        <v>0</v>
      </c>
      <c r="AJ4" s="1">
        <f>COUNTIFS('Base de données suivi des FEI'!$A:$A,"IME",'Base de données suivi des FEI'!$I:$I,"Autres")</f>
        <v>0</v>
      </c>
      <c r="AK4" s="1" t="e">
        <f t="shared" ref="AK4:AK17" si="4">SUM(AG4:AJ4)</f>
        <v>#REF!</v>
      </c>
    </row>
    <row r="5" spans="1:37" x14ac:dyDescent="0.25">
      <c r="A5" s="7" t="s">
        <v>27</v>
      </c>
      <c r="B5" s="1" t="e">
        <f>COUNTIFS('Base de données suivi des FEI'!A:A,"LA MAILLERIE",'Base de données suivi des FEI'!H:H,"Atteinte_personne",'Base de données suivi des FEI'!#REF!,)</f>
        <v>#REF!</v>
      </c>
      <c r="C5" s="1">
        <f>COUNTIFS('Base de données suivi des FEI'!$A:$A,"EAJE/SESSAD",'Base de données suivi des FEI'!$H:$H,"Problème_soins")</f>
        <v>0</v>
      </c>
      <c r="D5" s="1">
        <f>COUNTIFS('Base de données suivi des FEI'!$A:$A,"LA MAILLERIE",'Base de données suivi des FEI'!$H:$H,"Problème_logistique_hotellerie")</f>
        <v>0</v>
      </c>
      <c r="E5" s="1">
        <f>COUNTIFS('Base de données suivi des FEI'!$A:$A,"LA MAILLERIE",'Base de données suivi des FEI'!$H:$H,"Atteinte_aux_biens ")</f>
        <v>0</v>
      </c>
      <c r="F5" s="8" t="e">
        <f t="shared" si="0"/>
        <v>#REF!</v>
      </c>
      <c r="H5" s="6"/>
      <c r="I5" s="4"/>
      <c r="J5" s="4"/>
      <c r="K5" s="4"/>
      <c r="L5" s="4"/>
      <c r="M5" s="4"/>
      <c r="N5" s="2" t="s">
        <v>27</v>
      </c>
      <c r="O5" s="1">
        <f>COUNTIFS('Base de données suivi des FEI'!$A:$A,"LA MAILLERIE",'Base de données suivi des FEI'!$I:$I,"Physique")</f>
        <v>0</v>
      </c>
      <c r="P5" s="1">
        <f>COUNTIFS('Base de données suivi des FEI'!$A:$A,"LA MAILLERIE",'Base de données suivi des FEI'!$I:$I,"Psychique")</f>
        <v>0</v>
      </c>
      <c r="Q5" s="1">
        <f>COUNTIFS('Base de données suivi des FEI'!$A:$A,"LA MAILLERIE",'Base de données suivi des FEI'!$I:$I,"Entre résidents")</f>
        <v>0</v>
      </c>
      <c r="R5" s="1">
        <f>COUNTIFS('Base de données suivi des FEI'!$A:$A,"LA MAILLERIE",'Base de données suivi des FEI'!$I:$I,"Professionnel envers résident")</f>
        <v>0</v>
      </c>
      <c r="S5" s="1">
        <f>COUNTIFS('Base de données suivi des FEI'!$A:$A,"LA MAILLERIE",'Base de données suivi des FEI'!$I:$I,"Résident envers professionn")</f>
        <v>0</v>
      </c>
      <c r="T5" s="1">
        <f>COUNTIFS('Base de données suivi des FEI'!$A:$A,"LA MAILLERIE",'Base de données suivi des FEI'!$I:$I,"Contre elle-même")</f>
        <v>0</v>
      </c>
      <c r="U5" s="1">
        <f>COUNTIFS('Base de données suivi des FEI'!$A:$A,"LA MAILLERIE",'Base de données suivi des FEI'!$I:$I,"Autres")</f>
        <v>0</v>
      </c>
      <c r="V5" s="1">
        <f t="shared" si="1"/>
        <v>0</v>
      </c>
      <c r="W5" s="1">
        <f>COUNTIFS('Base de données suivi des FEI'!$A:$A,"LA MAILLERIE",'Base de données suivi des FEI'!$I:$I,"Erreur médicamenteuse")</f>
        <v>0</v>
      </c>
      <c r="X5" s="5">
        <f>COUNTIFS('Base de données suivi des FEI'!$A:$A,"LA MAILLERIE",'Base de données suivi des FEI'!$I:$I,"Matériel")</f>
        <v>0</v>
      </c>
      <c r="Y5" s="5">
        <f>COUNTIFS('Base de données suivi des FEI'!$A:$A,"LA MAILLERIE",'Base de données suivi des FEI'!$I:$I,"Autre")</f>
        <v>0</v>
      </c>
      <c r="Z5" s="1">
        <f t="shared" si="2"/>
        <v>0</v>
      </c>
      <c r="AA5" s="1">
        <f>COUNTIFS('Base de données suivi des FEI'!$A:$A,"LA MAILLERIE",'Base de données suivi des FEI'!$I:$I,"Restauration")</f>
        <v>0</v>
      </c>
      <c r="AB5" s="1">
        <f>COUNTIFS('Base de données suivi des FEI'!$A:$A,"LA MAILLERIE",'Base de données suivi des FEI'!$I:$I,"Linge")</f>
        <v>0</v>
      </c>
      <c r="AC5" s="1">
        <f>COUNTIFS('Base de données suivi des FEI'!$A:$A,"LA MAILLERIE",'Base de données suivi des FEI'!$I:$I,"Entretien")</f>
        <v>0</v>
      </c>
      <c r="AD5" s="1">
        <f>COUNTIFS('Base de données suivi des FEI'!$A:$A,"LA MAILLERIE",'Base de données suivi des FEI'!$I:$I,"Panne")</f>
        <v>0</v>
      </c>
      <c r="AE5" s="1">
        <f>COUNTIFS('Base de données suivi des FEI'!$A:$A,"LA MAILLERIE",'Base de données suivi des FEI'!$I:$I,"Autres")</f>
        <v>0</v>
      </c>
      <c r="AF5" s="1">
        <f t="shared" si="3"/>
        <v>0</v>
      </c>
      <c r="AG5" s="1">
        <f>COUNTIFS('Base de données suivi des FEI'!$A:$A,"LA MAILLERIE",'Base de données suivi des FEI'!$I:$I,"Vols et dégradation")</f>
        <v>0</v>
      </c>
      <c r="AH5" s="1">
        <f>COUNTIFS('Base de données suivi des FEI'!$A:$A,"LA MAILLERIE",'Base de données suivi des FEI'!$I:$I,"Inondation")</f>
        <v>0</v>
      </c>
      <c r="AI5" s="1">
        <f>COUNTIFS('Base de données suivi des FEI'!$A:$A,"LA MAILLERIE",'Base de données suivi des FEI'!$I:$I,"Départ de feu")</f>
        <v>0</v>
      </c>
      <c r="AJ5" s="1">
        <f>COUNTIFS('Base de données suivi des FEI'!$A:$A,"LA MAILLERIE",'Base de données suivi des FEI'!$I:$I,"Autres")</f>
        <v>0</v>
      </c>
      <c r="AK5" s="1">
        <f t="shared" si="4"/>
        <v>0</v>
      </c>
    </row>
    <row r="6" spans="1:37" ht="30" x14ac:dyDescent="0.25">
      <c r="A6" s="7" t="s">
        <v>43</v>
      </c>
      <c r="B6" s="1" t="e">
        <f>COUNTIFS('Base de données suivi des FEI'!A:A,"SP LA TISSANDERIE",'Base de données suivi des FEI'!H:H,"Atteinte_personne",'Base de données suivi des FEI'!#REF!,)</f>
        <v>#REF!</v>
      </c>
      <c r="C6" s="1" t="e">
        <f>COUNTIFS('Base de données suivi des FEI'!A:A,"SP LA TISSANDERIE",'Base de données suivi des FEI'!H:H,"Problème_soins ",'Base de données suivi des FEI'!#REF!,)</f>
        <v>#REF!</v>
      </c>
      <c r="D6" s="1">
        <f>COUNTIFS('Base de données suivi des FEI'!$A:$A,"SP TISSANDERIE",'Base de données suivi des FEI'!$H:$H,"Problème_logistique_hotellerie")</f>
        <v>0</v>
      </c>
      <c r="E6" s="1">
        <f>COUNTIFS('Base de données suivi des FEI'!$A:$A,"SP LA TISSANDERIE",'Base de données suivi des FEI'!$H:$H,"Atteinte_aux_biens ")</f>
        <v>0</v>
      </c>
      <c r="F6" s="8" t="e">
        <f t="shared" si="0"/>
        <v>#REF!</v>
      </c>
      <c r="H6" s="6"/>
      <c r="I6" s="4"/>
      <c r="J6" s="4"/>
      <c r="K6" s="4"/>
      <c r="L6" s="4"/>
      <c r="M6" s="4"/>
      <c r="N6" s="2" t="s">
        <v>43</v>
      </c>
      <c r="O6" s="1">
        <f>COUNTIFS('Base de données suivi des FEI'!$A:$A,"SP LA TISSANDERIE",'Base de données suivi des FEI'!$I:$I,"Physique")</f>
        <v>0</v>
      </c>
      <c r="P6" s="1">
        <f>COUNTIFS('Base de données suivi des FEI'!A:A,"SP LA TISSANDERIE",'Base de données suivi des FEI'!$I:$I,"Psychique")</f>
        <v>0</v>
      </c>
      <c r="Q6" s="1">
        <f>COUNTIFS('Base de données suivi des FEI'!A:A,"SP LA TISSANDERIE",'Base de données suivi des FEI'!$I:$I,"Entre résidents")</f>
        <v>0</v>
      </c>
      <c r="R6" s="1">
        <f>COUNTIFS('Base de données suivi des FEI'!A:A,"SP LA TISSANDERIE",'Base de données suivi des FEI'!$I:$I,"Professionnel envers résidents")</f>
        <v>0</v>
      </c>
      <c r="S6" s="1">
        <f>COUNTIFS('Base de données suivi des FEI'!A:A,"LA TISSANDERIE",'Base de données suivi des FEI'!$I:$I,"Résident envers professionnels")</f>
        <v>0</v>
      </c>
      <c r="T6" s="1">
        <f>COUNTIFS('Base de données suivi des FEI'!A:A,"SP LA TISSANDERIE",'Base de données suivi des FEI'!$I:$I,"Contre elle-même")</f>
        <v>0</v>
      </c>
      <c r="U6" s="1">
        <f>COUNTIFS('Base de données suivi des FEI'!A:A,"SP LA TISSANDERIE",'Base de données suivi des FEI'!$I:$I,"Autres")</f>
        <v>0</v>
      </c>
      <c r="V6" s="1">
        <f t="shared" si="1"/>
        <v>0</v>
      </c>
      <c r="W6" s="1">
        <f>COUNTIFS('Base de données suivi des FEI'!$A:$A,"CITL VANVES",'Base de données suivi des FEI'!$I:$I,"Erreur médicamenteuse")</f>
        <v>0</v>
      </c>
      <c r="X6" s="5">
        <f>COUNTIFS('Base de données suivi des FEI'!$A:$A,"SP LA TISSANDERIE",'Base de données suivi des FEI'!$I:$I,"Matériel")</f>
        <v>0</v>
      </c>
      <c r="Y6" s="5">
        <f>COUNTIFS('Base de données suivi des FEI'!$A:$A,"SP LA TISSANDERIE",'Base de données suivi des FEI'!$I:$I,"Autre")</f>
        <v>0</v>
      </c>
      <c r="Z6" s="1">
        <f t="shared" si="2"/>
        <v>0</v>
      </c>
      <c r="AA6" s="1">
        <f>COUNTIFS('Base de données suivi des FEI'!$A:$A,"CITL VANVES",'Base de données suivi des FEI'!$I:$I,"Restauration")</f>
        <v>0</v>
      </c>
      <c r="AB6" s="1">
        <f>COUNTIFS('Base de données suivi des FEI'!$A:$A,"CITL VANVES",'Base de données suivi des FEI'!$I:$I,"Linge")</f>
        <v>0</v>
      </c>
      <c r="AC6" s="1">
        <f>COUNTIFS('Base de données suivi des FEI'!$A:$A,"CITL VANVES",'Base de données suivi des FEI'!$I:$I,"Entretien")</f>
        <v>0</v>
      </c>
      <c r="AD6" s="1">
        <f>COUNTIFS('Base de données suivi des FEI'!$A:$A,"CITL VANVES",'Base de données suivi des FEI'!$I:$I,"Panne")</f>
        <v>0</v>
      </c>
      <c r="AE6" s="1">
        <f>COUNTIFS('Base de données suivi des FEI'!$A:$A,"CITL VANVES",'Base de données suivi des FEI'!$I:$I,"Autres")</f>
        <v>0</v>
      </c>
      <c r="AF6" s="1">
        <f t="shared" si="3"/>
        <v>0</v>
      </c>
      <c r="AG6" s="1">
        <f>COUNTIFS('Base de données suivi des FEI'!$A:$A,"CITL VANVES",'Base de données suivi des FEI'!$I:$I,"Vols et dégradation")</f>
        <v>0</v>
      </c>
      <c r="AH6" s="1">
        <f>COUNTIFS('Base de données suivi des FEI'!$A:$A,"CITL VANVES",'Base de données suivi des FEI'!$I:$I,"Inondation")</f>
        <v>0</v>
      </c>
      <c r="AI6" s="1">
        <f>COUNTIFS('Base de données suivi des FEI'!$A:$A,"CITL VANVES",'Base de données suivi des FEI'!$I:$I,"Départ de feu")</f>
        <v>0</v>
      </c>
      <c r="AJ6" s="1">
        <f>COUNTIFS('Base de données suivi des FEI'!$A:$A,"CITL VANVES",'Base de données suivi des FEI'!$I:$I,"Autres")</f>
        <v>0</v>
      </c>
      <c r="AK6" s="1">
        <f t="shared" si="4"/>
        <v>0</v>
      </c>
    </row>
    <row r="7" spans="1:37" x14ac:dyDescent="0.25">
      <c r="A7" s="7" t="s">
        <v>28</v>
      </c>
      <c r="B7" s="1" t="e">
        <f>COUNTIFS('Base de données suivi des FEI'!A:A,"CITL VANVES",'Base de données suivi des FEI'!H:H,"Atteinte_personne",'Base de données suivi des FEI'!#REF!,)</f>
        <v>#REF!</v>
      </c>
      <c r="C7" s="1" t="e">
        <f>COUNTIFS('Base de données suivi des FEI'!A:A,"CITL VANVES",'Base de données suivi des FEI'!H:H,"Problème_soins ",'Base de données suivi des FEI'!#REF!,)</f>
        <v>#REF!</v>
      </c>
      <c r="D7" s="1">
        <f>COUNTIFS('Base de données suivi des FEI'!$A:$A,"CITL VANVES",'Base de données suivi des FEI'!$H:$H,"Problème_logistique_hotellerie")</f>
        <v>0</v>
      </c>
      <c r="E7" s="1">
        <f>COUNTIFS('Base de données suivi des FEI'!$A:$A,"CITL VANVES",'Base de données suivi des FEI'!$H:$H,"Atteinte_aux_biens ")</f>
        <v>0</v>
      </c>
      <c r="F7" s="8" t="e">
        <f t="shared" si="0"/>
        <v>#REF!</v>
      </c>
      <c r="H7" s="6"/>
      <c r="I7" s="4"/>
      <c r="J7" s="4"/>
      <c r="K7" s="4"/>
      <c r="L7" s="4"/>
      <c r="M7" s="4"/>
      <c r="N7" s="2" t="s">
        <v>28</v>
      </c>
      <c r="O7" s="1">
        <f>COUNTIFS('Base de données suivi des FEI'!$A:$A,"CITL VANVES",'Base de données suivi des FEI'!$I:$I,"Physique")</f>
        <v>0</v>
      </c>
      <c r="P7" s="1">
        <f>COUNTIFS('Base de données suivi des FEI'!$A:$A,"CITL VANVES",'Base de données suivi des FEI'!$I:$I,"Physique")</f>
        <v>0</v>
      </c>
      <c r="Q7" s="1">
        <f>COUNTIFS('Base de données suivi des FEI'!$A:$A,"CITL VANVES",'Base de données suivi des FEI'!$I:$I,"Entre résidents")</f>
        <v>0</v>
      </c>
      <c r="R7" s="1">
        <f>COUNTIFS('Base de données suivi des FEI'!$A:$A,"CITL VANVES",'Base de données suivi des FEI'!$I:$I,"Professionnel envers résidents")</f>
        <v>0</v>
      </c>
      <c r="S7" s="1">
        <f>COUNTIFS('Base de données suivi des FEI'!$A:$A,"CITL VANVES",'Base de données suivi des FEI'!$I:$I,"Résident envers professionnels")</f>
        <v>0</v>
      </c>
      <c r="T7" s="1">
        <f>COUNTIFS('Base de données suivi des FEI'!$A:$A,"CITL VANVES",'Base de données suivi des FEI'!$I:$I,"Contre elle-même")</f>
        <v>0</v>
      </c>
      <c r="U7" s="1">
        <f>COUNTIFS('Base de données suivi des FEI'!$A:$A,"CITL VANVES",'Base de données suivi des FEI'!$I:$I,"Autres")</f>
        <v>0</v>
      </c>
      <c r="V7" s="1">
        <f t="shared" si="1"/>
        <v>0</v>
      </c>
      <c r="W7" s="1">
        <f>COUNTIFS('Base de données suivi des FEI'!$A:$A,"EAJE/SESSAD",'Base de données suivi des FEI'!$I:$I,"Erreur médicamenteuse")</f>
        <v>0</v>
      </c>
      <c r="X7" s="5">
        <f>COUNTIFS('Base de données suivi des FEI'!$A:$A,"CITL VANVES",'Base de données suivi des FEI'!$I:$I,"Matériel")</f>
        <v>0</v>
      </c>
      <c r="Y7" s="5">
        <f>COUNTIFS('Base de données suivi des FEI'!$A:$A,"CITL VANVES",'Base de données suivi des FEI'!$I:$I,"Autre")</f>
        <v>0</v>
      </c>
      <c r="Z7" s="1">
        <f t="shared" si="2"/>
        <v>0</v>
      </c>
      <c r="AA7" s="1">
        <f>COUNTIFS('Base de données suivi des FEI'!$A:$A,"EAJE/SESSAD",'Base de données suivi des FEI'!$I:$I,"Restauration")</f>
        <v>0</v>
      </c>
      <c r="AB7" s="1">
        <f>COUNTIFS('Base de données suivi des FEI'!$A:$A,"EAJE/SESSAD",'Base de données suivi des FEI'!$I:$I,"Linge")</f>
        <v>0</v>
      </c>
      <c r="AC7" s="1">
        <f>COUNTIFS('Base de données suivi des FEI'!$A:$A,"EAJE/SESSAD",'Base de données suivi des FEI'!$I:$I,"Entretien")</f>
        <v>0</v>
      </c>
      <c r="AD7" s="1">
        <f>COUNTIFS('Base de données suivi des FEI'!$A:$A,"EAJE/SESSAD",'Base de données suivi des FEI'!$I:$I,"Panne")</f>
        <v>0</v>
      </c>
      <c r="AE7" s="1">
        <f>COUNTIFS('Base de données suivi des FEI'!$A:$A,"EAJE/SESSAD",'Base de données suivi des FEI'!$I:$I,"Autres")</f>
        <v>0</v>
      </c>
      <c r="AF7" s="1">
        <f t="shared" si="3"/>
        <v>0</v>
      </c>
      <c r="AG7" s="1">
        <f>COUNTIFS('Base de données suivi des FEI'!$A:$A,"EAJE/SESSAD",'Base de données suivi des FEI'!$I:$I,"Vols et dégradation")</f>
        <v>0</v>
      </c>
      <c r="AH7" s="1">
        <f>COUNTIFS('Base de données suivi des FEI'!$A:$A,"EAJE/SESSAD",'Base de données suivi des FEI'!$I:$I,"Inondation")</f>
        <v>0</v>
      </c>
      <c r="AI7" s="1">
        <f>COUNTIFS('Base de données suivi des FEI'!$A:$A,"EAJE/SESSAD",'Base de données suivi des FEI'!$I:$I,"Départ de feu")</f>
        <v>0</v>
      </c>
      <c r="AJ7" s="1">
        <f>COUNTIFS('Base de données suivi des FEI'!$A:$A,"EAJE/SESSAD",'Base de données suivi des FEI'!$I:$I,"Autres")</f>
        <v>0</v>
      </c>
      <c r="AK7" s="1">
        <f t="shared" si="4"/>
        <v>0</v>
      </c>
    </row>
    <row r="8" spans="1:37" x14ac:dyDescent="0.25">
      <c r="A8" s="7" t="s">
        <v>29</v>
      </c>
      <c r="B8" s="1" t="e">
        <f>COUNTIFS('Base de données suivi des FEI'!A:A,"CITL JC.RICHARD",'Base de données suivi des FEI'!H:H,"Atteinte_personne",'Base de données suivi des FEI'!#REF!,)</f>
        <v>#REF!</v>
      </c>
      <c r="C8" s="1">
        <f>COUNTIFS('Base de données suivi des FEI'!A:A,"CITL JC.RICHARD",'Base de données suivi des FEI'!H:H,"Problème_soins ")</f>
        <v>0</v>
      </c>
      <c r="D8" s="1">
        <f>COUNTIFS('Base de données suivi des FEI'!$A:$A,"CITL JC.RICHARD",'Base de données suivi des FEI'!$H:$H,"Problème_logistique_hotellerie")</f>
        <v>0</v>
      </c>
      <c r="E8" s="1">
        <f>COUNTIFS('Base de données suivi des FEI'!$A:$A,"CITL JC.RICHARD",'Base de données suivi des FEI'!$H:$H,"Atteinte_aux_biens ")</f>
        <v>0</v>
      </c>
      <c r="F8" s="8" t="e">
        <f t="shared" si="0"/>
        <v>#REF!</v>
      </c>
      <c r="H8" s="6"/>
      <c r="I8" s="4"/>
      <c r="J8" s="4"/>
      <c r="K8" s="4"/>
      <c r="L8" s="4"/>
      <c r="M8" s="4"/>
      <c r="N8" s="2" t="s">
        <v>29</v>
      </c>
      <c r="O8" s="1">
        <f>COUNTIFS('Base de données suivi des FEI'!$A:$A,"CITL JC.RICHARD",'Base de données suivi des FEI'!$I:$I,"Physique")</f>
        <v>0</v>
      </c>
      <c r="P8" s="1">
        <f>COUNTIFS('Base de données suivi des FEI'!$A:$A,"CITL JC.RICHARD",'Base de données suivi des FEI'!$I:$I,"Psychique")</f>
        <v>0</v>
      </c>
      <c r="Q8" s="1">
        <f>COUNTIFS('Base de données suivi des FEI'!$A:$A,"CITL JC.RICHARD",'Base de données suivi des FEI'!$I:$I,"Entre résidents")</f>
        <v>0</v>
      </c>
      <c r="R8" s="1">
        <f>COUNTIFS('Base de données suivi des FEI'!$A:$A,"CITL JC.RICHARD",'Base de données suivi des FEI'!$I:$I,"Professionnel envers résidents")</f>
        <v>0</v>
      </c>
      <c r="S8" s="1">
        <f>COUNTIFS('Base de données suivi des FEI'!$A:$A,"CITL JC.RICHARD",'Base de données suivi des FEI'!$I:$I,"Résident envers professionnels")</f>
        <v>0</v>
      </c>
      <c r="T8" s="1">
        <f>COUNTIFS('Base de données suivi des FEI'!$A:$A,"CITL JC.RICHARD",'Base de données suivi des FEI'!$I:$I,"Contre elle-même")</f>
        <v>0</v>
      </c>
      <c r="U8" s="1">
        <f>COUNTIFS('Base de données suivi des FEI'!$A:$A,"CITL JC.RICHARD",'Base de données suivi des FEI'!$I:$I,"Autres")</f>
        <v>0</v>
      </c>
      <c r="V8" s="1">
        <f t="shared" si="1"/>
        <v>0</v>
      </c>
      <c r="W8" s="1">
        <f>COUNTIFS('Base de données suivi des FEI'!$A:$A,"CITL JC.RICHARD",'Base de données suivi des FEI'!$I:$I,"Erreur médicamenteuse")</f>
        <v>0</v>
      </c>
      <c r="X8" s="5">
        <f>COUNTIFS('Base de données suivi des FEI'!$A:$A,"CITL JC.RICHARD",'Base de données suivi des FEI'!$I:$I,"Matériel")</f>
        <v>0</v>
      </c>
      <c r="Y8" s="5">
        <f>COUNTIFS('Base de données suivi des FEI'!$A:$A,"CITL JC.RICHARD",'Base de données suivi des FEI'!$I:$I,"Autre")</f>
        <v>0</v>
      </c>
      <c r="Z8" s="1">
        <f t="shared" si="2"/>
        <v>0</v>
      </c>
      <c r="AA8" s="1">
        <f>COUNTIFS('Base de données suivi des FEI'!$A:$A,"CITL JC.RICHARD",'Base de données suivi des FEI'!$I:$I,"Restauration")</f>
        <v>0</v>
      </c>
      <c r="AB8" s="1">
        <f>COUNTIFS('Base de données suivi des FEI'!$A:$A,"CITL JC.RICHARD",'Base de données suivi des FEI'!$I:$I,"Linge")</f>
        <v>0</v>
      </c>
      <c r="AC8" s="1">
        <f>COUNTIFS('Base de données suivi des FEI'!$A:$A,"CITL JC.RICHARD",'Base de données suivi des FEI'!$I:$I,"Entretien")</f>
        <v>0</v>
      </c>
      <c r="AD8" s="1">
        <f>COUNTIFS('Base de données suivi des FEI'!$A:$A,"CITL JC.RICHARD",'Base de données suivi des FEI'!$I:$I,"Panne")</f>
        <v>0</v>
      </c>
      <c r="AE8" s="1">
        <f>COUNTIFS('Base de données suivi des FEI'!$A:$A,"CITL JC.RICHARD",'Base de données suivi des FEI'!$I:$I,"Autres")</f>
        <v>0</v>
      </c>
      <c r="AF8" s="1">
        <f t="shared" si="3"/>
        <v>0</v>
      </c>
      <c r="AG8" s="1">
        <f>COUNTIFS('Base de données suivi des FEI'!$A:$A,"CITL JC.RICHARD",'Base de données suivi des FEI'!$I:$I,"Vols et dégradation")</f>
        <v>0</v>
      </c>
      <c r="AH8" s="1">
        <f>COUNTIFS('Base de données suivi des FEI'!$A:$A,"CITL JC.RICHARD",'Base de données suivi des FEI'!$I:$I,"Inondation")</f>
        <v>0</v>
      </c>
      <c r="AI8" s="1">
        <f>COUNTIFS('Base de données suivi des FEI'!$A:$A,"CITL JC.RICHARD",'Base de données suivi des FEI'!$I:$I,"Départ de feu")</f>
        <v>0</v>
      </c>
      <c r="AJ8" s="1">
        <f>COUNTIFS('Base de données suivi des FEI'!$A:$A,"CITL JC.RICHARD",'Base de données suivi des FEI'!$I:$I,"Autres")</f>
        <v>0</v>
      </c>
      <c r="AK8" s="1">
        <f t="shared" si="4"/>
        <v>0</v>
      </c>
    </row>
    <row r="9" spans="1:37" x14ac:dyDescent="0.25">
      <c r="A9" s="7" t="s">
        <v>51</v>
      </c>
      <c r="B9" s="1" t="e">
        <f>COUNTIFS('Base de données suivi des FEI'!A:A,"CITL VINET",'Base de données suivi des FEI'!H:H,"Atteinte_personne",'Base de données suivi des FEI'!#REF!,)</f>
        <v>#REF!</v>
      </c>
      <c r="C9" s="1" t="e">
        <f>COUNTIFS('Base de données suivi des FEI'!A:A,"CITL VINET",'Base de données suivi des FEI'!H:H,"Problème_soins ",'Base de données suivi des FEI'!#REF!,)</f>
        <v>#REF!</v>
      </c>
      <c r="D9" s="1">
        <f>COUNTIFS('Base de données suivi des FEI'!$A:$A,"CITL VINET",'Base de données suivi des FEI'!$H:$H,"Problème_logistique_hotellerie")</f>
        <v>0</v>
      </c>
      <c r="E9" s="1">
        <f>COUNTIFS('Base de données suivi des FEI'!$A:$A,"CITL VINET",'Base de données suivi des FEI'!$H:$H,"Atteinte_aux_biens ")</f>
        <v>0</v>
      </c>
      <c r="F9" s="8" t="e">
        <f t="shared" si="0"/>
        <v>#REF!</v>
      </c>
      <c r="H9" s="6"/>
      <c r="I9" s="4"/>
      <c r="J9" s="4"/>
      <c r="K9" s="4"/>
      <c r="L9" s="4"/>
      <c r="M9" s="4"/>
      <c r="N9" s="2" t="s">
        <v>51</v>
      </c>
      <c r="O9" s="1"/>
      <c r="P9" s="1"/>
      <c r="Q9" s="1"/>
      <c r="R9" s="1"/>
      <c r="S9" s="1"/>
      <c r="T9" s="1"/>
      <c r="U9" s="1"/>
      <c r="V9" s="1"/>
      <c r="W9" s="1"/>
      <c r="X9" s="5"/>
      <c r="Y9" s="5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25">
      <c r="A10" s="7" t="s">
        <v>30</v>
      </c>
      <c r="B10" s="1" t="e">
        <f>COUNTIFS('Base de données suivi des FEI'!A:A,"SAVS",'Base de données suivi des FEI'!H:H,"Atteinte_personne",'Base de données suivi des FEI'!#REF!,)</f>
        <v>#REF!</v>
      </c>
      <c r="C10" s="1" t="e">
        <f>COUNTIFS('Base de données suivi des FEI'!A:A,"SAVS",'Base de données suivi des FEI'!H:H,"Problème_soins ",'Base de données suivi des FEI'!#REF!,)</f>
        <v>#REF!</v>
      </c>
      <c r="D10" s="1">
        <f>COUNTIFS('Base de données suivi des FEI'!$A:$A,"SAVS",'Base de données suivi des FEI'!$H:$H,"Problème_logistique_hotellerie")</f>
        <v>0</v>
      </c>
      <c r="E10" s="1">
        <f>COUNTIFS('Base de données suivi des FEI'!$A:$A,"SAVS",'Base de données suivi des FEI'!$H:$H,"Atteinte_aux_biens ")</f>
        <v>0</v>
      </c>
      <c r="F10" s="8" t="e">
        <f t="shared" si="0"/>
        <v>#REF!</v>
      </c>
      <c r="H10" s="6"/>
      <c r="I10" s="4"/>
      <c r="J10" s="4"/>
      <c r="K10" s="4"/>
      <c r="L10" s="4"/>
      <c r="M10" s="4"/>
      <c r="N10" s="2" t="s">
        <v>30</v>
      </c>
      <c r="O10" s="1">
        <f>COUNTIFS('Base de données suivi des FEI'!$A:$A,"SAVS",'Base de données suivi des FEI'!$I:$I,"Physique")</f>
        <v>0</v>
      </c>
      <c r="P10" s="1">
        <f>COUNTIFS('Base de données suivi des FEI'!$A:$A,"SAVS",'Base de données suivi des FEI'!$I:$I,"Psychique")</f>
        <v>0</v>
      </c>
      <c r="Q10" s="1">
        <f>COUNTIFS('Base de données suivi des FEI'!$A:$A,"SAVS",'Base de données suivi des FEI'!$I:$I,"Entre résidents")</f>
        <v>0</v>
      </c>
      <c r="R10" s="1">
        <f>COUNTIFS('Base de données suivi des FEI'!$A:$A,"SAVS",'Base de données suivi des FEI'!$I:$I,"Professionnel envers résidents")</f>
        <v>0</v>
      </c>
      <c r="S10" s="1">
        <f>COUNTIFS('Base de données suivi des FEI'!$A:$A,"SAVS",'Base de données suivi des FEI'!$I:$I,"Résident envers professionnels")</f>
        <v>0</v>
      </c>
      <c r="T10" s="1">
        <f>COUNTIFS('Base de données suivi des FEI'!$A:$A,"SAVS",'Base de données suivi des FEI'!$I:$I,"Contre elle-même")</f>
        <v>0</v>
      </c>
      <c r="U10" s="1">
        <f>COUNTIFS('Base de données suivi des FEI'!$A:$A,"SAVS",'Base de données suivi des FEI'!$I:$I,"Autres")</f>
        <v>0</v>
      </c>
      <c r="V10" s="1">
        <f t="shared" si="1"/>
        <v>0</v>
      </c>
      <c r="W10" s="1">
        <f>COUNTIFS('Base de données suivi des FEI'!$A:$A,"SAVS ",'Base de données suivi des FEI'!$I:$I,"Erreur médicamenteuse")</f>
        <v>0</v>
      </c>
      <c r="X10" s="5">
        <f>COUNTIFS('Base de données suivi des FEI'!$A:$A,"SAVS ",'Base de données suivi des FEI'!$I:$I,"Matériel")</f>
        <v>0</v>
      </c>
      <c r="Y10" s="5">
        <f>COUNTIFS('Base de données suivi des FEI'!$A:$A,"SAVS ",'Base de données suivi des FEI'!$I:$I,"Autre")</f>
        <v>0</v>
      </c>
      <c r="Z10" s="1">
        <f t="shared" si="2"/>
        <v>0</v>
      </c>
      <c r="AA10" s="1">
        <f>COUNTIFS('Base de données suivi des FEI'!$A:$A,"SAVS ",'Base de données suivi des FEI'!$I:$I,"Restauration")</f>
        <v>0</v>
      </c>
      <c r="AB10" s="1">
        <f>COUNTIFS('Base de données suivi des FEI'!$A:$A,"SAVS ",'Base de données suivi des FEI'!$I:$I,"Linge")</f>
        <v>0</v>
      </c>
      <c r="AC10" s="1">
        <f>COUNTIFS('Base de données suivi des FEI'!$A:$A,"SAVS ",'Base de données suivi des FEI'!$I:$I,"Entretien")</f>
        <v>0</v>
      </c>
      <c r="AD10" s="1">
        <f>COUNTIFS('Base de données suivi des FEI'!$A:$A,"SAVS ",'Base de données suivi des FEI'!$I:$I,"Panne")</f>
        <v>0</v>
      </c>
      <c r="AE10" s="1">
        <f>COUNTIFS('Base de données suivi des FEI'!$A:$A,"SAVS ",'Base de données suivi des FEI'!$I:$I,"Autres")</f>
        <v>0</v>
      </c>
      <c r="AF10" s="1">
        <f t="shared" si="3"/>
        <v>0</v>
      </c>
      <c r="AG10" s="1">
        <f>COUNTIFS('Base de données suivi des FEI'!$A:$A,"SAVS ",'Base de données suivi des FEI'!$I:$I,"Vols et dégradation")</f>
        <v>0</v>
      </c>
      <c r="AH10" s="1">
        <f>COUNTIFS('Base de données suivi des FEI'!$A:$A,"SAVS ",'Base de données suivi des FEI'!$I:$I,"Inondation")</f>
        <v>0</v>
      </c>
      <c r="AI10" s="1">
        <f>COUNTIFS('Base de données suivi des FEI'!$A:$A,"SAVS ",'Base de données suivi des FEI'!$I:$I,"Départ de feu")</f>
        <v>0</v>
      </c>
      <c r="AJ10" s="1">
        <f>COUNTIFS('Base de données suivi des FEI'!$A:$A,"SAVS ",'Base de données suivi des FEI'!$I:$I,"Autres")</f>
        <v>0</v>
      </c>
      <c r="AK10" s="1">
        <f t="shared" si="4"/>
        <v>0</v>
      </c>
    </row>
    <row r="11" spans="1:37" x14ac:dyDescent="0.25">
      <c r="A11" s="7" t="s">
        <v>31</v>
      </c>
      <c r="B11" s="1" t="e">
        <f>COUNTIFS('Base de données suivi des FEI'!A:A,"FOYER M.DARTY",'Base de données suivi des FEI'!H:H,"Atteinte_personne",'Base de données suivi des FEI'!#REF!,)</f>
        <v>#REF!</v>
      </c>
      <c r="C11" s="1" t="e">
        <f>COUNTIFS('Base de données suivi des FEI'!A:A,"FOYER M.DARTY",'Base de données suivi des FEI'!H:H,"Problème_soins ",'Base de données suivi des FEI'!#REF!,)</f>
        <v>#REF!</v>
      </c>
      <c r="D11" s="1">
        <f>COUNTIFS('Base de données suivi des FEI'!$A:$A,"FOYER M.DARTY",'Base de données suivi des FEI'!$H:$H,"Problème_logistique_hotellerie")</f>
        <v>0</v>
      </c>
      <c r="E11" s="1">
        <f>COUNTIFS('Base de données suivi des FEI'!$A:$A,"FOYER M.DARTY",'Base de données suivi des FEI'!$H:$H,"Atteinte_aux_biens ")</f>
        <v>0</v>
      </c>
      <c r="F11" s="8" t="e">
        <f t="shared" si="0"/>
        <v>#REF!</v>
      </c>
      <c r="H11" s="6"/>
      <c r="I11" s="4"/>
      <c r="J11" s="4"/>
      <c r="K11" s="4"/>
      <c r="L11" s="4"/>
      <c r="M11" s="4"/>
      <c r="N11" s="2" t="s">
        <v>31</v>
      </c>
      <c r="O11" s="1">
        <f>COUNTIFS('Base de données suivi des FEI'!$A:$A,"FOYER M.DARTY",'Base de données suivi des FEI'!$I:$I,"Physique")</f>
        <v>0</v>
      </c>
      <c r="P11" s="1">
        <f>COUNTIFS('Base de données suivi des FEI'!$A:$A,"FOYER M.DARTY",'Base de données suivi des FEI'!$I:$I,"Psychique")</f>
        <v>0</v>
      </c>
      <c r="Q11" s="1">
        <f>COUNTIFS('Base de données suivi des FEI'!$A:$A,"FOYER M.DARTY",'Base de données suivi des FEI'!$I:$I,"Entre résidents")</f>
        <v>0</v>
      </c>
      <c r="R11" s="1">
        <f>COUNTIFS('Base de données suivi des FEI'!$A:$A,"FOYER M.DARTY",'Base de données suivi des FEI'!$I:$I,"Professionnel envers résidents")</f>
        <v>0</v>
      </c>
      <c r="S11" s="1">
        <f>COUNTIFS('Base de données suivi des FEI'!$A:$A,"FOYER M.DARTY",'Base de données suivi des FEI'!$I:$I,"Résident envers professionnels")</f>
        <v>0</v>
      </c>
      <c r="T11" s="1">
        <f>COUNTIFS('Base de données suivi des FEI'!$A:$A,"FOYER M.DARTY",'Base de données suivi des FEI'!$I:$I,"Contre elle-même")</f>
        <v>0</v>
      </c>
      <c r="U11" s="1">
        <f>COUNTIFS('Base de données suivi des FEI'!$A:$A,"FOYER M.DARTY",'Base de données suivi des FEI'!$I:$I,"Autres")</f>
        <v>0</v>
      </c>
      <c r="V11" s="1">
        <f t="shared" si="1"/>
        <v>0</v>
      </c>
      <c r="W11" s="1">
        <f>COUNTIFS('Base de données suivi des FEI'!$A:$A,"FOYER M.DARTY",'Base de données suivi des FEI'!$I:$I,"Erreur médicamenteuse")</f>
        <v>0</v>
      </c>
      <c r="X11" s="5">
        <f>COUNTIFS('Base de données suivi des FEI'!$A:$A,"FOYER M.DARTY",'Base de données suivi des FEI'!$I:$I,"Matériel")</f>
        <v>0</v>
      </c>
      <c r="Y11" s="5">
        <f>COUNTIFS('Base de données suivi des FEI'!$A:$A,"FOYER M.DARTY",'Base de données suivi des FEI'!$I:$I,"Autre")</f>
        <v>0</v>
      </c>
      <c r="Z11" s="1">
        <f t="shared" si="2"/>
        <v>0</v>
      </c>
      <c r="AA11" s="1">
        <f>COUNTIFS('Base de données suivi des FEI'!$A:$A,"FOYER M.DARTY",'Base de données suivi des FEI'!$I:$I,"Restauration")</f>
        <v>0</v>
      </c>
      <c r="AB11" s="1">
        <f>COUNTIFS('Base de données suivi des FEI'!$A:$A,"FOYER M.DARTY",'Base de données suivi des FEI'!$I:$I,"Linge")</f>
        <v>0</v>
      </c>
      <c r="AC11" s="1">
        <f>COUNTIFS('Base de données suivi des FEI'!$A:$A,"FOYER M.DARTY",'Base de données suivi des FEI'!$I:$I,"Entretien")</f>
        <v>0</v>
      </c>
      <c r="AD11" s="1">
        <f>COUNTIFS('Base de données suivi des FEI'!$A:$A,"FOYER M.DARTY",'Base de données suivi des FEI'!$I:$I,"Panne")</f>
        <v>0</v>
      </c>
      <c r="AE11" s="1">
        <f>COUNTIFS('Base de données suivi des FEI'!$A:$A,"FOYER M.DARTY",'Base de données suivi des FEI'!$I:$I,"Autres")</f>
        <v>0</v>
      </c>
      <c r="AF11" s="1">
        <f t="shared" si="3"/>
        <v>0</v>
      </c>
      <c r="AG11" s="1">
        <f>COUNTIFS('Base de données suivi des FEI'!$A:$A,"FOYER M.DARTY",'Base de données suivi des FEI'!$I:$I,"Vols et dégradation")</f>
        <v>0</v>
      </c>
      <c r="AH11" s="1">
        <f>COUNTIFS('Base de données suivi des FEI'!$A:$A,"FOYER M.DARTY",'Base de données suivi des FEI'!$I:$I,"Inondation")</f>
        <v>0</v>
      </c>
      <c r="AI11" s="1">
        <f>COUNTIFS('Base de données suivi des FEI'!$A:$A,"FOYER M.DARTY",'Base de données suivi des FEI'!$I:$I,"Départ de feu")</f>
        <v>0</v>
      </c>
      <c r="AJ11" s="1">
        <f>COUNTIFS('Base de données suivi des FEI'!$A:$A,"FOYER M.DARTY",'Base de données suivi des FEI'!$I:$I,"Autres")</f>
        <v>0</v>
      </c>
      <c r="AK11" s="1">
        <f t="shared" si="4"/>
        <v>0</v>
      </c>
    </row>
    <row r="12" spans="1:37" ht="30" x14ac:dyDescent="0.25">
      <c r="A12" s="7" t="s">
        <v>32</v>
      </c>
      <c r="B12" s="1" t="e">
        <f>COUNTIFS('Base de données suivi des FEI'!A:A,"FOYER POINT DU JOUR",'Base de données suivi des FEI'!H:H,"Atteinte_personne",'Base de données suivi des FEI'!#REF!,)</f>
        <v>#REF!</v>
      </c>
      <c r="C12" s="1" t="e">
        <f>COUNTIFS('Base de données suivi des FEI'!A:A,"FOYER POINT DU JOUR",'Base de données suivi des FEI'!H:H,"Problème_soins ",'Base de données suivi des FEI'!#REF!,)</f>
        <v>#REF!</v>
      </c>
      <c r="D12" s="1">
        <f>COUNTIFS('Base de données suivi des FEI'!$A:$A,"FOYER POINTDU JOUR",'Base de données suivi des FEI'!$H:$H,"Problème_logistique_hotellerie")</f>
        <v>0</v>
      </c>
      <c r="E12" s="1">
        <f>COUNTIFS('Base de données suivi des FEI'!$A:$A,"FOYER POINT DU JOUR",'Base de données suivi des FEI'!$H:$H,"Atteinte_aux_biens ")</f>
        <v>0</v>
      </c>
      <c r="F12" s="8" t="e">
        <f t="shared" si="0"/>
        <v>#REF!</v>
      </c>
      <c r="N12" s="2" t="s">
        <v>32</v>
      </c>
      <c r="O12" s="1">
        <f>COUNTIFS('Base de données suivi des FEI'!$A:$A,"FOYER POINT DU JOUR",'Base de données suivi des FEI'!$I:$I,"Physique")</f>
        <v>0</v>
      </c>
      <c r="P12" s="1">
        <f>COUNTIFS('Base de données suivi des FEI'!$A:$A,"FOYER POINT DU JOUR",'Base de données suivi des FEI'!$I:$I,"Psychique")</f>
        <v>0</v>
      </c>
      <c r="Q12" s="1">
        <f>COUNTIFS('Base de données suivi des FEI'!$A:$A,"FOYER POINT DU JOUR",'Base de données suivi des FEI'!$I:$I,"Entre résidents")</f>
        <v>0</v>
      </c>
      <c r="R12" s="1">
        <f>COUNTIFS('Base de données suivi des FEI'!$A:$A,"FOYER POINT DU JOUR",'Base de données suivi des FEI'!$I:$I,"Professionnel envers résidents")</f>
        <v>0</v>
      </c>
      <c r="S12" s="1">
        <f>COUNTIFS('Base de données suivi des FEI'!$A:$A,"FOYER POINT DU JOUR",'Base de données suivi des FEI'!$I:$I,"Résident envers professionnels")</f>
        <v>0</v>
      </c>
      <c r="T12" s="1">
        <f>COUNTIFS('Base de données suivi des FEI'!$A:$A,"FOYER POINT DU JOUR",'Base de données suivi des FEI'!$I:$I,"Contre elle-même")</f>
        <v>0</v>
      </c>
      <c r="U12" s="1">
        <f>COUNTIFS('Base de données suivi des FEI'!$A:$A,"FOYER POINT DU JOUR",'Base de données suivi des FEI'!$I:$I,"Autres")</f>
        <v>0</v>
      </c>
      <c r="V12" s="1">
        <f t="shared" si="1"/>
        <v>0</v>
      </c>
      <c r="W12" s="1">
        <f>COUNTIFS('Base de données suivi des FEI'!$A:$A,"FOYER POINT DU JOUR",'Base de données suivi des FEI'!$I:$I,"Erreur médicamenteuse")</f>
        <v>0</v>
      </c>
      <c r="X12" s="5">
        <f>COUNTIFS('Base de données suivi des FEI'!$A:$A,"FOYER POINT DU JOUR",'Base de données suivi des FEI'!$I:$I,"Matériel")</f>
        <v>0</v>
      </c>
      <c r="Y12" s="5">
        <f>COUNTIFS('Base de données suivi des FEI'!$A:$A,"FOYER POINT DU JOUR",'Base de données suivi des FEI'!$I:$I,"Autre")</f>
        <v>0</v>
      </c>
      <c r="Z12" s="1">
        <f t="shared" si="2"/>
        <v>0</v>
      </c>
      <c r="AA12" s="1">
        <f>COUNTIFS('Base de données suivi des FEI'!$A:$A,"FOYER POINT DU JOUR",'Base de données suivi des FEI'!$I:$I,"Restauration")</f>
        <v>0</v>
      </c>
      <c r="AB12" s="1">
        <f>COUNTIFS('Base de données suivi des FEI'!$A:$A,"FOYER POINT DU JOUR",'Base de données suivi des FEI'!$I:$I,"Linge")</f>
        <v>0</v>
      </c>
      <c r="AC12" s="1">
        <f>COUNTIFS('Base de données suivi des FEI'!$A:$A,"FOYER POINT DU JOUR",'Base de données suivi des FEI'!$I:$I,"Entretien")</f>
        <v>0</v>
      </c>
      <c r="AD12" s="1">
        <f>COUNTIFS('Base de données suivi des FEI'!$A:$A,"FOYER POINT DU JOUR",'Base de données suivi des FEI'!$I:$I,"Panne")</f>
        <v>0</v>
      </c>
      <c r="AE12" s="1">
        <f>COUNTIFS('Base de données suivi des FEI'!$A:$A,"FOYER POINT DU JOUR",'Base de données suivi des FEI'!$I:$I,"Autres")</f>
        <v>0</v>
      </c>
      <c r="AF12" s="1">
        <f t="shared" si="3"/>
        <v>0</v>
      </c>
      <c r="AG12" s="1">
        <f>COUNTIFS('Base de données suivi des FEI'!$A:$A,"FOYER POINT DU JOUR",'Base de données suivi des FEI'!$I:$I,"Vols et dégradation")</f>
        <v>0</v>
      </c>
      <c r="AH12" s="1">
        <f>COUNTIFS('Base de données suivi des FEI'!$A:$A,"FOYER POINT DU JOUR",'Base de données suivi des FEI'!$I:$I,"Inondation")</f>
        <v>0</v>
      </c>
      <c r="AI12" s="1">
        <f>COUNTIFS('Base de données suivi des FEI'!$A:$A,"FOYER POINT DU JOUR",'Base de données suivi des FEI'!$I:$I,"Départ de feu")</f>
        <v>0</v>
      </c>
      <c r="AJ12" s="1">
        <f>COUNTIFS('Base de données suivi des FEI'!$A:$A,"FOYER POINT DU JOUR",'Base de données suivi des FEI'!$I:$I,"Autres")</f>
        <v>0</v>
      </c>
      <c r="AK12" s="1">
        <f t="shared" si="4"/>
        <v>0</v>
      </c>
    </row>
    <row r="13" spans="1:37" x14ac:dyDescent="0.25">
      <c r="A13" s="7" t="s">
        <v>50</v>
      </c>
      <c r="B13" s="1" t="e">
        <f>COUNTIFS('Base de données suivi des FEI'!A:A,"FOYER ERIC",'Base de données suivi des FEI'!H:H,"Atteinte_personne",'Base de données suivi des FEI'!#REF!,)</f>
        <v>#REF!</v>
      </c>
      <c r="C13" s="1" t="e">
        <f>COUNTIFS('Base de données suivi des FEI'!A:A,"FOYER ERIC",'Base de données suivi des FEI'!H:H,"Problème_soins ",'Base de données suivi des FEI'!#REF!,)</f>
        <v>#REF!</v>
      </c>
      <c r="D13" s="1">
        <f>COUNTIFS('Base de données suivi des FEI'!$A:$A,"FOYER ERIC",'Base de données suivi des FEI'!$H:$H,"Problème_logistique_hotellerie")</f>
        <v>0</v>
      </c>
      <c r="E13" s="1">
        <f>COUNTIFS('Base de données suivi des FEI'!$A:$A,"FOYER ERIC",'Base de données suivi des FEI'!$H:$H,"Atteinte_aux_biens ")</f>
        <v>0</v>
      </c>
      <c r="F13" s="8" t="e">
        <f t="shared" si="0"/>
        <v>#REF!</v>
      </c>
      <c r="N13" s="2"/>
      <c r="O13" s="1"/>
      <c r="P13" s="1"/>
      <c r="Q13" s="1"/>
      <c r="R13" s="1"/>
      <c r="S13" s="1"/>
      <c r="T13" s="1"/>
      <c r="U13" s="1"/>
      <c r="V13" s="1"/>
      <c r="W13" s="1"/>
      <c r="X13" s="5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ht="30" x14ac:dyDescent="0.25">
      <c r="A14" s="7" t="s">
        <v>33</v>
      </c>
      <c r="B14" s="1" t="e">
        <f>COUNTIFS('Base de données suivi des FEI'!A:A,"FAM BILLANCOURT",'Base de données suivi des FEI'!H:H,"Atteinte_personne",'Base de données suivi des FEI'!#REF!,)</f>
        <v>#REF!</v>
      </c>
      <c r="C14" s="1" t="e">
        <f>COUNTIFS('Base de données suivi des FEI'!A:A,"FAM BILLANCOURT",'Base de données suivi des FEI'!H:H,"Problème_soins ",'Base de données suivi des FEI'!#REF!,)</f>
        <v>#REF!</v>
      </c>
      <c r="D14" s="1">
        <f>COUNTIFS('Base de données suivi des FEI'!$A:$A,"FAM BILLANCOURT",'Base de données suivi des FEI'!$H:$H,"Problème_logistique_hotellerie")</f>
        <v>0</v>
      </c>
      <c r="E14" s="1">
        <f>COUNTIFS('Base de données suivi des FEI'!$A:$A,"FAM BILLANCOURT",'Base de données suivi des FEI'!$H:$H,"Atteinte_aux_biens ")</f>
        <v>0</v>
      </c>
      <c r="F14" s="8" t="e">
        <f t="shared" si="0"/>
        <v>#REF!</v>
      </c>
      <c r="N14" s="2" t="s">
        <v>33</v>
      </c>
      <c r="O14" s="1">
        <f>COUNTIFS('Base de données suivi des FEI'!$A:$A,"FAM BILLANCOURT",'Base de données suivi des FEI'!$I:$I,"Physique")</f>
        <v>0</v>
      </c>
      <c r="P14" s="1">
        <f>COUNTIFS('Base de données suivi des FEI'!$A:$A,"FAM BILLANCOURT",'Base de données suivi des FEI'!$I:$I,"Psychique")</f>
        <v>0</v>
      </c>
      <c r="Q14" s="1">
        <f>COUNTIFS('Base de données suivi des FEI'!$A:$A,"FAM BILLANCOURT",'Base de données suivi des FEI'!$I:$I,"Entre résidents")</f>
        <v>0</v>
      </c>
      <c r="R14" s="1">
        <f>COUNTIFS('Base de données suivi des FEI'!$A:$A,"FAM BILLANCOURT",'Base de données suivi des FEI'!$I:$I,"Professionnel envers résidents")</f>
        <v>0</v>
      </c>
      <c r="S14" s="1">
        <f>COUNTIFS('Base de données suivi des FEI'!$A:$A,"FAM BILLANCOURT",'Base de données suivi des FEI'!$I:$I,"Résident envers professionnels")</f>
        <v>0</v>
      </c>
      <c r="T14" s="1">
        <f>COUNTIFS('Base de données suivi des FEI'!$A:$A,"FAM BILLANCOURT",'Base de données suivi des FEI'!$I:$I,"Contre elle-même")</f>
        <v>0</v>
      </c>
      <c r="U14" s="1">
        <f>COUNTIFS('Base de données suivi des FEI'!$A:$A,"FAM BILLANCOURT",'Base de données suivi des FEI'!$I:$I,"Autres")</f>
        <v>0</v>
      </c>
      <c r="V14" s="1">
        <f>SUM(O14:U14)</f>
        <v>0</v>
      </c>
      <c r="W14" s="1">
        <f>COUNTIFS('Base de données suivi des FEI'!$A:$A,"FAM BILLANCOURT",'Base de données suivi des FEI'!$I:$I,"Erreur médicamenteuse")</f>
        <v>0</v>
      </c>
      <c r="X14" s="5">
        <f>COUNTIFS('Base de données suivi des FEI'!$A:$A,"FAM BILLANCOURT",'Base de données suivi des FEI'!$I:$I,"Matériel")</f>
        <v>0</v>
      </c>
      <c r="Y14" s="5">
        <f>COUNTIFS('Base de données suivi des FEI'!$A:$A,"FAM BILLANCOURT",'Base de données suivi des FEI'!$I:$I,"Autre")</f>
        <v>0</v>
      </c>
      <c r="Z14" s="1">
        <f t="shared" si="2"/>
        <v>0</v>
      </c>
      <c r="AA14" s="1">
        <f>COUNTIFS('Base de données suivi des FEI'!$A:$A,"FAM BILLANCOURT",'Base de données suivi des FEI'!$I:$I,"Restauration")</f>
        <v>0</v>
      </c>
      <c r="AB14" s="1">
        <f>COUNTIFS('Base de données suivi des FEI'!$A:$A,"FAM BILLANCOURT",'Base de données suivi des FEI'!$I:$I,"Linge")</f>
        <v>0</v>
      </c>
      <c r="AC14" s="1">
        <f>COUNTIFS('Base de données suivi des FEI'!$A:$A,"FAM BILLANCOURT",'Base de données suivi des FEI'!$I:$I,"Entretien")</f>
        <v>0</v>
      </c>
      <c r="AD14" s="1">
        <f>COUNTIFS('Base de données suivi des FEI'!$A:$A,"FAM BILLANCOURT",'Base de données suivi des FEI'!$I:$I,"Panne")</f>
        <v>0</v>
      </c>
      <c r="AE14" s="1">
        <f>COUNTIFS('Base de données suivi des FEI'!$A:$A,"FAM BILLANCOURT",'Base de données suivi des FEI'!$I:$I,"Autres")</f>
        <v>0</v>
      </c>
      <c r="AF14" s="1">
        <f t="shared" si="3"/>
        <v>0</v>
      </c>
      <c r="AG14" s="1">
        <f>COUNTIFS('Base de données suivi des FEI'!$A:$A,"FAM BILLANCOURT",'Base de données suivi des FEI'!$I:$I,"Vols et dégradation")</f>
        <v>0</v>
      </c>
      <c r="AH14" s="1">
        <f>COUNTIFS('Base de données suivi des FEI'!$A:$A,"FAM BILLANCOURT",'Base de données suivi des FEI'!$I:$I,"Inondation")</f>
        <v>0</v>
      </c>
      <c r="AI14" s="1">
        <f>COUNTIFS('Base de données suivi des FEI'!$A:$A,"FAM BILLANCOURT",'Base de données suivi des FEI'!$I:$I,"Départ de feu")</f>
        <v>0</v>
      </c>
      <c r="AJ14" s="1">
        <f>COUNTIFS('Base de données suivi des FEI'!$A:$A,"FAM BILLANCOURT",'Base de données suivi des FEI'!$I:$I,"Autres")</f>
        <v>0</v>
      </c>
      <c r="AK14" s="1">
        <f t="shared" si="4"/>
        <v>0</v>
      </c>
    </row>
    <row r="15" spans="1:37" ht="30" x14ac:dyDescent="0.25">
      <c r="A15" s="7" t="s">
        <v>34</v>
      </c>
      <c r="B15" s="1" t="e">
        <f>COUNTIFS('Base de données suivi des FEI'!A:A,"ESAT YVONNE WENDLING",'Base de données suivi des FEI'!H:H,"Atteinte_personne",'Base de données suivi des FEI'!#REF!,)</f>
        <v>#REF!</v>
      </c>
      <c r="C15" s="1" t="e">
        <f>COUNTIFS('Base de données suivi des FEI'!A:A,"ESAT YVONNE WENDLING",'Base de données suivi des FEI'!H:H,"Problème_soins ",'Base de données suivi des FEI'!#REF!,)</f>
        <v>#REF!</v>
      </c>
      <c r="D15" s="1">
        <f>COUNTIFS('Base de données suivi des FEI'!$A:$A,"ESAT YVONNE WENDLING",'Base de données suivi des FEI'!$H:$H,"Problème_logistique_hotellerie")</f>
        <v>0</v>
      </c>
      <c r="E15" s="1">
        <f>COUNTIFS('Base de données suivi des FEI'!$A:$A,"ESAT YVONNE WENDLING",'Base de données suivi des FEI'!$H:$H,"Atteinte_aux_biens ")</f>
        <v>0</v>
      </c>
      <c r="F15" s="8" t="e">
        <f t="shared" si="0"/>
        <v>#REF!</v>
      </c>
      <c r="N15" s="2" t="s">
        <v>35</v>
      </c>
      <c r="O15" s="1">
        <f>COUNTIFS('Base de données suivi des FEI'!$A:$A,"ESAT YVONNE WENDLING",'Base de données suivi des FEI'!$I:$I,"Physique")</f>
        <v>0</v>
      </c>
      <c r="P15" s="1">
        <f>COUNTIFS('Base de données suivi des FEI'!$A:$A,"ESAT YVONNE WENDLING",'Base de données suivi des FEI'!$I:$I,"Psychique")</f>
        <v>0</v>
      </c>
      <c r="Q15" s="1">
        <f>COUNTIFS('Base de données suivi des FEI'!$A:$A,"ESAT YVONNE WENDLING",'Base de données suivi des FEI'!$I:$I,"Entre résidents")</f>
        <v>0</v>
      </c>
      <c r="R15" s="1">
        <f>COUNTIFS('Base de données suivi des FEI'!$A:$A,"ESAT YVONNE WENDLING",'Base de données suivi des FEI'!$I:$I,"Professionnel envers résidents")</f>
        <v>0</v>
      </c>
      <c r="S15" s="1">
        <f>COUNTIFS('Base de données suivi des FEI'!$A:$A,"ESAT YVONNE WENDLING",'Base de données suivi des FEI'!$I:$I,"Résident envers professionnels")</f>
        <v>0</v>
      </c>
      <c r="T15" s="1">
        <f>COUNTIFS('Base de données suivi des FEI'!$A:$A,"ESAT YVONNE WENDLING",'Base de données suivi des FEI'!$I:$I,"Contre elle-même")</f>
        <v>0</v>
      </c>
      <c r="U15" s="1">
        <f>COUNTIFS('Base de données suivi des FEI'!$A:$A,"ESAT YVONNE WENDLING",'Base de données suivi des FEI'!$I:$I,"Autres")</f>
        <v>0</v>
      </c>
      <c r="V15" s="1">
        <f t="shared" si="1"/>
        <v>0</v>
      </c>
      <c r="W15" s="1">
        <f>COUNTIFS('Base de données suivi des FEI'!$A:$A,"ESAT YVONNE WENDLING",'Base de données suivi des FEI'!$I:$I,"Erreur médicamenteuse")</f>
        <v>0</v>
      </c>
      <c r="X15" s="5">
        <f>COUNTIFS('Base de données suivi des FEI'!$A:$A,"FAM BILLANCOURT",'Base de données suivi des FEI'!$I:$I,"Matériel")</f>
        <v>0</v>
      </c>
      <c r="Y15" s="5">
        <f>COUNTIFS('Base de données suivi des FEI'!$A:$A,"FAM BILLANCOURT",'Base de données suivi des FEI'!$I:$I,"Autre")</f>
        <v>0</v>
      </c>
      <c r="Z15" s="1">
        <f t="shared" si="2"/>
        <v>0</v>
      </c>
      <c r="AA15" s="1">
        <f>COUNTIFS('Base de données suivi des FEI'!$A:$A,"ESAT YVONNE WENDLING",'Base de données suivi des FEI'!$I:$I,"Restauration")</f>
        <v>0</v>
      </c>
      <c r="AB15" s="1">
        <f>COUNTIFS('Base de données suivi des FEI'!$A:$A,"ESAT YVONNE WENDLING",'Base de données suivi des FEI'!$I:$I,"Linge")</f>
        <v>0</v>
      </c>
      <c r="AC15" s="1">
        <f>COUNTIFS('Base de données suivi des FEI'!$A:$A,"ESAT YVONNE WENDLING",'Base de données suivi des FEI'!$I:$I,"Entretien")</f>
        <v>0</v>
      </c>
      <c r="AD15" s="1">
        <f>COUNTIFS('Base de données suivi des FEI'!$A:$A,"ESAT YVONNE WENDLING",'Base de données suivi des FEI'!$I:$I,"Panne")</f>
        <v>0</v>
      </c>
      <c r="AE15" s="1">
        <f>COUNTIFS('Base de données suivi des FEI'!$A:$A,"ESAT YVONNE WENDLING",'Base de données suivi des FEI'!$I:$I,"Autres")</f>
        <v>0</v>
      </c>
      <c r="AF15" s="1">
        <f t="shared" si="3"/>
        <v>0</v>
      </c>
      <c r="AG15" s="1">
        <f>COUNTIFS('Base de données suivi des FEI'!$A:$A,"ESAT YVONNE WENDLING",'Base de données suivi des FEI'!$I:$I,"Vols et dégradation")</f>
        <v>0</v>
      </c>
      <c r="AH15" s="1">
        <f>COUNTIFS('Base de données suivi des FEI'!$A:$A,"ESAT YVONNE WENDLING",'Base de données suivi des FEI'!$I:$I,"Inondation")</f>
        <v>0</v>
      </c>
      <c r="AI15" s="1">
        <f>COUNTIFS('Base de données suivi des FEI'!$A:$A,"ESAT YVONNE WENDLING",'Base de données suivi des FEI'!$I:$I,"Départ de feu")</f>
        <v>0</v>
      </c>
      <c r="AJ15" s="1">
        <f>COUNTIFS('Base de données suivi des FEI'!$A:$A,"ESAT YVONNE WENDLING",'Base de données suivi des FEI'!$I:$I,"Autres")</f>
        <v>0</v>
      </c>
      <c r="AK15" s="1">
        <f t="shared" si="4"/>
        <v>0</v>
      </c>
    </row>
    <row r="16" spans="1:37" ht="30" x14ac:dyDescent="0.25">
      <c r="A16" s="7" t="s">
        <v>35</v>
      </c>
      <c r="B16" s="1" t="e">
        <f>COUNTIFS('Base de données suivi des FEI'!A:A,"ESAT GEORGES DAGNEAUX",'Base de données suivi des FEI'!H:H,"Atteinte_personne",'Base de données suivi des FEI'!#REF!,)</f>
        <v>#REF!</v>
      </c>
      <c r="C16" s="1" t="e">
        <f>COUNTIFS('Base de données suivi des FEI'!A:A,"ESAT GEORGES DAGNEAUX",'Base de données suivi des FEI'!H:H,"Problème_soins ",'Base de données suivi des FEI'!#REF!,)</f>
        <v>#REF!</v>
      </c>
      <c r="D16" s="1">
        <f>COUNTIFS('Base de données suivi des FEI'!$A:$A,"ESAT GEORGES DAGNEAUX",'Base de données suivi des FEI'!$H:$H,"Problème_logistique_hotellerie")</f>
        <v>0</v>
      </c>
      <c r="E16" s="1">
        <f>COUNTIFS('Base de données suivi des FEI'!$A:$A,"ESAT GEORGES DAGNEAUX",'Base de données suivi des FEI'!$H:$H,"Atteinte_aux_biens ")</f>
        <v>0</v>
      </c>
      <c r="F16" s="8" t="e">
        <f t="shared" si="0"/>
        <v>#REF!</v>
      </c>
      <c r="N16" s="2" t="s">
        <v>35</v>
      </c>
      <c r="O16" s="1">
        <f>COUNTIFS('Base de données suivi des FEI'!$A:$A,"ESAT GEORGES DAGNEAUX",'Base de données suivi des FEI'!$I:$I,"Physique")</f>
        <v>0</v>
      </c>
      <c r="P16" s="1">
        <f>COUNTIFS('Base de données suivi des FEI'!$A:$A,"ESAT GEORGES DAGNEAUX",'Base de données suivi des FEI'!$I:$I,"Psychique")</f>
        <v>0</v>
      </c>
      <c r="Q16" s="1">
        <f>COUNTIFS('Base de données suivi des FEI'!$A:$A,"ESAT GEORGES DAGNEAUX",'Base de données suivi des FEI'!$I:$I,"Entre résidents")</f>
        <v>0</v>
      </c>
      <c r="R16" s="1">
        <f>COUNTIFS('Base de données suivi des FEI'!$A:$A,"ESAT GEORGES DAGNEAUX",'Base de données suivi des FEI'!$I:$I,"Professionnel envers résidents")</f>
        <v>0</v>
      </c>
      <c r="S16" s="1">
        <f>COUNTIFS('Base de données suivi des FEI'!$A:$A,"ESAT GEORGES DAGNEAUX",'Base de données suivi des FEI'!$I:$I,"Résident envers professionnels")</f>
        <v>0</v>
      </c>
      <c r="T16" s="1">
        <f>COUNTIFS('Base de données suivi des FEI'!$A:$A,"ESAT GEORGES DAGNEAUX",'Base de données suivi des FEI'!$I:$I,"Contre elle-même")</f>
        <v>0</v>
      </c>
      <c r="U16" s="1">
        <f>COUNTIFS('Base de données suivi des FEI'!$A:$A,"ESAT GEORGES DAGNEAUX",'Base de données suivi des FEI'!$I:$I,"Autres")</f>
        <v>0</v>
      </c>
      <c r="V16" s="1">
        <f t="shared" si="1"/>
        <v>0</v>
      </c>
      <c r="W16" s="1">
        <f>COUNTIFS('Base de données suivi des FEI'!$A:$A,"ESAT GEORGES DAGNEAUX",'Base de données suivi des FEI'!$I:$I,"Erreur médicamenteuse")</f>
        <v>0</v>
      </c>
      <c r="X16" s="5">
        <f>COUNTIFS('Base de données suivi des FEI'!$A:$A,"ESAT GEORGES DAGNEAUX",'Base de données suivi des FEI'!$I:$I,"Matériel")</f>
        <v>0</v>
      </c>
      <c r="Y16" s="5">
        <f>COUNTIFS('Base de données suivi des FEI'!$A:$A,"ESAT GEORGES DAGNEAUX",'Base de données suivi des FEI'!$I:$I,"Autre")</f>
        <v>0</v>
      </c>
      <c r="Z16" s="1">
        <f t="shared" si="2"/>
        <v>0</v>
      </c>
      <c r="AA16" s="1">
        <f>COUNTIFS('Base de données suivi des FEI'!$A:$A,"ESAT GEORGES DAGNEAUX",'Base de données suivi des FEI'!$I:$I,"Restauration")</f>
        <v>0</v>
      </c>
      <c r="AB16" s="1">
        <f>COUNTIFS('Base de données suivi des FEI'!$A:$A,"ESAT GEORGES DAGNEAUX",'Base de données suivi des FEI'!$I:$I,"Linge")</f>
        <v>0</v>
      </c>
      <c r="AC16" s="1">
        <f>COUNTIFS('Base de données suivi des FEI'!$A:$A,"ESAT GEORGES DAGNEAUX",'Base de données suivi des FEI'!$I:$I,"Entretien")</f>
        <v>0</v>
      </c>
      <c r="AD16" s="1">
        <f>COUNTIFS('Base de données suivi des FEI'!$A:$A,"ESAT GEORGES DAGNEAUX",'Base de données suivi des FEI'!$I:$I,"Panne")</f>
        <v>0</v>
      </c>
      <c r="AE16" s="1">
        <f>COUNTIFS('Base de données suivi des FEI'!$A:$A,"ESAT GEORGES DAGNEAUX",'Base de données suivi des FEI'!$I:$I,"Autres")</f>
        <v>0</v>
      </c>
      <c r="AF16" s="1">
        <f t="shared" si="3"/>
        <v>0</v>
      </c>
      <c r="AG16" s="1">
        <f>COUNTIFS('Base de données suivi des FEI'!$A:$A,"ESAT GEORGES DAGNEAUX",'Base de données suivi des FEI'!$I:$I,"Vols et dégradation")</f>
        <v>0</v>
      </c>
      <c r="AH16" s="1">
        <f>COUNTIFS('Base de données suivi des FEI'!$A:$A,"ESAT GEORGES DAGNEAUX",'Base de données suivi des FEI'!$I:$I,"Inondation")</f>
        <v>0</v>
      </c>
      <c r="AI16" s="1">
        <f>COUNTIFS('Base de données suivi des FEI'!$A:$A,"ESAT GEORGES DAGNEAUX",'Base de données suivi des FEI'!$I:$I,"Départ de feu")</f>
        <v>0</v>
      </c>
      <c r="AJ16" s="1">
        <f>COUNTIFS('Base de données suivi des FEI'!$A:$A,"ESAT GEORGES DAGNEAUX",'Base de données suivi des FEI'!$I:$I,"Autres")</f>
        <v>0</v>
      </c>
      <c r="AK16" s="1">
        <f t="shared" si="4"/>
        <v>0</v>
      </c>
    </row>
    <row r="17" spans="1:37" ht="30.75" thickBot="1" x14ac:dyDescent="0.3">
      <c r="A17" s="9" t="s">
        <v>36</v>
      </c>
      <c r="B17" s="1" t="e">
        <f>COUNTIFS('Base de données suivi des FEI'!A:A,"ESAT SUZANNE LAWSON",'Base de données suivi des FEI'!H:H,"Atteinte_personne",'Base de données suivi des FEI'!#REF!,)</f>
        <v>#REF!</v>
      </c>
      <c r="C17" s="1" t="e">
        <f>COUNTIFS('Base de données suivi des FEI'!A:A,"ESAT SUZANNE LAWSON",'Base de données suivi des FEI'!H:H,"Problème_soins ",'Base de données suivi des FEI'!#REF!,)</f>
        <v>#REF!</v>
      </c>
      <c r="D17" s="1">
        <f>COUNTIFS('Base de données suivi des FEI'!$A:$A,"ESAT SUZANNE LAWSON",'Base de données suivi des FEI'!$H:$H,"Problème_logistique_hotellerie")</f>
        <v>0</v>
      </c>
      <c r="E17" s="1">
        <f>COUNTIFS('Base de données suivi des FEI'!$A:$A,"ESAT SUZANNE LAWSON",'Base de données suivi des FEI'!$H:$H,"Atteinte_aux_biens ")</f>
        <v>0</v>
      </c>
      <c r="F17" s="10" t="e">
        <f t="shared" si="0"/>
        <v>#REF!</v>
      </c>
      <c r="N17" s="2" t="s">
        <v>36</v>
      </c>
      <c r="O17" s="1">
        <f>COUNTIFS('Base de données suivi des FEI'!$A:$A,"ESAT SUZANNE LAWSON",'Base de données suivi des FEI'!$I:$I,"Physique")</f>
        <v>0</v>
      </c>
      <c r="P17" s="1">
        <f>COUNTIFS('Base de données suivi des FEI'!$A:$A,"ESAT SUZANNE LAWSON",'Base de données suivi des FEI'!$I:$I,"Psychique")</f>
        <v>0</v>
      </c>
      <c r="Q17" s="1">
        <f>COUNTIFS('Base de données suivi des FEI'!$A:$A,"ESAT SUZANNE LAWSON",'Base de données suivi des FEI'!$I:$I,"Entre résidents")</f>
        <v>0</v>
      </c>
      <c r="R17" s="1">
        <f>COUNTIFS('Base de données suivi des FEI'!$A:$A,"ESAT SUZANNE LAWSON",'Base de données suivi des FEI'!$I:$I,"Professionnel envers résidents")</f>
        <v>0</v>
      </c>
      <c r="S17" s="1">
        <f>COUNTIFS('Base de données suivi des FEI'!$A:$A,"ESAT SUZANNE LAWSON",'Base de données suivi des FEI'!$I:$I,"Résident envers professionnels")</f>
        <v>0</v>
      </c>
      <c r="T17" s="1">
        <f>COUNTIFS('Base de données suivi des FEI'!$A:$A,"ESAT SUZANNE LAWSON",'Base de données suivi des FEI'!$I:$I,"Contre elle-même")</f>
        <v>0</v>
      </c>
      <c r="U17" s="1">
        <f>COUNTIFS('Base de données suivi des FEI'!$A:$A,"ESAT SUZANNE LAWSON",'Base de données suivi des FEI'!$I:$I,"Autres")</f>
        <v>0</v>
      </c>
      <c r="V17" s="1">
        <f t="shared" si="1"/>
        <v>0</v>
      </c>
      <c r="W17" s="1">
        <f>COUNTIFS('Base de données suivi des FEI'!$A:$A,"ESAT SUZANNE LAWSON",'Base de données suivi des FEI'!$I:$I,"Erreur médicamenteuse")</f>
        <v>0</v>
      </c>
      <c r="X17" s="5">
        <f>COUNTIFS('Base de données suivi des FEI'!$A:$A,"ESAT SUZANNE LAWSON",'Base de données suivi des FEI'!$I:$I,"Matériel")</f>
        <v>0</v>
      </c>
      <c r="Y17" s="5">
        <f>COUNTIFS('Base de données suivi des FEI'!$A:$A,"ESAT SUZANNE LAWSON",'Base de données suivi des FEI'!$I:$I,"Autre")</f>
        <v>0</v>
      </c>
      <c r="Z17" s="1">
        <f t="shared" si="2"/>
        <v>0</v>
      </c>
      <c r="AA17" s="1">
        <f>COUNTIFS('Base de données suivi des FEI'!$A:$A,"ESAT SUZANNE LAWSON",'Base de données suivi des FEI'!$I:$I,"Restauration")</f>
        <v>0</v>
      </c>
      <c r="AB17" s="1">
        <f>COUNTIFS('Base de données suivi des FEI'!$A:$A,"ESAT SUZANNE LAWSON",'Base de données suivi des FEI'!$I:$I,"Linge")</f>
        <v>0</v>
      </c>
      <c r="AC17" s="1">
        <f>COUNTIFS('Base de données suivi des FEI'!$A:$A,"ESAT SUZANNE LAWSON",'Base de données suivi des FEI'!$I:$I,"Entretien")</f>
        <v>0</v>
      </c>
      <c r="AD17" s="1">
        <f>COUNTIFS('Base de données suivi des FEI'!$A:$A,"ESAT SUZANNE LAWSON",'Base de données suivi des FEI'!$I:$I,"Panne")</f>
        <v>0</v>
      </c>
      <c r="AE17" s="1">
        <f>COUNTIFS('Base de données suivi des FEI'!$A:$A,"ESAT SUZANNE LAWSON",'Base de données suivi des FEI'!$I:$I,"Autres")</f>
        <v>0</v>
      </c>
      <c r="AF17" s="1">
        <f t="shared" si="3"/>
        <v>0</v>
      </c>
      <c r="AG17" s="1">
        <f>COUNTIFS('Base de données suivi des FEI'!$A:$A,"ESAT SUZANNE LAWSON",'Base de données suivi des FEI'!$I:$I,"Vols et dégradation")</f>
        <v>0</v>
      </c>
      <c r="AH17" s="1">
        <f>COUNTIFS('Base de données suivi des FEI'!$A:$A,"ESAT SUZANNE LAWSON",'Base de données suivi des FEI'!$I:$I,"Inondation")</f>
        <v>0</v>
      </c>
      <c r="AI17" s="1">
        <f>COUNTIFS('Base de données suivi des FEI'!$A:$A,"ESAT SUZANNE LAWSON",'Base de données suivi des FEI'!$I:$I,"Départ de feu")</f>
        <v>0</v>
      </c>
      <c r="AJ17" s="1">
        <f>COUNTIFS('Base de données suivi des FEI'!$A:$A,"ESAT SUZANNE LAWSON",'Base de données suivi des FEI'!$I:$I,"Autres")</f>
        <v>0</v>
      </c>
      <c r="AK17" s="1">
        <f t="shared" si="4"/>
        <v>0</v>
      </c>
    </row>
    <row r="18" spans="1:37" ht="15.75" thickBot="1" x14ac:dyDescent="0.3">
      <c r="A18" s="14" t="s">
        <v>42</v>
      </c>
      <c r="B18" s="11" t="e">
        <f>SUM(B3:B17)</f>
        <v>#REF!</v>
      </c>
      <c r="C18" s="11" t="e">
        <f>SUM(C3:C17)</f>
        <v>#REF!</v>
      </c>
      <c r="D18" s="11">
        <f>SUM(D3:D17)</f>
        <v>0</v>
      </c>
      <c r="E18" s="12">
        <f>SUM(E3:E17)</f>
        <v>0</v>
      </c>
      <c r="F18" s="13" t="e">
        <f t="shared" si="0"/>
        <v>#REF!</v>
      </c>
      <c r="N18" s="2" t="s">
        <v>42</v>
      </c>
      <c r="O18" s="1" t="e">
        <f t="shared" ref="O18:Y18" si="5">SUM(O3:O17)</f>
        <v>#REF!</v>
      </c>
      <c r="P18" s="1" t="e">
        <f t="shared" si="5"/>
        <v>#REF!</v>
      </c>
      <c r="Q18" s="1" t="e">
        <f t="shared" si="5"/>
        <v>#REF!</v>
      </c>
      <c r="R18" s="1" t="e">
        <f t="shared" si="5"/>
        <v>#REF!</v>
      </c>
      <c r="S18" s="1" t="e">
        <f t="shared" si="5"/>
        <v>#REF!</v>
      </c>
      <c r="T18" s="1" t="e">
        <f t="shared" si="5"/>
        <v>#REF!</v>
      </c>
      <c r="U18" s="1" t="e">
        <f t="shared" si="5"/>
        <v>#REF!</v>
      </c>
      <c r="V18" s="1" t="e">
        <f t="shared" si="5"/>
        <v>#REF!</v>
      </c>
      <c r="W18" s="1" t="e">
        <f t="shared" si="5"/>
        <v>#REF!</v>
      </c>
      <c r="X18" s="1" t="e">
        <f t="shared" si="5"/>
        <v>#REF!</v>
      </c>
      <c r="Y18" s="1" t="e">
        <f t="shared" si="5"/>
        <v>#REF!</v>
      </c>
      <c r="Z18" s="1" t="e">
        <f>SUM(W18:Y18)</f>
        <v>#REF!</v>
      </c>
      <c r="AA18" s="1" t="e">
        <f t="shared" ref="AA18:AK18" si="6">SUM(AA3:AA17)</f>
        <v>#REF!</v>
      </c>
      <c r="AB18" s="1" t="e">
        <f t="shared" si="6"/>
        <v>#REF!</v>
      </c>
      <c r="AC18" s="1" t="e">
        <f t="shared" si="6"/>
        <v>#REF!</v>
      </c>
      <c r="AD18" s="1" t="e">
        <f t="shared" si="6"/>
        <v>#REF!</v>
      </c>
      <c r="AE18" s="1" t="e">
        <f t="shared" si="6"/>
        <v>#REF!</v>
      </c>
      <c r="AF18" s="1" t="e">
        <f t="shared" si="6"/>
        <v>#REF!</v>
      </c>
      <c r="AG18" s="1" t="e">
        <f t="shared" si="6"/>
        <v>#REF!</v>
      </c>
      <c r="AH18" s="1">
        <f t="shared" si="6"/>
        <v>0</v>
      </c>
      <c r="AI18" s="1">
        <f t="shared" si="6"/>
        <v>0</v>
      </c>
      <c r="AJ18" s="1">
        <f t="shared" si="6"/>
        <v>0</v>
      </c>
      <c r="AK18" s="1" t="e">
        <f t="shared" si="6"/>
        <v>#REF!</v>
      </c>
    </row>
    <row r="20" spans="1:37" x14ac:dyDescent="0.25">
      <c r="W20" t="e">
        <f>#REF!</f>
        <v>#REF!</v>
      </c>
    </row>
    <row r="21" spans="1:37" ht="15.75" thickBot="1" x14ac:dyDescent="0.3">
      <c r="W21" t="e">
        <f>"FEI ATTEINTE_PERSONNE- TYPOLOGIE DES FAITS:"&amp;W20</f>
        <v>#REF!</v>
      </c>
    </row>
    <row r="22" spans="1:37" ht="45.75" thickBot="1" x14ac:dyDescent="0.3">
      <c r="A22" s="21"/>
      <c r="G22" s="17" t="e">
        <f>#REF!</f>
        <v>#REF!</v>
      </c>
      <c r="W22" s="2" t="s">
        <v>2</v>
      </c>
      <c r="X22" s="2" t="s">
        <v>3</v>
      </c>
      <c r="Y22" s="2" t="s">
        <v>4</v>
      </c>
      <c r="Z22" s="2" t="s">
        <v>40</v>
      </c>
      <c r="AA22" s="2" t="s">
        <v>5</v>
      </c>
      <c r="AB22" s="2" t="s">
        <v>6</v>
      </c>
      <c r="AC22" s="2" t="s">
        <v>1</v>
      </c>
      <c r="AD22" s="2" t="s">
        <v>42</v>
      </c>
    </row>
    <row r="23" spans="1:37" x14ac:dyDescent="0.25">
      <c r="G23" t="e">
        <f>"REPARTITION DES FEI:"&amp;G22</f>
        <v>#REF!</v>
      </c>
      <c r="W23" s="1">
        <f t="shared" ref="W23:AD23" si="7">SUMIF($N:$N,$W$20,O:O)</f>
        <v>0</v>
      </c>
      <c r="X23" s="1">
        <f t="shared" si="7"/>
        <v>0</v>
      </c>
      <c r="Y23" s="1">
        <f t="shared" si="7"/>
        <v>0</v>
      </c>
      <c r="Z23" s="1">
        <f t="shared" si="7"/>
        <v>0</v>
      </c>
      <c r="AA23" s="1">
        <f t="shared" si="7"/>
        <v>0</v>
      </c>
      <c r="AB23" s="1">
        <f t="shared" si="7"/>
        <v>0</v>
      </c>
      <c r="AC23" s="1">
        <f t="shared" si="7"/>
        <v>0</v>
      </c>
      <c r="AD23" s="1">
        <f t="shared" si="7"/>
        <v>0</v>
      </c>
    </row>
    <row r="24" spans="1:37" ht="45" x14ac:dyDescent="0.25">
      <c r="G24" s="20" t="s">
        <v>17</v>
      </c>
      <c r="H24" s="20" t="s">
        <v>23</v>
      </c>
      <c r="I24" s="20" t="s">
        <v>18</v>
      </c>
      <c r="J24" s="20" t="s">
        <v>19</v>
      </c>
      <c r="K24" s="16"/>
    </row>
    <row r="25" spans="1:37" x14ac:dyDescent="0.25">
      <c r="G25" s="1">
        <f>SUMIF($A:$A,$G$22,B:B)</f>
        <v>0</v>
      </c>
      <c r="H25" s="1">
        <f>SUMIF($A:$A,$G$22,C:C)</f>
        <v>0</v>
      </c>
      <c r="I25" s="1">
        <f>SUMIF($A:$A,$G$22,D:D)</f>
        <v>0</v>
      </c>
      <c r="J25" s="1">
        <f>SUMIF($A:$A,$G$22,E:E)</f>
        <v>0</v>
      </c>
    </row>
    <row r="27" spans="1:37" x14ac:dyDescent="0.25">
      <c r="W27" s="31" t="e">
        <f>#REF!</f>
        <v>#REF!</v>
      </c>
    </row>
    <row r="28" spans="1:37" x14ac:dyDescent="0.25">
      <c r="W28" t="e">
        <f>"PROBLEME_SOINS - TYPOLOGIE DES FAITS:"&amp;W27</f>
        <v>#REF!</v>
      </c>
    </row>
    <row r="29" spans="1:37" ht="30" x14ac:dyDescent="0.25">
      <c r="W29" s="2" t="s">
        <v>7</v>
      </c>
      <c r="X29" s="1" t="s">
        <v>8</v>
      </c>
      <c r="Y29" s="2" t="s">
        <v>9</v>
      </c>
      <c r="Z29" s="2" t="s">
        <v>42</v>
      </c>
      <c r="AA29" s="6"/>
      <c r="AB29" s="6"/>
      <c r="AC29" s="6"/>
      <c r="AD29" s="6"/>
    </row>
    <row r="30" spans="1:37" x14ac:dyDescent="0.25">
      <c r="W30" s="1">
        <f>SUMIF($N:$N,$W$27,W:W)</f>
        <v>0</v>
      </c>
      <c r="X30" s="1">
        <f>SUMIF($N:$N,$W$27,X:X)</f>
        <v>0</v>
      </c>
      <c r="Y30" s="1">
        <f>SUMIF($N:$N,$W$27,Y:Y)</f>
        <v>0</v>
      </c>
      <c r="Z30" s="1">
        <f>SUMIF($N:$N,$W$27,Z:Z)</f>
        <v>0</v>
      </c>
      <c r="AA30" s="4"/>
      <c r="AB30" s="4"/>
      <c r="AC30" s="4"/>
      <c r="AD30" s="4"/>
    </row>
    <row r="31" spans="1:37" x14ac:dyDescent="0.25">
      <c r="AA31" s="4"/>
      <c r="AB31" s="4"/>
      <c r="AC31" s="4"/>
      <c r="AD31" s="4"/>
    </row>
    <row r="32" spans="1:37" x14ac:dyDescent="0.25">
      <c r="W32" t="e">
        <f>#REF!</f>
        <v>#REF!</v>
      </c>
    </row>
    <row r="33" spans="23:28" x14ac:dyDescent="0.25">
      <c r="W33" t="e">
        <f>"PROBLEME_LOGISTIQUE_HOTELLERIE - TYPOLOGIE DES FAITS:"&amp;W32</f>
        <v>#REF!</v>
      </c>
    </row>
    <row r="35" spans="23:28" x14ac:dyDescent="0.25">
      <c r="W35" s="1" t="s">
        <v>10</v>
      </c>
      <c r="X35" s="1" t="s">
        <v>11</v>
      </c>
      <c r="Y35" s="1" t="s">
        <v>12</v>
      </c>
      <c r="Z35" s="1" t="s">
        <v>13</v>
      </c>
      <c r="AA35" s="1" t="s">
        <v>1</v>
      </c>
      <c r="AB35" s="5" t="s">
        <v>42</v>
      </c>
    </row>
    <row r="36" spans="23:28" x14ac:dyDescent="0.25">
      <c r="W36" s="1">
        <f>SUMIF($N:$N,$W$32,AA:AA)</f>
        <v>0</v>
      </c>
      <c r="X36" s="1">
        <f>SUMIF($N:$N,$W$32,AB:AB)</f>
        <v>0</v>
      </c>
      <c r="Y36" s="1">
        <f>SUMIF($N:$N,$W$32,AC:AC)</f>
        <v>0</v>
      </c>
      <c r="Z36" s="1">
        <f>SUMIF($N:$N,$W$32,AD:AD)</f>
        <v>0</v>
      </c>
      <c r="AA36" s="1">
        <f>SUMIF($N:$N,$W$32,AE:AE)</f>
        <v>0</v>
      </c>
      <c r="AB36" s="5">
        <f xml:space="preserve"> SUMIF($N:$N,$W32,AF:AF)</f>
        <v>0</v>
      </c>
    </row>
    <row r="39" spans="23:28" x14ac:dyDescent="0.25">
      <c r="W39" t="e">
        <f>#REF!</f>
        <v>#REF!</v>
      </c>
    </row>
    <row r="40" spans="23:28" x14ac:dyDescent="0.25">
      <c r="W40" t="e">
        <f>"ATTEINTE AUX BIENS - TYPOLOGIE DES FAITS:"&amp;W39</f>
        <v>#REF!</v>
      </c>
    </row>
    <row r="42" spans="23:28" x14ac:dyDescent="0.25">
      <c r="W42" s="1" t="s">
        <v>14</v>
      </c>
      <c r="X42" s="1" t="s">
        <v>15</v>
      </c>
      <c r="Y42" s="1" t="s">
        <v>16</v>
      </c>
      <c r="Z42" s="1" t="s">
        <v>1</v>
      </c>
      <c r="AA42" s="5" t="s">
        <v>42</v>
      </c>
    </row>
    <row r="43" spans="23:28" x14ac:dyDescent="0.25">
      <c r="W43" s="1">
        <f>SUMIF($N:$N,$W$39,AG:AG)</f>
        <v>0</v>
      </c>
      <c r="X43" s="1">
        <f>SUMIF($N:$N,$W$39,AH:AH)</f>
        <v>0</v>
      </c>
      <c r="Y43" s="1">
        <f>SUMIF($N:$N,$W$39,AI:AI)</f>
        <v>0</v>
      </c>
      <c r="Z43" s="1">
        <f>SUMIF($N:$N,$W$39,AJ:AJ)</f>
        <v>0</v>
      </c>
      <c r="AA43" s="5">
        <f>SUMIF($N:$N,$W39,AK:AK)</f>
        <v>0</v>
      </c>
    </row>
  </sheetData>
  <mergeCells count="4">
    <mergeCell ref="N1:V1"/>
    <mergeCell ref="W1:Z1"/>
    <mergeCell ref="AA1:AF1"/>
    <mergeCell ref="AG1:AK1"/>
  </mergeCell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"/>
  <sheetViews>
    <sheetView workbookViewId="0">
      <selection activeCell="H19" sqref="H19"/>
    </sheetView>
  </sheetViews>
  <sheetFormatPr baseColWidth="10" defaultRowHeight="15" x14ac:dyDescent="0.25"/>
  <cols>
    <col min="1" max="1" width="24.5703125" bestFit="1" customWidth="1"/>
  </cols>
  <sheetData>
    <row r="1" spans="1:4" x14ac:dyDescent="0.25">
      <c r="A1" t="s">
        <v>44</v>
      </c>
    </row>
    <row r="2" spans="1:4" x14ac:dyDescent="0.25">
      <c r="A2" t="s">
        <v>25</v>
      </c>
      <c r="D2" t="s">
        <v>38</v>
      </c>
    </row>
    <row r="3" spans="1:4" x14ac:dyDescent="0.25">
      <c r="A3" t="s">
        <v>26</v>
      </c>
      <c r="D3" t="s">
        <v>39</v>
      </c>
    </row>
    <row r="4" spans="1:4" x14ac:dyDescent="0.25">
      <c r="A4" t="s">
        <v>27</v>
      </c>
    </row>
    <row r="5" spans="1:4" x14ac:dyDescent="0.25">
      <c r="A5" t="s">
        <v>43</v>
      </c>
    </row>
    <row r="6" spans="1:4" x14ac:dyDescent="0.25">
      <c r="A6" t="s">
        <v>28</v>
      </c>
    </row>
    <row r="7" spans="1:4" x14ac:dyDescent="0.25">
      <c r="A7" t="s">
        <v>29</v>
      </c>
    </row>
    <row r="8" spans="1:4" x14ac:dyDescent="0.25">
      <c r="A8" t="s">
        <v>51</v>
      </c>
    </row>
    <row r="9" spans="1:4" x14ac:dyDescent="0.25">
      <c r="A9" t="s">
        <v>30</v>
      </c>
    </row>
    <row r="10" spans="1:4" x14ac:dyDescent="0.25">
      <c r="A10" t="s">
        <v>31</v>
      </c>
    </row>
    <row r="11" spans="1:4" x14ac:dyDescent="0.25">
      <c r="A11" t="s">
        <v>32</v>
      </c>
    </row>
    <row r="12" spans="1:4" x14ac:dyDescent="0.25">
      <c r="A12" t="s">
        <v>50</v>
      </c>
    </row>
    <row r="13" spans="1:4" x14ac:dyDescent="0.25">
      <c r="A13" t="s">
        <v>33</v>
      </c>
    </row>
    <row r="14" spans="1:4" x14ac:dyDescent="0.25">
      <c r="A14" t="s">
        <v>34</v>
      </c>
    </row>
    <row r="15" spans="1:4" x14ac:dyDescent="0.25">
      <c r="A15" t="s">
        <v>35</v>
      </c>
    </row>
    <row r="16" spans="1:4" x14ac:dyDescent="0.25">
      <c r="A16" t="s">
        <v>36</v>
      </c>
    </row>
    <row r="17" spans="1:1" x14ac:dyDescent="0.25">
      <c r="A1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Liste nature des faits EI</vt:lpstr>
      <vt:lpstr>Notice d'utilisation</vt:lpstr>
      <vt:lpstr>Base de données suivi des FEI</vt:lpstr>
      <vt:lpstr>Analyses graphiques</vt:lpstr>
      <vt:lpstr>Liste des établissements</vt:lpstr>
      <vt:lpstr>Atteinte_aux_biens</vt:lpstr>
      <vt:lpstr>Atteinte_personne</vt:lpstr>
      <vt:lpstr>Autres</vt:lpstr>
      <vt:lpstr>Etablissements</vt:lpstr>
      <vt:lpstr>Liste_établissements</vt:lpstr>
      <vt:lpstr>Listedenatures</vt:lpstr>
      <vt:lpstr>Listefaits</vt:lpstr>
      <vt:lpstr>Problème_logistique_hotellerie</vt:lpstr>
      <vt:lpstr>Problème_soins</vt:lpstr>
      <vt:lpstr>Qualification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Qualite</dc:creator>
  <cp:lastModifiedBy>Responsable Qualite</cp:lastModifiedBy>
  <cp:lastPrinted>2018-08-10T13:29:49Z</cp:lastPrinted>
  <dcterms:created xsi:type="dcterms:W3CDTF">2017-03-21T14:29:26Z</dcterms:created>
  <dcterms:modified xsi:type="dcterms:W3CDTF">2019-06-05T18:57:43Z</dcterms:modified>
</cp:coreProperties>
</file>