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190" yWindow="765" windowWidth="11340" windowHeight="6540" tabRatio="601" activeTab="6"/>
  </bookViews>
  <sheets>
    <sheet name="FA" sheetId="26" r:id="rId1"/>
    <sheet name="UA" sheetId="25" r:id="rId2"/>
    <sheet name="UM" sheetId="24" r:id="rId3"/>
    <sheet name="HA" sheetId="23" r:id="rId4"/>
    <sheet name="HM" sheetId="22" r:id="rId5"/>
    <sheet name="TOTAAL" sheetId="27" r:id="rId6"/>
    <sheet name="DATA" sheetId="28" r:id="rId7"/>
  </sheets>
  <calcPr calcId="125725"/>
</workbook>
</file>

<file path=xl/calcChain.xml><?xml version="1.0" encoding="utf-8"?>
<calcChain xmlns="http://schemas.openxmlformats.org/spreadsheetml/2006/main">
  <c r="K8" i="27"/>
  <c r="K9"/>
  <c r="K11"/>
  <c r="K13"/>
  <c r="K14"/>
  <c r="K15"/>
  <c r="O15" s="1"/>
  <c r="K16"/>
  <c r="K17"/>
  <c r="K18"/>
  <c r="K20"/>
  <c r="M20" s="1"/>
  <c r="K21"/>
  <c r="K26"/>
  <c r="U11"/>
  <c r="U13"/>
  <c r="U14"/>
  <c r="U15"/>
  <c r="U16"/>
  <c r="U17"/>
  <c r="U18"/>
  <c r="U20"/>
  <c r="Y20" s="1"/>
  <c r="U21"/>
  <c r="Y21" s="1"/>
  <c r="U23"/>
  <c r="U25"/>
  <c r="U26"/>
  <c r="U27"/>
  <c r="U28"/>
  <c r="U7"/>
  <c r="U8"/>
  <c r="V8" s="1"/>
  <c r="X8" s="1"/>
  <c r="U9"/>
  <c r="K7"/>
  <c r="M7" s="1"/>
  <c r="U22" i="24"/>
  <c r="U22" i="27" s="1"/>
  <c r="U22" i="25"/>
  <c r="U22" i="23"/>
  <c r="L22" i="27"/>
  <c r="L22" i="22"/>
  <c r="K22"/>
  <c r="L22" i="23"/>
  <c r="K22"/>
  <c r="L22" i="24"/>
  <c r="K22"/>
  <c r="L22" i="25"/>
  <c r="K22"/>
  <c r="K22" i="27" s="1"/>
  <c r="C21" i="25"/>
  <c r="D21" s="1"/>
  <c r="C20"/>
  <c r="D20" s="1"/>
  <c r="C21" i="24"/>
  <c r="D21" s="1"/>
  <c r="C20"/>
  <c r="D20" s="1"/>
  <c r="C21" i="23"/>
  <c r="D21" s="1"/>
  <c r="C20"/>
  <c r="D20" s="1"/>
  <c r="C21" i="22"/>
  <c r="D21" s="1"/>
  <c r="C20"/>
  <c r="D20" s="1"/>
  <c r="C21" i="27"/>
  <c r="D21" s="1"/>
  <c r="C20"/>
  <c r="D20" s="1"/>
  <c r="Y21" i="25"/>
  <c r="Y20"/>
  <c r="Y21" i="24"/>
  <c r="Y20"/>
  <c r="Y21" i="23"/>
  <c r="Y20"/>
  <c r="Y21" i="22"/>
  <c r="Y20"/>
  <c r="V21" i="25"/>
  <c r="X21" s="1"/>
  <c r="V20"/>
  <c r="X20" s="1"/>
  <c r="V21" i="24"/>
  <c r="X21" s="1"/>
  <c r="V20"/>
  <c r="X20" s="1"/>
  <c r="V21" i="23"/>
  <c r="X21" s="1"/>
  <c r="V20"/>
  <c r="X20" s="1"/>
  <c r="V21" i="22"/>
  <c r="X21" s="1"/>
  <c r="V20"/>
  <c r="X20" s="1"/>
  <c r="T21" i="25"/>
  <c r="T20"/>
  <c r="T21" i="24"/>
  <c r="T20"/>
  <c r="T21" i="23"/>
  <c r="T20"/>
  <c r="T21" i="22"/>
  <c r="T20"/>
  <c r="T21" i="27"/>
  <c r="T20"/>
  <c r="S21" i="25"/>
  <c r="S20"/>
  <c r="S21" i="24"/>
  <c r="S20"/>
  <c r="S21" i="23"/>
  <c r="S20"/>
  <c r="S21" i="22"/>
  <c r="S20"/>
  <c r="S21" i="27"/>
  <c r="S20"/>
  <c r="R21" i="25"/>
  <c r="R20"/>
  <c r="R21" i="24"/>
  <c r="R20"/>
  <c r="R21" i="23"/>
  <c r="R20"/>
  <c r="R21" i="22"/>
  <c r="R20"/>
  <c r="Q21" i="25"/>
  <c r="Q20"/>
  <c r="Q21" i="24"/>
  <c r="Q20"/>
  <c r="Q21" i="23"/>
  <c r="Q20"/>
  <c r="Q21" i="22"/>
  <c r="Q20"/>
  <c r="Q21" i="27"/>
  <c r="Q20"/>
  <c r="P21" i="25"/>
  <c r="P20"/>
  <c r="P21" i="24"/>
  <c r="P20"/>
  <c r="P21" i="23"/>
  <c r="P20"/>
  <c r="P21" i="22"/>
  <c r="P20"/>
  <c r="P21" i="27"/>
  <c r="P20"/>
  <c r="O21" i="25"/>
  <c r="O20"/>
  <c r="O21" i="24"/>
  <c r="O20"/>
  <c r="O21" i="23"/>
  <c r="O20"/>
  <c r="O21" i="22"/>
  <c r="O20"/>
  <c r="N21" i="25"/>
  <c r="N20"/>
  <c r="N21" i="24"/>
  <c r="N20"/>
  <c r="N21" i="23"/>
  <c r="N20"/>
  <c r="N21" i="22"/>
  <c r="N20"/>
  <c r="N21" i="27"/>
  <c r="N20"/>
  <c r="M21" i="25"/>
  <c r="M20"/>
  <c r="M21" i="24"/>
  <c r="M20"/>
  <c r="M21" i="23"/>
  <c r="M20"/>
  <c r="M21" i="22"/>
  <c r="M20"/>
  <c r="L24" i="25"/>
  <c r="K24"/>
  <c r="L19"/>
  <c r="K19"/>
  <c r="L12"/>
  <c r="K12"/>
  <c r="L10"/>
  <c r="K10"/>
  <c r="L24" i="24"/>
  <c r="K24"/>
  <c r="L19"/>
  <c r="K19"/>
  <c r="L12"/>
  <c r="K12"/>
  <c r="L10"/>
  <c r="K10"/>
  <c r="L19" i="23"/>
  <c r="K19"/>
  <c r="K12"/>
  <c r="L12"/>
  <c r="L10"/>
  <c r="K10"/>
  <c r="Y15" i="25"/>
  <c r="Y15" i="24"/>
  <c r="Y15" i="23"/>
  <c r="T15" i="25"/>
  <c r="T15" i="24"/>
  <c r="T15" i="23"/>
  <c r="T15" i="22"/>
  <c r="T15" i="27"/>
  <c r="S15" i="25"/>
  <c r="S15" i="24"/>
  <c r="S15" i="23"/>
  <c r="S15" i="22"/>
  <c r="S15" i="27"/>
  <c r="Q15" i="25"/>
  <c r="Q15" i="24"/>
  <c r="Q15" i="23"/>
  <c r="Q15" i="22"/>
  <c r="Q15" i="27"/>
  <c r="O15" i="24"/>
  <c r="O15" i="23"/>
  <c r="P15" i="25"/>
  <c r="P15" i="24"/>
  <c r="N15" i="23"/>
  <c r="L15" i="22"/>
  <c r="N15"/>
  <c r="L15" i="27"/>
  <c r="P15" s="1"/>
  <c r="O15" i="25"/>
  <c r="V15" i="23"/>
  <c r="X15"/>
  <c r="K15" i="22"/>
  <c r="V15"/>
  <c r="X15" s="1"/>
  <c r="C15" i="25"/>
  <c r="D15" s="1"/>
  <c r="C15" i="24"/>
  <c r="D15" s="1"/>
  <c r="C15" i="23"/>
  <c r="D15" s="1"/>
  <c r="C15" i="22"/>
  <c r="D15" s="1"/>
  <c r="C15" i="27"/>
  <c r="D15" s="1"/>
  <c r="U10" i="22"/>
  <c r="H19" i="24"/>
  <c r="U12" i="25"/>
  <c r="P14" i="24"/>
  <c r="H12" i="22"/>
  <c r="G7" i="27"/>
  <c r="U12" i="24"/>
  <c r="Y12"/>
  <c r="T18" i="22"/>
  <c r="S18"/>
  <c r="Q18"/>
  <c r="V18"/>
  <c r="X18" s="1"/>
  <c r="C18"/>
  <c r="S7"/>
  <c r="Q7"/>
  <c r="Q8"/>
  <c r="W30"/>
  <c r="W24"/>
  <c r="W23"/>
  <c r="W19"/>
  <c r="W17"/>
  <c r="W16"/>
  <c r="W14"/>
  <c r="W13"/>
  <c r="W12"/>
  <c r="W11"/>
  <c r="W10"/>
  <c r="W9"/>
  <c r="W8"/>
  <c r="W7"/>
  <c r="W9" i="24"/>
  <c r="W8"/>
  <c r="H19" i="22"/>
  <c r="I19"/>
  <c r="G37"/>
  <c r="E7" i="27"/>
  <c r="O7" s="1"/>
  <c r="F7"/>
  <c r="H7"/>
  <c r="L7" s="1"/>
  <c r="W25"/>
  <c r="W26"/>
  <c r="G12" i="25"/>
  <c r="W25" i="24"/>
  <c r="T26" i="25"/>
  <c r="T27"/>
  <c r="S26"/>
  <c r="S27"/>
  <c r="S28"/>
  <c r="Q26"/>
  <c r="Q27"/>
  <c r="Q28"/>
  <c r="K16" i="22"/>
  <c r="V16"/>
  <c r="X16" s="1"/>
  <c r="K7"/>
  <c r="M7" s="1"/>
  <c r="V17"/>
  <c r="X17" s="1"/>
  <c r="G14" i="27"/>
  <c r="V18" i="23"/>
  <c r="X18"/>
  <c r="L3"/>
  <c r="C7"/>
  <c r="D7"/>
  <c r="R7"/>
  <c r="Y7"/>
  <c r="Q7"/>
  <c r="S7"/>
  <c r="T7"/>
  <c r="C8"/>
  <c r="D8" s="1"/>
  <c r="N8"/>
  <c r="Q8"/>
  <c r="S8"/>
  <c r="T8"/>
  <c r="C9"/>
  <c r="D9" s="1"/>
  <c r="R9"/>
  <c r="Y9"/>
  <c r="Q9"/>
  <c r="S9"/>
  <c r="T9"/>
  <c r="E10"/>
  <c r="C10"/>
  <c r="D10" s="1"/>
  <c r="F10"/>
  <c r="P10" s="1"/>
  <c r="G10"/>
  <c r="F38" s="1"/>
  <c r="H10"/>
  <c r="I10"/>
  <c r="G38"/>
  <c r="J10"/>
  <c r="T10"/>
  <c r="C11"/>
  <c r="D11"/>
  <c r="Y11"/>
  <c r="Q11"/>
  <c r="S11"/>
  <c r="T11"/>
  <c r="E12"/>
  <c r="O12"/>
  <c r="F12"/>
  <c r="G12"/>
  <c r="H12"/>
  <c r="I12"/>
  <c r="J12"/>
  <c r="U12"/>
  <c r="Y12" s="1"/>
  <c r="C13"/>
  <c r="D13" s="1"/>
  <c r="V13"/>
  <c r="X13" s="1"/>
  <c r="Y13"/>
  <c r="Q13"/>
  <c r="S13"/>
  <c r="T13"/>
  <c r="C14"/>
  <c r="D14" s="1"/>
  <c r="P14"/>
  <c r="Q14"/>
  <c r="S14"/>
  <c r="T14"/>
  <c r="C16"/>
  <c r="D16" s="1"/>
  <c r="V16"/>
  <c r="X16" s="1"/>
  <c r="Y16"/>
  <c r="Q16"/>
  <c r="S16"/>
  <c r="T16"/>
  <c r="C17"/>
  <c r="D17" s="1"/>
  <c r="O17"/>
  <c r="N17"/>
  <c r="Q17"/>
  <c r="S17"/>
  <c r="T17"/>
  <c r="C18"/>
  <c r="D18"/>
  <c r="Y18"/>
  <c r="Q18"/>
  <c r="S18"/>
  <c r="T18"/>
  <c r="E19"/>
  <c r="O19" s="1"/>
  <c r="E37"/>
  <c r="F19"/>
  <c r="H19"/>
  <c r="I19"/>
  <c r="J19"/>
  <c r="C23"/>
  <c r="D23"/>
  <c r="K23"/>
  <c r="K23" i="27" s="1"/>
  <c r="L23" i="23"/>
  <c r="L24" s="1"/>
  <c r="Q23"/>
  <c r="S23"/>
  <c r="T23"/>
  <c r="E24"/>
  <c r="F24"/>
  <c r="G24"/>
  <c r="H24"/>
  <c r="I24"/>
  <c r="I30"/>
  <c r="J24"/>
  <c r="U24"/>
  <c r="V24" s="1"/>
  <c r="X24" s="1"/>
  <c r="C25"/>
  <c r="D25"/>
  <c r="K25"/>
  <c r="V25"/>
  <c r="X25" s="1"/>
  <c r="L25"/>
  <c r="M25"/>
  <c r="Q25"/>
  <c r="S25"/>
  <c r="T25"/>
  <c r="C26"/>
  <c r="D26"/>
  <c r="R26"/>
  <c r="P26"/>
  <c r="Q26"/>
  <c r="S26"/>
  <c r="T26"/>
  <c r="C27"/>
  <c r="D27" s="1"/>
  <c r="K27"/>
  <c r="K27" i="27" s="1"/>
  <c r="L27" i="23"/>
  <c r="Q27"/>
  <c r="S27"/>
  <c r="T27"/>
  <c r="C28"/>
  <c r="D28"/>
  <c r="K28"/>
  <c r="R28"/>
  <c r="L28"/>
  <c r="N28"/>
  <c r="Q28"/>
  <c r="S28"/>
  <c r="T28"/>
  <c r="E29"/>
  <c r="F29"/>
  <c r="G29"/>
  <c r="H29"/>
  <c r="H30"/>
  <c r="I29"/>
  <c r="J29"/>
  <c r="T29" s="1"/>
  <c r="U29"/>
  <c r="V29" s="1"/>
  <c r="X29" s="1"/>
  <c r="L3" i="22"/>
  <c r="C7"/>
  <c r="D7" s="1"/>
  <c r="L7"/>
  <c r="T7"/>
  <c r="C8"/>
  <c r="D8" s="1"/>
  <c r="K8"/>
  <c r="M8" s="1"/>
  <c r="L8"/>
  <c r="N8" s="1"/>
  <c r="S8"/>
  <c r="T8"/>
  <c r="C9"/>
  <c r="D9" s="1"/>
  <c r="K9"/>
  <c r="M9" s="1"/>
  <c r="L9"/>
  <c r="Y9" s="1"/>
  <c r="Q9"/>
  <c r="S9"/>
  <c r="T9"/>
  <c r="C10"/>
  <c r="G10"/>
  <c r="D10" s="1"/>
  <c r="H10"/>
  <c r="I10"/>
  <c r="J10"/>
  <c r="C11"/>
  <c r="D11"/>
  <c r="K11"/>
  <c r="M11"/>
  <c r="L11"/>
  <c r="Q11"/>
  <c r="S11"/>
  <c r="T11"/>
  <c r="C12"/>
  <c r="D12"/>
  <c r="G12"/>
  <c r="I12"/>
  <c r="J12"/>
  <c r="T12"/>
  <c r="U12"/>
  <c r="C13"/>
  <c r="D13" s="1"/>
  <c r="K13"/>
  <c r="L13"/>
  <c r="P13"/>
  <c r="Q13"/>
  <c r="S13"/>
  <c r="T13"/>
  <c r="C14"/>
  <c r="L14"/>
  <c r="P14"/>
  <c r="Q14"/>
  <c r="S14"/>
  <c r="T14"/>
  <c r="C16"/>
  <c r="D16" s="1"/>
  <c r="L16"/>
  <c r="Q16"/>
  <c r="S16"/>
  <c r="T16"/>
  <c r="C17"/>
  <c r="D17" s="1"/>
  <c r="R17"/>
  <c r="Q17"/>
  <c r="S17"/>
  <c r="T17"/>
  <c r="D18"/>
  <c r="Y18"/>
  <c r="C19"/>
  <c r="J19"/>
  <c r="T19"/>
  <c r="C23"/>
  <c r="D23"/>
  <c r="K23"/>
  <c r="L23"/>
  <c r="R23" s="1"/>
  <c r="Q23"/>
  <c r="S23"/>
  <c r="T23"/>
  <c r="G24"/>
  <c r="H24"/>
  <c r="I24"/>
  <c r="S24"/>
  <c r="J24"/>
  <c r="T24"/>
  <c r="U24"/>
  <c r="C25"/>
  <c r="D25" s="1"/>
  <c r="K25"/>
  <c r="V25" s="1"/>
  <c r="X25" s="1"/>
  <c r="L25"/>
  <c r="Q25"/>
  <c r="S25"/>
  <c r="T25"/>
  <c r="C26"/>
  <c r="D26"/>
  <c r="Q26"/>
  <c r="S26"/>
  <c r="T26"/>
  <c r="C27"/>
  <c r="D27" s="1"/>
  <c r="K27"/>
  <c r="V27" s="1"/>
  <c r="X27" s="1"/>
  <c r="L27"/>
  <c r="N27"/>
  <c r="Q27"/>
  <c r="S27"/>
  <c r="T27"/>
  <c r="C28"/>
  <c r="D28" s="1"/>
  <c r="K28"/>
  <c r="V28" s="1"/>
  <c r="X28" s="1"/>
  <c r="L28"/>
  <c r="Q28"/>
  <c r="S28"/>
  <c r="T28"/>
  <c r="G29"/>
  <c r="H29"/>
  <c r="I29"/>
  <c r="J29"/>
  <c r="T29" s="1"/>
  <c r="U29"/>
  <c r="L3" i="27"/>
  <c r="E8"/>
  <c r="C8" s="1"/>
  <c r="F8"/>
  <c r="H8"/>
  <c r="L8" s="1"/>
  <c r="E9"/>
  <c r="C9" s="1"/>
  <c r="D9" s="1"/>
  <c r="F9"/>
  <c r="P9" s="1"/>
  <c r="L9"/>
  <c r="E11"/>
  <c r="C11" s="1"/>
  <c r="F11"/>
  <c r="G11"/>
  <c r="H11"/>
  <c r="L11" s="1"/>
  <c r="E13"/>
  <c r="C13" s="1"/>
  <c r="D13" s="1"/>
  <c r="F13"/>
  <c r="T13" s="1"/>
  <c r="L13"/>
  <c r="Y13" s="1"/>
  <c r="E14"/>
  <c r="O14" s="1"/>
  <c r="F14"/>
  <c r="T14" s="1"/>
  <c r="H14"/>
  <c r="L14" s="1"/>
  <c r="E16"/>
  <c r="C16" s="1"/>
  <c r="F16"/>
  <c r="H16"/>
  <c r="L16" s="1"/>
  <c r="E17"/>
  <c r="F17"/>
  <c r="H17"/>
  <c r="L17" s="1"/>
  <c r="E18"/>
  <c r="S18" s="1"/>
  <c r="F18"/>
  <c r="T18" s="1"/>
  <c r="G18"/>
  <c r="H18"/>
  <c r="L18" s="1"/>
  <c r="E23"/>
  <c r="C23" s="1"/>
  <c r="F23"/>
  <c r="G23"/>
  <c r="H23"/>
  <c r="I23"/>
  <c r="J23"/>
  <c r="E25"/>
  <c r="F25"/>
  <c r="G25"/>
  <c r="H25"/>
  <c r="I25"/>
  <c r="J25"/>
  <c r="E26"/>
  <c r="S26" s="1"/>
  <c r="F26"/>
  <c r="L26"/>
  <c r="R26" s="1"/>
  <c r="E27"/>
  <c r="F27"/>
  <c r="T27" s="1"/>
  <c r="G27"/>
  <c r="H27"/>
  <c r="L27" s="1"/>
  <c r="E28"/>
  <c r="F28"/>
  <c r="G28"/>
  <c r="H28"/>
  <c r="I28"/>
  <c r="J28"/>
  <c r="L3" i="25"/>
  <c r="C7"/>
  <c r="D7" s="1"/>
  <c r="M7"/>
  <c r="N7"/>
  <c r="Q7"/>
  <c r="S7"/>
  <c r="T7"/>
  <c r="C8"/>
  <c r="D8"/>
  <c r="V8"/>
  <c r="X8" s="1"/>
  <c r="Y8"/>
  <c r="Q8"/>
  <c r="S8"/>
  <c r="T8"/>
  <c r="C9"/>
  <c r="D9" s="1"/>
  <c r="O9"/>
  <c r="N9"/>
  <c r="Q9"/>
  <c r="S9"/>
  <c r="T9"/>
  <c r="E10"/>
  <c r="F10"/>
  <c r="N10" s="1"/>
  <c r="G10"/>
  <c r="H10"/>
  <c r="I10"/>
  <c r="J10"/>
  <c r="C11"/>
  <c r="D11" s="1"/>
  <c r="V11"/>
  <c r="X11" s="1"/>
  <c r="P11"/>
  <c r="Q11"/>
  <c r="S11"/>
  <c r="T11"/>
  <c r="E12"/>
  <c r="C12"/>
  <c r="D12" s="1"/>
  <c r="F12"/>
  <c r="P12" s="1"/>
  <c r="H12"/>
  <c r="I12"/>
  <c r="J12"/>
  <c r="C13"/>
  <c r="D13"/>
  <c r="V13"/>
  <c r="X13" s="1"/>
  <c r="P13"/>
  <c r="Q13"/>
  <c r="S13"/>
  <c r="T13"/>
  <c r="C14"/>
  <c r="D14" s="1"/>
  <c r="V14"/>
  <c r="X14" s="1"/>
  <c r="P14"/>
  <c r="Q14"/>
  <c r="S14"/>
  <c r="T14"/>
  <c r="C16"/>
  <c r="D16"/>
  <c r="M16"/>
  <c r="Q16"/>
  <c r="S16"/>
  <c r="T16"/>
  <c r="C17"/>
  <c r="D17"/>
  <c r="M17"/>
  <c r="P17"/>
  <c r="N17"/>
  <c r="Q17"/>
  <c r="S17"/>
  <c r="T17"/>
  <c r="C18"/>
  <c r="D18"/>
  <c r="O18"/>
  <c r="P18"/>
  <c r="Q18"/>
  <c r="S18"/>
  <c r="T18"/>
  <c r="E19"/>
  <c r="F19"/>
  <c r="G19"/>
  <c r="H19"/>
  <c r="I19"/>
  <c r="G37" s="1"/>
  <c r="J19"/>
  <c r="T19" s="1"/>
  <c r="C23"/>
  <c r="D23" s="1"/>
  <c r="Y23"/>
  <c r="Q23"/>
  <c r="S23"/>
  <c r="T23"/>
  <c r="E24"/>
  <c r="O24" s="1"/>
  <c r="F24"/>
  <c r="P24" s="1"/>
  <c r="G24"/>
  <c r="H24"/>
  <c r="J24"/>
  <c r="U24"/>
  <c r="C25"/>
  <c r="D25" s="1"/>
  <c r="K25"/>
  <c r="K25" i="27" s="1"/>
  <c r="L25" i="25"/>
  <c r="L29"/>
  <c r="Q25"/>
  <c r="S25"/>
  <c r="T25"/>
  <c r="C26"/>
  <c r="R26"/>
  <c r="P26"/>
  <c r="C27"/>
  <c r="C28"/>
  <c r="D28"/>
  <c r="V28"/>
  <c r="X28"/>
  <c r="T28"/>
  <c r="E29"/>
  <c r="F29"/>
  <c r="G29"/>
  <c r="G30" s="1"/>
  <c r="H29"/>
  <c r="H30" s="1"/>
  <c r="H30" i="27" s="1"/>
  <c r="I29" i="25"/>
  <c r="J29"/>
  <c r="J30"/>
  <c r="T30" s="1"/>
  <c r="U29"/>
  <c r="Y29" s="1"/>
  <c r="L3" i="24"/>
  <c r="C7"/>
  <c r="D7" s="1"/>
  <c r="Y7"/>
  <c r="Q7"/>
  <c r="S7"/>
  <c r="T7"/>
  <c r="C8"/>
  <c r="D8" s="1"/>
  <c r="G8" i="27"/>
  <c r="M8" i="24"/>
  <c r="Q8"/>
  <c r="S8"/>
  <c r="T8"/>
  <c r="C9"/>
  <c r="D9"/>
  <c r="O9"/>
  <c r="Q9"/>
  <c r="S9"/>
  <c r="T9"/>
  <c r="E10"/>
  <c r="O10" s="1"/>
  <c r="F10"/>
  <c r="G10"/>
  <c r="H10"/>
  <c r="H10" i="27"/>
  <c r="I10" i="24"/>
  <c r="S10"/>
  <c r="J10"/>
  <c r="T10"/>
  <c r="C11"/>
  <c r="D11"/>
  <c r="V11"/>
  <c r="X11"/>
  <c r="N11"/>
  <c r="Q11"/>
  <c r="S11"/>
  <c r="T11"/>
  <c r="E12"/>
  <c r="C12"/>
  <c r="D12" s="1"/>
  <c r="D30" s="1"/>
  <c r="F12"/>
  <c r="P12" s="1"/>
  <c r="G12"/>
  <c r="G30" s="1"/>
  <c r="H12"/>
  <c r="I12"/>
  <c r="I12" i="27" s="1"/>
  <c r="J12" i="24"/>
  <c r="C13"/>
  <c r="D13"/>
  <c r="O13"/>
  <c r="Q13"/>
  <c r="S13"/>
  <c r="T13"/>
  <c r="C14"/>
  <c r="D14"/>
  <c r="Q14"/>
  <c r="S14"/>
  <c r="T14"/>
  <c r="C16"/>
  <c r="D16" s="1"/>
  <c r="G16" i="27"/>
  <c r="O16" i="24"/>
  <c r="N16"/>
  <c r="Q16"/>
  <c r="S16"/>
  <c r="T16"/>
  <c r="C17"/>
  <c r="D17" s="1"/>
  <c r="G17" i="27"/>
  <c r="V17" i="24"/>
  <c r="X17"/>
  <c r="Y17"/>
  <c r="Q17"/>
  <c r="S17"/>
  <c r="T17"/>
  <c r="C18"/>
  <c r="D18"/>
  <c r="M18"/>
  <c r="Y18"/>
  <c r="N18"/>
  <c r="Q18"/>
  <c r="S18"/>
  <c r="T18"/>
  <c r="E19"/>
  <c r="C19"/>
  <c r="F19"/>
  <c r="I19"/>
  <c r="G37" s="1"/>
  <c r="J19"/>
  <c r="T19" s="1"/>
  <c r="C23"/>
  <c r="D23" s="1"/>
  <c r="M23"/>
  <c r="N23"/>
  <c r="Q23"/>
  <c r="S23"/>
  <c r="T23"/>
  <c r="E24"/>
  <c r="F24"/>
  <c r="G24"/>
  <c r="G24" i="27"/>
  <c r="H24" i="24"/>
  <c r="I24"/>
  <c r="I24" i="27" s="1"/>
  <c r="J24" i="24"/>
  <c r="T24" s="1"/>
  <c r="U24"/>
  <c r="V24" s="1"/>
  <c r="X24" s="1"/>
  <c r="C25"/>
  <c r="D25"/>
  <c r="P25"/>
  <c r="Q25"/>
  <c r="S25"/>
  <c r="T25"/>
  <c r="C26"/>
  <c r="D26"/>
  <c r="Q26"/>
  <c r="S26"/>
  <c r="T26"/>
  <c r="C27"/>
  <c r="D27" s="1"/>
  <c r="V27"/>
  <c r="X27" s="1"/>
  <c r="Y27"/>
  <c r="Q27"/>
  <c r="S27"/>
  <c r="T27"/>
  <c r="C28"/>
  <c r="D28" s="1"/>
  <c r="K28"/>
  <c r="M28" s="1"/>
  <c r="L28"/>
  <c r="Q28"/>
  <c r="S28"/>
  <c r="T28"/>
  <c r="E29"/>
  <c r="F29"/>
  <c r="G29"/>
  <c r="G29" i="27" s="1"/>
  <c r="H29" i="24"/>
  <c r="I29"/>
  <c r="S29"/>
  <c r="J29"/>
  <c r="J29" i="27"/>
  <c r="U29" i="24"/>
  <c r="U29" i="27" s="1"/>
  <c r="D14" i="22"/>
  <c r="K14"/>
  <c r="M14"/>
  <c r="S24" i="23"/>
  <c r="Q10" i="22"/>
  <c r="G19" i="23"/>
  <c r="F37"/>
  <c r="V14"/>
  <c r="X14"/>
  <c r="C10" i="25"/>
  <c r="D10"/>
  <c r="S29" i="22"/>
  <c r="O28"/>
  <c r="O27"/>
  <c r="O28" i="25"/>
  <c r="G19" i="22"/>
  <c r="K19"/>
  <c r="K12"/>
  <c r="M14" i="24"/>
  <c r="G19"/>
  <c r="D19"/>
  <c r="Q30" i="22"/>
  <c r="P27"/>
  <c r="O25"/>
  <c r="O27" i="23"/>
  <c r="P8" i="22"/>
  <c r="R8"/>
  <c r="P16" i="23"/>
  <c r="P25" i="25"/>
  <c r="R23"/>
  <c r="M25"/>
  <c r="O25"/>
  <c r="O23"/>
  <c r="Y11" i="22"/>
  <c r="N23" i="23"/>
  <c r="N16"/>
  <c r="Y27" i="22"/>
  <c r="P7" i="25"/>
  <c r="E38" i="22"/>
  <c r="I38" s="1"/>
  <c r="E38" i="23"/>
  <c r="N26"/>
  <c r="M28" i="22"/>
  <c r="M27"/>
  <c r="Y26" i="25"/>
  <c r="N26"/>
  <c r="Y8" i="22"/>
  <c r="O16"/>
  <c r="Y23" i="23"/>
  <c r="Y13" i="22"/>
  <c r="Q29"/>
  <c r="C29"/>
  <c r="C30"/>
  <c r="Q19"/>
  <c r="E37"/>
  <c r="I37" s="1"/>
  <c r="Q12"/>
  <c r="T12" i="23"/>
  <c r="T24"/>
  <c r="Q24"/>
  <c r="C24" i="24"/>
  <c r="D24" s="1"/>
  <c r="S12" i="25"/>
  <c r="P17" i="22"/>
  <c r="O27" i="24"/>
  <c r="Y26"/>
  <c r="P18"/>
  <c r="P23" i="25"/>
  <c r="M9"/>
  <c r="P28" i="23"/>
  <c r="M25" i="22"/>
  <c r="U19"/>
  <c r="U30"/>
  <c r="M17" i="23"/>
  <c r="V17"/>
  <c r="X17" s="1"/>
  <c r="Y17" i="25"/>
  <c r="Y28"/>
  <c r="N28"/>
  <c r="Y25"/>
  <c r="T24"/>
  <c r="P11" i="22"/>
  <c r="R11"/>
  <c r="L12"/>
  <c r="Y12"/>
  <c r="N11"/>
  <c r="N9"/>
  <c r="V8"/>
  <c r="X8"/>
  <c r="O8"/>
  <c r="R27" i="23"/>
  <c r="O11"/>
  <c r="V11"/>
  <c r="X11" s="1"/>
  <c r="M11"/>
  <c r="V18" i="24"/>
  <c r="X18"/>
  <c r="V26" i="25"/>
  <c r="X26"/>
  <c r="M26"/>
  <c r="V23"/>
  <c r="X23" s="1"/>
  <c r="M23"/>
  <c r="V26" i="22"/>
  <c r="X26" s="1"/>
  <c r="O26"/>
  <c r="M26"/>
  <c r="N25"/>
  <c r="C24"/>
  <c r="D24"/>
  <c r="Q24"/>
  <c r="V11"/>
  <c r="X11"/>
  <c r="O11"/>
  <c r="Y28" i="23"/>
  <c r="M27"/>
  <c r="V27"/>
  <c r="Y17"/>
  <c r="M12" i="24"/>
  <c r="P28" i="25"/>
  <c r="M18" i="22"/>
  <c r="O18"/>
  <c r="M16"/>
  <c r="N18"/>
  <c r="P18"/>
  <c r="M18" i="25"/>
  <c r="V18"/>
  <c r="X18" s="1"/>
  <c r="N18"/>
  <c r="V17"/>
  <c r="X17" s="1"/>
  <c r="O17" i="22"/>
  <c r="M17"/>
  <c r="N14"/>
  <c r="P13" i="23"/>
  <c r="V7" i="24"/>
  <c r="X7"/>
  <c r="N25" i="23"/>
  <c r="P23"/>
  <c r="M18"/>
  <c r="O18"/>
  <c r="S12" i="22"/>
  <c r="P18" i="23"/>
  <c r="U10" i="25"/>
  <c r="V10" s="1"/>
  <c r="X10" s="1"/>
  <c r="Y7"/>
  <c r="V7"/>
  <c r="X7" s="1"/>
  <c r="F24" i="27"/>
  <c r="C24" i="25"/>
  <c r="D24"/>
  <c r="S24"/>
  <c r="O23" i="23"/>
  <c r="V23"/>
  <c r="X23"/>
  <c r="Y26"/>
  <c r="N18"/>
  <c r="R27" i="24"/>
  <c r="M28" i="23"/>
  <c r="V28"/>
  <c r="X28"/>
  <c r="Y14" i="25"/>
  <c r="V26" i="24"/>
  <c r="X26" s="1"/>
  <c r="M26"/>
  <c r="O26"/>
  <c r="M11"/>
  <c r="Y27" i="25"/>
  <c r="Y26" i="22"/>
  <c r="R26"/>
  <c r="N26"/>
  <c r="P26"/>
  <c r="R25" i="23"/>
  <c r="C29" i="25"/>
  <c r="D29"/>
  <c r="O9" i="22"/>
  <c r="V9"/>
  <c r="X9" s="1"/>
  <c r="Y18" i="25"/>
  <c r="M11"/>
  <c r="D29" i="22"/>
  <c r="D30" s="1"/>
  <c r="K29"/>
  <c r="V29"/>
  <c r="X29" s="1"/>
  <c r="M29"/>
  <c r="R25"/>
  <c r="Q12" i="23"/>
  <c r="C12"/>
  <c r="D12"/>
  <c r="G12" i="27"/>
  <c r="O28" i="23"/>
  <c r="O29" i="22"/>
  <c r="M27" i="24"/>
  <c r="P16" i="25"/>
  <c r="N16"/>
  <c r="R7"/>
  <c r="O7"/>
  <c r="N17" i="24"/>
  <c r="V9" i="23"/>
  <c r="X9" s="1"/>
  <c r="S12"/>
  <c r="N12"/>
  <c r="U19" i="24"/>
  <c r="M28" i="25"/>
  <c r="O8" i="23"/>
  <c r="M8"/>
  <c r="R28" i="25"/>
  <c r="P17" i="24"/>
  <c r="Y16"/>
  <c r="O7" i="22"/>
  <c r="U19" i="23"/>
  <c r="V8"/>
  <c r="X8"/>
  <c r="U10"/>
  <c r="Y10"/>
  <c r="R13"/>
  <c r="O13"/>
  <c r="N26" i="24"/>
  <c r="M9"/>
  <c r="O8"/>
  <c r="V8"/>
  <c r="X8" s="1"/>
  <c r="Y16" i="25"/>
  <c r="U19"/>
  <c r="V19" s="1"/>
  <c r="X19" s="1"/>
  <c r="J12" i="27"/>
  <c r="O11" i="25"/>
  <c r="P8"/>
  <c r="N8"/>
  <c r="P13" i="24"/>
  <c r="N13" i="23"/>
  <c r="Y13" i="24"/>
  <c r="N23" i="25"/>
  <c r="R27" i="22"/>
  <c r="O25" i="23"/>
  <c r="R18" i="22"/>
  <c r="P7"/>
  <c r="V26" i="23"/>
  <c r="O26"/>
  <c r="Y14" i="24"/>
  <c r="N14"/>
  <c r="N11" i="25"/>
  <c r="Y11"/>
  <c r="R11"/>
  <c r="N16" i="22"/>
  <c r="S19"/>
  <c r="M14" i="23"/>
  <c r="U10" i="24"/>
  <c r="O23"/>
  <c r="O14"/>
  <c r="V14"/>
  <c r="X14"/>
  <c r="R14"/>
  <c r="P9"/>
  <c r="Y9"/>
  <c r="N9"/>
  <c r="R9"/>
  <c r="V9"/>
  <c r="X9" s="1"/>
  <c r="R8" i="25"/>
  <c r="M8"/>
  <c r="O8"/>
  <c r="R18"/>
  <c r="O17"/>
  <c r="M13" i="23"/>
  <c r="P26" i="24"/>
  <c r="P7" i="23"/>
  <c r="N7"/>
  <c r="M7" i="24"/>
  <c r="O7"/>
  <c r="F37" i="22"/>
  <c r="Y23" i="24"/>
  <c r="R23"/>
  <c r="R18"/>
  <c r="O18"/>
  <c r="F38" i="25"/>
  <c r="P12" i="22"/>
  <c r="F37" i="24"/>
  <c r="Y13" i="25"/>
  <c r="N13"/>
  <c r="R8" i="23"/>
  <c r="Y8"/>
  <c r="P8"/>
  <c r="F38" i="24"/>
  <c r="N24" i="25"/>
  <c r="M24"/>
  <c r="V24"/>
  <c r="X24" s="1"/>
  <c r="R24"/>
  <c r="N14" i="23"/>
  <c r="Y14"/>
  <c r="R14"/>
  <c r="O14"/>
  <c r="Y25" i="24"/>
  <c r="N25"/>
  <c r="H30"/>
  <c r="M25"/>
  <c r="O25"/>
  <c r="R25"/>
  <c r="L10" i="22"/>
  <c r="H30"/>
  <c r="F38"/>
  <c r="O7" i="23"/>
  <c r="M7"/>
  <c r="G10" i="27"/>
  <c r="F38" s="1"/>
  <c r="V7" i="23"/>
  <c r="X7"/>
  <c r="R7" i="22"/>
  <c r="V7"/>
  <c r="X7" s="1"/>
  <c r="P23" i="24"/>
  <c r="J24" i="27"/>
  <c r="P23" i="22"/>
  <c r="L24"/>
  <c r="N23"/>
  <c r="O23"/>
  <c r="K24"/>
  <c r="R24" s="1"/>
  <c r="V23" i="24"/>
  <c r="X23" s="1"/>
  <c r="S24"/>
  <c r="P15" i="23"/>
  <c r="P15" i="22"/>
  <c r="Y15"/>
  <c r="R15"/>
  <c r="O15"/>
  <c r="R15" i="25"/>
  <c r="H19" i="27"/>
  <c r="R15" i="24"/>
  <c r="R15" i="23"/>
  <c r="N15" i="25"/>
  <c r="N15" i="24"/>
  <c r="D19" i="22"/>
  <c r="M15" i="25"/>
  <c r="V15"/>
  <c r="X15" s="1"/>
  <c r="M15" i="24"/>
  <c r="V15"/>
  <c r="X15" s="1"/>
  <c r="M15" i="23"/>
  <c r="M15" i="22"/>
  <c r="I29" i="27"/>
  <c r="V27" i="25"/>
  <c r="X27"/>
  <c r="M26" i="23"/>
  <c r="R26" i="24"/>
  <c r="O26" i="25"/>
  <c r="I30"/>
  <c r="J30" i="24"/>
  <c r="J30" i="23"/>
  <c r="P16" i="24"/>
  <c r="P16" i="22"/>
  <c r="R17" i="25"/>
  <c r="R17" i="23"/>
  <c r="Y17" i="22"/>
  <c r="N17"/>
  <c r="P17" i="23"/>
  <c r="R18"/>
  <c r="G37"/>
  <c r="M17" i="24"/>
  <c r="O17"/>
  <c r="R17"/>
  <c r="I19" i="27"/>
  <c r="G37" s="1"/>
  <c r="V16" i="24"/>
  <c r="X16" s="1"/>
  <c r="R16" i="23"/>
  <c r="O16"/>
  <c r="R16" i="24"/>
  <c r="V16" i="25"/>
  <c r="X16" s="1"/>
  <c r="R16"/>
  <c r="M16" i="23"/>
  <c r="M16" i="24"/>
  <c r="O16" i="25"/>
  <c r="J19" i="27"/>
  <c r="Y14" i="22"/>
  <c r="N14" i="25"/>
  <c r="N13" i="22"/>
  <c r="R14"/>
  <c r="M14" i="25"/>
  <c r="O14"/>
  <c r="V14" i="22"/>
  <c r="X14"/>
  <c r="R14" i="25"/>
  <c r="O14" i="22"/>
  <c r="I30" i="24"/>
  <c r="M13" i="22"/>
  <c r="V13" i="24"/>
  <c r="X13"/>
  <c r="R13" i="25"/>
  <c r="R13" i="24"/>
  <c r="M13"/>
  <c r="M13" i="25"/>
  <c r="O13"/>
  <c r="N13" i="24"/>
  <c r="F37" i="25"/>
  <c r="R12" i="24"/>
  <c r="R12" i="23"/>
  <c r="N11"/>
  <c r="P11"/>
  <c r="P12"/>
  <c r="N12" i="22"/>
  <c r="Y11" i="24"/>
  <c r="R11" i="23"/>
  <c r="P11" i="24"/>
  <c r="M12" i="25"/>
  <c r="O12"/>
  <c r="V12"/>
  <c r="X12" s="1"/>
  <c r="R11" i="24"/>
  <c r="V12" i="23"/>
  <c r="X12"/>
  <c r="R12" i="22"/>
  <c r="M12" i="23"/>
  <c r="O11" i="24"/>
  <c r="P9" i="23"/>
  <c r="P9" i="22"/>
  <c r="N9" i="23"/>
  <c r="R9" i="22"/>
  <c r="M9" i="23"/>
  <c r="O9"/>
  <c r="R8" i="24"/>
  <c r="N8"/>
  <c r="Y8"/>
  <c r="J10" i="27"/>
  <c r="P8" i="24"/>
  <c r="N10" i="22"/>
  <c r="R7" i="24"/>
  <c r="T10" i="22"/>
  <c r="P7" i="24"/>
  <c r="J30" i="22"/>
  <c r="T30"/>
  <c r="N7" i="24"/>
  <c r="G38" i="25"/>
  <c r="K10" i="22"/>
  <c r="G38" i="24"/>
  <c r="Y9" i="25"/>
  <c r="P9"/>
  <c r="V9"/>
  <c r="X9" s="1"/>
  <c r="R9"/>
  <c r="H38"/>
  <c r="J38" s="1"/>
  <c r="P24" i="24"/>
  <c r="R24"/>
  <c r="Y24"/>
  <c r="Y24" i="22"/>
  <c r="P24"/>
  <c r="N24"/>
  <c r="M24"/>
  <c r="H37" i="24"/>
  <c r="Y12" i="25"/>
  <c r="R12"/>
  <c r="H38" i="22"/>
  <c r="J38" s="1"/>
  <c r="R10"/>
  <c r="T29" i="24"/>
  <c r="Q29"/>
  <c r="C29"/>
  <c r="D29" s="1"/>
  <c r="M19"/>
  <c r="S19"/>
  <c r="E37"/>
  <c r="I37" s="1"/>
  <c r="Q19"/>
  <c r="F12" i="27"/>
  <c r="Q12" s="1"/>
  <c r="T12" i="24"/>
  <c r="N12"/>
  <c r="Q12"/>
  <c r="S12"/>
  <c r="E12" i="27"/>
  <c r="E30" i="24"/>
  <c r="F30"/>
  <c r="Q30" s="1"/>
  <c r="Q10"/>
  <c r="C10"/>
  <c r="D10"/>
  <c r="E38"/>
  <c r="I38"/>
  <c r="C29" i="23"/>
  <c r="D29"/>
  <c r="S29"/>
  <c r="Q29"/>
  <c r="T19"/>
  <c r="S19"/>
  <c r="I37"/>
  <c r="Q19"/>
  <c r="C19"/>
  <c r="D19"/>
  <c r="F30"/>
  <c r="T30"/>
  <c r="Q10"/>
  <c r="I38"/>
  <c r="S10"/>
  <c r="E30"/>
  <c r="S30" s="1"/>
  <c r="E29" i="27"/>
  <c r="C29" s="1"/>
  <c r="T29" i="25"/>
  <c r="F29" i="27"/>
  <c r="Q29" i="25"/>
  <c r="S29"/>
  <c r="S19"/>
  <c r="F30"/>
  <c r="F30" i="27" s="1"/>
  <c r="T12" i="25"/>
  <c r="Q12"/>
  <c r="N12"/>
  <c r="E38"/>
  <c r="I38" s="1"/>
  <c r="E30"/>
  <c r="S30" s="1"/>
  <c r="T10"/>
  <c r="Q10"/>
  <c r="M10"/>
  <c r="O10"/>
  <c r="F19" i="27"/>
  <c r="E19"/>
  <c r="C19" s="1"/>
  <c r="F10"/>
  <c r="E10"/>
  <c r="E38" s="1"/>
  <c r="I38" s="1"/>
  <c r="T30" i="24"/>
  <c r="Q30" i="23"/>
  <c r="E30" i="27"/>
  <c r="C30" s="1"/>
  <c r="O10" i="22"/>
  <c r="V10"/>
  <c r="X10" s="1"/>
  <c r="M10"/>
  <c r="N29" i="25"/>
  <c r="V24" i="22"/>
  <c r="X24" s="1"/>
  <c r="P10"/>
  <c r="Y10"/>
  <c r="P27" i="24"/>
  <c r="N27"/>
  <c r="Q24" i="25"/>
  <c r="O12" i="24"/>
  <c r="R25" i="25"/>
  <c r="P28" i="24"/>
  <c r="V28"/>
  <c r="X28" s="1"/>
  <c r="E37" i="25"/>
  <c r="I37" s="1"/>
  <c r="R28" i="24"/>
  <c r="N25" i="25"/>
  <c r="V25" i="24"/>
  <c r="X25" s="1"/>
  <c r="H24" i="27"/>
  <c r="Y23" i="22"/>
  <c r="R10" i="25"/>
  <c r="L29" i="24"/>
  <c r="N29" s="1"/>
  <c r="N28"/>
  <c r="Y28"/>
  <c r="E24" i="27"/>
  <c r="C24" s="1"/>
  <c r="D24" s="1"/>
  <c r="O24" i="24"/>
  <c r="M24"/>
  <c r="O27" i="25"/>
  <c r="M27"/>
  <c r="C19"/>
  <c r="D19" s="1"/>
  <c r="Q19"/>
  <c r="V23" i="22"/>
  <c r="X23" s="1"/>
  <c r="M23"/>
  <c r="R13"/>
  <c r="O13"/>
  <c r="V13"/>
  <c r="X13"/>
  <c r="I30"/>
  <c r="S30"/>
  <c r="S10"/>
  <c r="G38"/>
  <c r="P27" i="23"/>
  <c r="Y27"/>
  <c r="N27"/>
  <c r="L29"/>
  <c r="N29" s="1"/>
  <c r="P25"/>
  <c r="Y25"/>
  <c r="K24"/>
  <c r="M24" s="1"/>
  <c r="R23"/>
  <c r="M23"/>
  <c r="O24" i="22"/>
  <c r="C30" i="25"/>
  <c r="C30" i="24"/>
  <c r="S30"/>
  <c r="K29" i="25"/>
  <c r="O29" s="1"/>
  <c r="K29" i="23"/>
  <c r="M29"/>
  <c r="H29" i="27"/>
  <c r="H12"/>
  <c r="M10" i="23"/>
  <c r="M12" i="22"/>
  <c r="V12"/>
  <c r="X12"/>
  <c r="O12"/>
  <c r="Q24" i="24"/>
  <c r="N24"/>
  <c r="R27" i="25"/>
  <c r="N27"/>
  <c r="P27"/>
  <c r="S10"/>
  <c r="I10" i="27"/>
  <c r="G38" s="1"/>
  <c r="Y28" i="22"/>
  <c r="N28"/>
  <c r="P28"/>
  <c r="R28"/>
  <c r="Y25"/>
  <c r="L29"/>
  <c r="P29" s="1"/>
  <c r="P25"/>
  <c r="R16"/>
  <c r="Y16"/>
  <c r="L19"/>
  <c r="L30" s="1"/>
  <c r="N7"/>
  <c r="Y7"/>
  <c r="C24" i="23"/>
  <c r="D24"/>
  <c r="D30" s="1"/>
  <c r="O24"/>
  <c r="G19" i="27"/>
  <c r="F37" s="1"/>
  <c r="G30" i="23"/>
  <c r="O29"/>
  <c r="N29" i="22"/>
  <c r="M29" i="25"/>
  <c r="R29" i="23"/>
  <c r="V12" i="24"/>
  <c r="X12"/>
  <c r="N10"/>
  <c r="P10" i="25"/>
  <c r="H37" i="23"/>
  <c r="O10"/>
  <c r="H38"/>
  <c r="J38" s="1"/>
  <c r="R19" i="22"/>
  <c r="R29"/>
  <c r="V19"/>
  <c r="X19" s="1"/>
  <c r="M19"/>
  <c r="O19"/>
  <c r="H37"/>
  <c r="Y29"/>
  <c r="J30" i="27"/>
  <c r="K29" i="24"/>
  <c r="K29" i="27" s="1"/>
  <c r="G30" i="22"/>
  <c r="K30" s="1"/>
  <c r="I30" i="27"/>
  <c r="S30" s="1"/>
  <c r="Q30" i="25"/>
  <c r="O28" i="24"/>
  <c r="M29"/>
  <c r="R21" i="27"/>
  <c r="O21"/>
  <c r="V19" i="24"/>
  <c r="X19"/>
  <c r="U30"/>
  <c r="O19"/>
  <c r="M19" i="23"/>
  <c r="N19" i="24"/>
  <c r="P29" i="25"/>
  <c r="Y19"/>
  <c r="S13" i="27"/>
  <c r="O20"/>
  <c r="M21"/>
  <c r="R20"/>
  <c r="V16"/>
  <c r="X16" s="1"/>
  <c r="C17"/>
  <c r="T8"/>
  <c r="T25"/>
  <c r="C28"/>
  <c r="D28" s="1"/>
  <c r="Q23"/>
  <c r="S17"/>
  <c r="T23"/>
  <c r="S16"/>
  <c r="S27"/>
  <c r="Y9"/>
  <c r="M15"/>
  <c r="R10" i="23"/>
  <c r="N10"/>
  <c r="M19" i="25"/>
  <c r="Q7" i="27"/>
  <c r="C27"/>
  <c r="D27" s="1"/>
  <c r="Q27"/>
  <c r="Q19"/>
  <c r="R15"/>
  <c r="Y19" i="24"/>
  <c r="P19"/>
  <c r="R19"/>
  <c r="K10" i="27"/>
  <c r="H38" s="1"/>
  <c r="J38" s="1"/>
  <c r="Y10" i="24"/>
  <c r="P10"/>
  <c r="L30"/>
  <c r="K30"/>
  <c r="M30" s="1"/>
  <c r="R10"/>
  <c r="H38"/>
  <c r="J37" s="1"/>
  <c r="M10"/>
  <c r="V10"/>
  <c r="X10" s="1"/>
  <c r="V10" i="23"/>
  <c r="X10" s="1"/>
  <c r="O30" i="24"/>
  <c r="J38"/>
  <c r="S7" i="27" l="1"/>
  <c r="S11"/>
  <c r="Q16"/>
  <c r="P13"/>
  <c r="S8"/>
  <c r="O17"/>
  <c r="O30" i="22"/>
  <c r="M30"/>
  <c r="V30"/>
  <c r="X30" s="1"/>
  <c r="Y30"/>
  <c r="R30"/>
  <c r="P30"/>
  <c r="N30"/>
  <c r="Y24" i="23"/>
  <c r="P24"/>
  <c r="R24"/>
  <c r="N24"/>
  <c r="O23" i="27"/>
  <c r="M23"/>
  <c r="G30"/>
  <c r="D30" i="25"/>
  <c r="J37" i="23"/>
  <c r="D29" i="27"/>
  <c r="T19"/>
  <c r="T28"/>
  <c r="M25"/>
  <c r="D11"/>
  <c r="D8"/>
  <c r="N19" i="25"/>
  <c r="V25" i="27"/>
  <c r="X25" s="1"/>
  <c r="K28"/>
  <c r="R30" i="24"/>
  <c r="K30" i="23"/>
  <c r="R29" i="25"/>
  <c r="V30" i="24"/>
  <c r="X30" s="1"/>
  <c r="O29"/>
  <c r="Y29" i="23"/>
  <c r="V29" i="24"/>
  <c r="X29" s="1"/>
  <c r="Y19" i="22"/>
  <c r="N19"/>
  <c r="P29" i="24"/>
  <c r="P29" i="23"/>
  <c r="P19" i="22"/>
  <c r="C30" i="23"/>
  <c r="J37" i="22"/>
  <c r="T24" i="27"/>
  <c r="V29" i="25"/>
  <c r="X29" s="1"/>
  <c r="V25"/>
  <c r="X25" s="1"/>
  <c r="U24" i="27"/>
  <c r="O28"/>
  <c r="P26"/>
  <c r="U12"/>
  <c r="L30" i="23"/>
  <c r="K12" i="27"/>
  <c r="O12" s="1"/>
  <c r="K19"/>
  <c r="H37" s="1"/>
  <c r="K24"/>
  <c r="V23"/>
  <c r="X23" s="1"/>
  <c r="M13"/>
  <c r="Y24" i="25"/>
  <c r="V12" i="27"/>
  <c r="X12" s="1"/>
  <c r="Y10" i="25"/>
  <c r="U10" i="27"/>
  <c r="V10" s="1"/>
  <c r="X10" s="1"/>
  <c r="U30" i="25"/>
  <c r="O18" i="27"/>
  <c r="V11"/>
  <c r="X11" s="1"/>
  <c r="Y26"/>
  <c r="V7"/>
  <c r="X7" s="1"/>
  <c r="Q18"/>
  <c r="O13"/>
  <c r="C26"/>
  <c r="D26" s="1"/>
  <c r="Q11"/>
  <c r="V13"/>
  <c r="X13" s="1"/>
  <c r="V21"/>
  <c r="X21" s="1"/>
  <c r="C18"/>
  <c r="D18" s="1"/>
  <c r="M18"/>
  <c r="S12"/>
  <c r="O26"/>
  <c r="C12"/>
  <c r="D12" s="1"/>
  <c r="O11"/>
  <c r="M26"/>
  <c r="V24"/>
  <c r="X24" s="1"/>
  <c r="R7"/>
  <c r="Y7"/>
  <c r="T10"/>
  <c r="Q10"/>
  <c r="D23"/>
  <c r="T12"/>
  <c r="M8"/>
  <c r="T29"/>
  <c r="R13"/>
  <c r="L30"/>
  <c r="N30" s="1"/>
  <c r="V29"/>
  <c r="X29" s="1"/>
  <c r="R29" i="24"/>
  <c r="P30"/>
  <c r="Y29"/>
  <c r="Y30"/>
  <c r="N30"/>
  <c r="N16" i="27"/>
  <c r="Y16"/>
  <c r="D19"/>
  <c r="O29"/>
  <c r="O25"/>
  <c r="O16"/>
  <c r="N13"/>
  <c r="O9"/>
  <c r="N9"/>
  <c r="Y15"/>
  <c r="O8"/>
  <c r="Q28"/>
  <c r="Q29"/>
  <c r="P17"/>
  <c r="O27"/>
  <c r="V9"/>
  <c r="X9" s="1"/>
  <c r="S28"/>
  <c r="J37"/>
  <c r="M28"/>
  <c r="M11"/>
  <c r="T30"/>
  <c r="S9"/>
  <c r="L28"/>
  <c r="P28" s="1"/>
  <c r="S25"/>
  <c r="L23"/>
  <c r="R23" s="1"/>
  <c r="V26"/>
  <c r="X26" s="1"/>
  <c r="Q25"/>
  <c r="M29"/>
  <c r="D17"/>
  <c r="D30"/>
  <c r="L25"/>
  <c r="N25" s="1"/>
  <c r="S23"/>
  <c r="D16"/>
  <c r="Q8"/>
  <c r="C25"/>
  <c r="D25" s="1"/>
  <c r="S29"/>
  <c r="Q24"/>
  <c r="S24"/>
  <c r="P16"/>
  <c r="Q13"/>
  <c r="P7"/>
  <c r="M24"/>
  <c r="V18"/>
  <c r="X18" s="1"/>
  <c r="V17"/>
  <c r="X17" s="1"/>
  <c r="P19" i="25"/>
  <c r="L30"/>
  <c r="N30" s="1"/>
  <c r="U19" i="27"/>
  <c r="K30" i="25"/>
  <c r="O19"/>
  <c r="H37"/>
  <c r="J37" s="1"/>
  <c r="R19"/>
  <c r="R18" i="27"/>
  <c r="N18"/>
  <c r="Y18"/>
  <c r="P23"/>
  <c r="Y17"/>
  <c r="N17"/>
  <c r="R17"/>
  <c r="L24"/>
  <c r="L19"/>
  <c r="R19" s="1"/>
  <c r="N14"/>
  <c r="R14"/>
  <c r="P14"/>
  <c r="N11"/>
  <c r="P11"/>
  <c r="Y11"/>
  <c r="L12"/>
  <c r="R11"/>
  <c r="P18"/>
  <c r="Y27"/>
  <c r="R27"/>
  <c r="P27"/>
  <c r="N27"/>
  <c r="N8"/>
  <c r="R8"/>
  <c r="P8"/>
  <c r="Y8"/>
  <c r="M9"/>
  <c r="E37"/>
  <c r="I37" s="1"/>
  <c r="M16"/>
  <c r="Q30"/>
  <c r="Q14"/>
  <c r="N7"/>
  <c r="Q26"/>
  <c r="T9"/>
  <c r="T11"/>
  <c r="C7"/>
  <c r="D7" s="1"/>
  <c r="L10"/>
  <c r="C10"/>
  <c r="D10" s="1"/>
  <c r="S19"/>
  <c r="N26"/>
  <c r="T16"/>
  <c r="S14"/>
  <c r="T7"/>
  <c r="V20"/>
  <c r="X20" s="1"/>
  <c r="R9"/>
  <c r="C14"/>
  <c r="D14" s="1"/>
  <c r="M14"/>
  <c r="Q17"/>
  <c r="M19"/>
  <c r="V15"/>
  <c r="X15" s="1"/>
  <c r="M17"/>
  <c r="S10"/>
  <c r="O24"/>
  <c r="N15"/>
  <c r="Y14"/>
  <c r="T26"/>
  <c r="T17"/>
  <c r="Q9"/>
  <c r="M27"/>
  <c r="R16"/>
  <c r="V28"/>
  <c r="X28" s="1"/>
  <c r="V27"/>
  <c r="X27" s="1"/>
  <c r="O10"/>
  <c r="M10"/>
  <c r="O19"/>
  <c r="N30" i="23"/>
  <c r="P30"/>
  <c r="R30"/>
  <c r="P19"/>
  <c r="N19"/>
  <c r="Y19"/>
  <c r="R19"/>
  <c r="V19"/>
  <c r="X19" s="1"/>
  <c r="V14" i="27"/>
  <c r="X14" s="1"/>
  <c r="U30" i="23"/>
  <c r="M30" l="1"/>
  <c r="O30"/>
  <c r="M12" i="27"/>
  <c r="Y10"/>
  <c r="Y19"/>
  <c r="P30"/>
  <c r="L29"/>
  <c r="N29" s="1"/>
  <c r="N23"/>
  <c r="P25"/>
  <c r="Y23"/>
  <c r="R25"/>
  <c r="Y25"/>
  <c r="N28"/>
  <c r="Y28"/>
  <c r="R28"/>
  <c r="Y30" i="25"/>
  <c r="P30"/>
  <c r="V19" i="27"/>
  <c r="X19" s="1"/>
  <c r="M30" i="25"/>
  <c r="O30"/>
  <c r="K30" i="27"/>
  <c r="R30" i="25"/>
  <c r="V30"/>
  <c r="X30" s="1"/>
  <c r="N12" i="27"/>
  <c r="R12"/>
  <c r="Y12"/>
  <c r="P12"/>
  <c r="P29"/>
  <c r="P10"/>
  <c r="R10"/>
  <c r="N10"/>
  <c r="N24"/>
  <c r="P24"/>
  <c r="R24"/>
  <c r="Y24"/>
  <c r="N19"/>
  <c r="P19"/>
  <c r="U30"/>
  <c r="V30" i="23"/>
  <c r="X30" s="1"/>
  <c r="Y30"/>
  <c r="Y29" i="27" l="1"/>
  <c r="R29"/>
  <c r="O30"/>
  <c r="M30"/>
  <c r="R30"/>
  <c r="V30"/>
  <c r="X30" s="1"/>
  <c r="Y30"/>
</calcChain>
</file>

<file path=xl/sharedStrings.xml><?xml version="1.0" encoding="utf-8"?>
<sst xmlns="http://schemas.openxmlformats.org/spreadsheetml/2006/main" count="705" uniqueCount="83">
  <si>
    <t>totaal</t>
  </si>
  <si>
    <t>A</t>
  </si>
  <si>
    <t>TOTAAL</t>
  </si>
  <si>
    <t>stuks</t>
  </si>
  <si>
    <t>budget</t>
  </si>
  <si>
    <t>Lijst  :</t>
  </si>
  <si>
    <t>BUDGET</t>
  </si>
  <si>
    <t>IN NOTA</t>
  </si>
  <si>
    <t>ONTVANGEN</t>
  </si>
  <si>
    <t>TOTAAL GEKOCHT</t>
  </si>
  <si>
    <t>% GEKOCHT</t>
  </si>
  <si>
    <t>NOG TE BESTELLEN</t>
  </si>
  <si>
    <t>gemiddelde waarde</t>
  </si>
  <si>
    <t>% ONTV.</t>
  </si>
  <si>
    <t>waarde</t>
  </si>
  <si>
    <t>gekocht</t>
  </si>
  <si>
    <t>BB</t>
  </si>
  <si>
    <t>BQ</t>
  </si>
  <si>
    <t>BOTTEMS</t>
  </si>
  <si>
    <t>OJ</t>
  </si>
  <si>
    <t>OUTERWEAR</t>
  </si>
  <si>
    <t>TE</t>
  </si>
  <si>
    <t>TH</t>
  </si>
  <si>
    <t>TT</t>
  </si>
  <si>
    <t>TV</t>
  </si>
  <si>
    <t>TW</t>
  </si>
  <si>
    <t>TOPS</t>
  </si>
  <si>
    <t>UI</t>
  </si>
  <si>
    <t>UPPERWEAR</t>
  </si>
  <si>
    <t>ACCESSOIRES</t>
  </si>
  <si>
    <t>bottems</t>
  </si>
  <si>
    <t>tops</t>
  </si>
  <si>
    <t>verkp wrd</t>
  </si>
  <si>
    <t>evol</t>
  </si>
  <si>
    <t>gem/st vkp</t>
  </si>
  <si>
    <t>BJ</t>
  </si>
  <si>
    <t xml:space="preserve">top / bottem verhouding </t>
  </si>
  <si>
    <t>in stuks</t>
  </si>
  <si>
    <t>innota</t>
  </si>
  <si>
    <t xml:space="preserve">ontvangen </t>
  </si>
  <si>
    <t>tot gekocht</t>
  </si>
  <si>
    <t>verh  bud</t>
  </si>
  <si>
    <t>verh gek</t>
  </si>
  <si>
    <t>M</t>
  </si>
  <si>
    <t xml:space="preserve">aantal ref </t>
  </si>
  <si>
    <t>aantal ref</t>
  </si>
  <si>
    <t>marge</t>
  </si>
  <si>
    <t>D</t>
  </si>
  <si>
    <t>B</t>
  </si>
  <si>
    <t>R</t>
  </si>
  <si>
    <t>P</t>
  </si>
  <si>
    <t>open tot 80%</t>
  </si>
  <si>
    <t xml:space="preserve">A </t>
  </si>
  <si>
    <t xml:space="preserve"> </t>
  </si>
  <si>
    <t>Z10</t>
  </si>
  <si>
    <t>L</t>
  </si>
  <si>
    <t>TP</t>
  </si>
  <si>
    <t>Z11</t>
  </si>
  <si>
    <t>Z11%</t>
  </si>
  <si>
    <t>NIGHT UNDER</t>
  </si>
  <si>
    <t>NN</t>
  </si>
  <si>
    <t>NU</t>
  </si>
  <si>
    <t>productgroup</t>
  </si>
  <si>
    <t>qty</t>
  </si>
  <si>
    <t>kostprijs</t>
  </si>
  <si>
    <t>gemkp</t>
  </si>
  <si>
    <t>verkoopwaarde</t>
  </si>
  <si>
    <t>gemvkp</t>
  </si>
  <si>
    <t>Marge %</t>
  </si>
  <si>
    <t>HFA</t>
  </si>
  <si>
    <t>XB</t>
  </si>
  <si>
    <t>XR</t>
  </si>
  <si>
    <t>HHA</t>
  </si>
  <si>
    <t>HHM</t>
  </si>
  <si>
    <t>HUA</t>
  </si>
  <si>
    <t>XL</t>
  </si>
  <si>
    <t>HUM</t>
  </si>
  <si>
    <t>FA</t>
  </si>
  <si>
    <t>UA</t>
  </si>
  <si>
    <t>UM</t>
  </si>
  <si>
    <t>HA</t>
  </si>
  <si>
    <t>HM</t>
  </si>
  <si>
    <t>TOTAL</t>
  </si>
</sst>
</file>

<file path=xl/styles.xml><?xml version="1.0" encoding="utf-8"?>
<styleSheet xmlns="http://schemas.openxmlformats.org/spreadsheetml/2006/main">
  <numFmts count="3">
    <numFmt numFmtId="164" formatCode="[$-1010409]General"/>
    <numFmt numFmtId="165" formatCode="[$-1010409]0.00"/>
    <numFmt numFmtId="166" formatCode="[$-1010409]#,##0.00#%"/>
  </numFmts>
  <fonts count="29">
    <font>
      <sz val="10"/>
      <name val="Arial"/>
    </font>
    <font>
      <sz val="10"/>
      <name val="Arial"/>
    </font>
    <font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sz val="10"/>
      <color indexed="10"/>
      <name val="Times New Roman"/>
      <family val="1"/>
    </font>
    <font>
      <b/>
      <i/>
      <sz val="8"/>
      <color indexed="10"/>
      <name val="Times New Roman"/>
      <family val="1"/>
    </font>
    <font>
      <b/>
      <i/>
      <u/>
      <sz val="10"/>
      <name val="Times New Roman"/>
      <family val="1"/>
    </font>
    <font>
      <b/>
      <sz val="18"/>
      <name val="Times New Roman"/>
      <family val="1"/>
    </font>
    <font>
      <b/>
      <i/>
      <sz val="10"/>
      <name val="Times New Roman"/>
      <family val="1"/>
    </font>
    <font>
      <sz val="8"/>
      <name val="Times New Roman"/>
      <family val="1"/>
    </font>
    <font>
      <b/>
      <u/>
      <sz val="10"/>
      <name val="Times New Roman"/>
      <family val="1"/>
    </font>
    <font>
      <b/>
      <sz val="18"/>
      <color indexed="10"/>
      <name val="Times New Roman"/>
      <family val="1"/>
    </font>
    <font>
      <sz val="10"/>
      <color indexed="10"/>
      <name val="Arial"/>
      <family val="2"/>
    </font>
    <font>
      <sz val="8"/>
      <color indexed="10"/>
      <name val="Times New Roman"/>
      <family val="1"/>
    </font>
    <font>
      <sz val="10"/>
      <color indexed="48"/>
      <name val="Times New Roman"/>
      <family val="1"/>
    </font>
    <font>
      <b/>
      <sz val="8"/>
      <color indexed="10"/>
      <name val="Times New Roman"/>
      <family val="1"/>
    </font>
    <font>
      <b/>
      <sz val="16"/>
      <name val="Times New Roman"/>
      <family val="1"/>
    </font>
    <font>
      <b/>
      <sz val="12"/>
      <color indexed="48"/>
      <name val="Arial"/>
      <family val="2"/>
    </font>
    <font>
      <b/>
      <sz val="10"/>
      <name val="Arial"/>
      <family val="2"/>
    </font>
    <font>
      <i/>
      <sz val="10"/>
      <name val="Times New Roman"/>
      <family val="1"/>
    </font>
    <font>
      <sz val="10"/>
      <color indexed="10"/>
      <name val="Arial"/>
      <family val="2"/>
    </font>
    <font>
      <b/>
      <u/>
      <sz val="14"/>
      <name val="Arial"/>
      <family val="2"/>
    </font>
    <font>
      <sz val="10"/>
      <name val="Arial"/>
      <family val="2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name val="Arial"/>
      <charset val="1"/>
    </font>
    <font>
      <sz val="10"/>
      <color indexed="8"/>
      <name val="Arial"/>
      <charset val="1"/>
    </font>
    <font>
      <sz val="10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151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6" fillId="0" borderId="0">
      <alignment wrapText="1"/>
    </xf>
    <xf numFmtId="0" fontId="23" fillId="0" borderId="0">
      <alignment wrapText="1"/>
    </xf>
    <xf numFmtId="0" fontId="23" fillId="0" borderId="0">
      <alignment wrapText="1"/>
    </xf>
  </cellStyleXfs>
  <cellXfs count="420">
    <xf numFmtId="0" fontId="0" fillId="0" borderId="0" xfId="0"/>
    <xf numFmtId="3" fontId="2" fillId="0" borderId="0" xfId="0" applyNumberFormat="1" applyFont="1"/>
    <xf numFmtId="3" fontId="2" fillId="0" borderId="1" xfId="0" applyNumberFormat="1" applyFont="1" applyBorder="1"/>
    <xf numFmtId="3" fontId="2" fillId="0" borderId="0" xfId="0" applyNumberFormat="1" applyFont="1" applyBorder="1"/>
    <xf numFmtId="3" fontId="2" fillId="0" borderId="2" xfId="0" applyNumberFormat="1" applyFont="1" applyBorder="1"/>
    <xf numFmtId="3" fontId="4" fillId="2" borderId="3" xfId="0" applyNumberFormat="1" applyFont="1" applyFill="1" applyBorder="1"/>
    <xf numFmtId="3" fontId="4" fillId="0" borderId="4" xfId="0" applyNumberFormat="1" applyFont="1" applyBorder="1"/>
    <xf numFmtId="3" fontId="8" fillId="0" borderId="0" xfId="0" applyNumberFormat="1" applyFont="1"/>
    <xf numFmtId="3" fontId="7" fillId="0" borderId="0" xfId="0" applyNumberFormat="1" applyFont="1"/>
    <xf numFmtId="15" fontId="7" fillId="0" borderId="0" xfId="0" applyNumberFormat="1" applyFont="1"/>
    <xf numFmtId="9" fontId="8" fillId="0" borderId="0" xfId="1" applyFont="1"/>
    <xf numFmtId="2" fontId="8" fillId="0" borderId="0" xfId="0" applyNumberFormat="1" applyFont="1"/>
    <xf numFmtId="9" fontId="8" fillId="0" borderId="0" xfId="0" applyNumberFormat="1" applyFont="1"/>
    <xf numFmtId="3" fontId="4" fillId="0" borderId="5" xfId="0" applyNumberFormat="1" applyFont="1" applyBorder="1"/>
    <xf numFmtId="3" fontId="4" fillId="0" borderId="6" xfId="0" applyNumberFormat="1" applyFont="1" applyBorder="1"/>
    <xf numFmtId="3" fontId="4" fillId="0" borderId="7" xfId="0" applyNumberFormat="1" applyFont="1" applyBorder="1"/>
    <xf numFmtId="3" fontId="4" fillId="2" borderId="6" xfId="0" applyNumberFormat="1" applyFont="1" applyFill="1" applyBorder="1"/>
    <xf numFmtId="9" fontId="4" fillId="2" borderId="5" xfId="1" applyFont="1" applyFill="1" applyBorder="1"/>
    <xf numFmtId="9" fontId="4" fillId="2" borderId="7" xfId="1" applyFont="1" applyFill="1" applyBorder="1"/>
    <xf numFmtId="2" fontId="4" fillId="2" borderId="7" xfId="0" applyNumberFormat="1" applyFont="1" applyFill="1" applyBorder="1"/>
    <xf numFmtId="9" fontId="4" fillId="2" borderId="5" xfId="0" applyNumberFormat="1" applyFont="1" applyFill="1" applyBorder="1"/>
    <xf numFmtId="9" fontId="4" fillId="2" borderId="7" xfId="0" applyNumberFormat="1" applyFont="1" applyFill="1" applyBorder="1"/>
    <xf numFmtId="3" fontId="4" fillId="0" borderId="2" xfId="0" applyNumberFormat="1" applyFont="1" applyBorder="1"/>
    <xf numFmtId="3" fontId="4" fillId="0" borderId="8" xfId="0" applyNumberFormat="1" applyFont="1" applyBorder="1"/>
    <xf numFmtId="9" fontId="4" fillId="0" borderId="2" xfId="1" applyFont="1" applyBorder="1"/>
    <xf numFmtId="9" fontId="4" fillId="0" borderId="8" xfId="1" applyFont="1" applyBorder="1"/>
    <xf numFmtId="2" fontId="4" fillId="0" borderId="8" xfId="0" applyNumberFormat="1" applyFont="1" applyBorder="1"/>
    <xf numFmtId="9" fontId="4" fillId="0" borderId="2" xfId="0" applyNumberFormat="1" applyFont="1" applyBorder="1"/>
    <xf numFmtId="9" fontId="4" fillId="0" borderId="8" xfId="0" applyNumberFormat="1" applyFont="1" applyBorder="1"/>
    <xf numFmtId="3" fontId="2" fillId="0" borderId="9" xfId="0" applyNumberFormat="1" applyFont="1" applyBorder="1"/>
    <xf numFmtId="9" fontId="2" fillId="0" borderId="1" xfId="1" applyFont="1" applyBorder="1"/>
    <xf numFmtId="2" fontId="2" fillId="0" borderId="9" xfId="0" applyNumberFormat="1" applyFont="1" applyBorder="1"/>
    <xf numFmtId="9" fontId="2" fillId="0" borderId="1" xfId="0" applyNumberFormat="1" applyFont="1" applyBorder="1"/>
    <xf numFmtId="9" fontId="2" fillId="0" borderId="9" xfId="0" applyNumberFormat="1" applyFont="1" applyBorder="1"/>
    <xf numFmtId="3" fontId="4" fillId="2" borderId="10" xfId="0" applyNumberFormat="1" applyFont="1" applyFill="1" applyBorder="1"/>
    <xf numFmtId="3" fontId="4" fillId="2" borderId="11" xfId="0" applyNumberFormat="1" applyFont="1" applyFill="1" applyBorder="1"/>
    <xf numFmtId="3" fontId="9" fillId="2" borderId="3" xfId="0" applyNumberFormat="1" applyFont="1" applyFill="1" applyBorder="1"/>
    <xf numFmtId="3" fontId="9" fillId="2" borderId="10" xfId="0" applyNumberFormat="1" applyFont="1" applyFill="1" applyBorder="1"/>
    <xf numFmtId="3" fontId="9" fillId="2" borderId="11" xfId="0" applyNumberFormat="1" applyFont="1" applyFill="1" applyBorder="1"/>
    <xf numFmtId="3" fontId="9" fillId="0" borderId="0" xfId="0" applyNumberFormat="1" applyFont="1"/>
    <xf numFmtId="3" fontId="12" fillId="0" borderId="0" xfId="0" applyNumberFormat="1" applyFont="1"/>
    <xf numFmtId="2" fontId="12" fillId="0" borderId="0" xfId="0" applyNumberFormat="1" applyFont="1"/>
    <xf numFmtId="2" fontId="12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0" borderId="5" xfId="0" applyBorder="1"/>
    <xf numFmtId="3" fontId="4" fillId="2" borderId="12" xfId="0" applyNumberFormat="1" applyFont="1" applyFill="1" applyBorder="1"/>
    <xf numFmtId="3" fontId="4" fillId="2" borderId="13" xfId="0" applyNumberFormat="1" applyFont="1" applyFill="1" applyBorder="1"/>
    <xf numFmtId="9" fontId="4" fillId="2" borderId="13" xfId="1" applyFont="1" applyFill="1" applyBorder="1"/>
    <xf numFmtId="0" fontId="18" fillId="0" borderId="0" xfId="0" applyFont="1"/>
    <xf numFmtId="0" fontId="0" fillId="0" borderId="6" xfId="0" applyBorder="1"/>
    <xf numFmtId="3" fontId="2" fillId="0" borderId="4" xfId="0" applyNumberFormat="1" applyFont="1" applyBorder="1"/>
    <xf numFmtId="9" fontId="4" fillId="3" borderId="14" xfId="0" applyNumberFormat="1" applyFont="1" applyFill="1" applyBorder="1" applyAlignment="1">
      <alignment horizontal="center"/>
    </xf>
    <xf numFmtId="3" fontId="4" fillId="3" borderId="15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9" fontId="4" fillId="3" borderId="5" xfId="0" applyNumberFormat="1" applyFont="1" applyFill="1" applyBorder="1" applyAlignment="1">
      <alignment horizontal="center"/>
    </xf>
    <xf numFmtId="3" fontId="4" fillId="3" borderId="2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4" fillId="0" borderId="3" xfId="0" applyNumberFormat="1" applyFont="1" applyFill="1" applyBorder="1" applyAlignment="1">
      <alignment horizontal="center"/>
    </xf>
    <xf numFmtId="3" fontId="4" fillId="0" borderId="13" xfId="0" applyNumberFormat="1" applyFont="1" applyFill="1" applyBorder="1" applyAlignment="1">
      <alignment horizontal="center"/>
    </xf>
    <xf numFmtId="2" fontId="4" fillId="2" borderId="13" xfId="0" applyNumberFormat="1" applyFont="1" applyFill="1" applyBorder="1"/>
    <xf numFmtId="2" fontId="4" fillId="2" borderId="3" xfId="0" applyNumberFormat="1" applyFont="1" applyFill="1" applyBorder="1"/>
    <xf numFmtId="9" fontId="4" fillId="2" borderId="13" xfId="0" applyNumberFormat="1" applyFont="1" applyFill="1" applyBorder="1"/>
    <xf numFmtId="0" fontId="0" fillId="0" borderId="14" xfId="0" applyBorder="1"/>
    <xf numFmtId="3" fontId="2" fillId="0" borderId="16" xfId="0" applyNumberFormat="1" applyFont="1" applyBorder="1"/>
    <xf numFmtId="3" fontId="2" fillId="0" borderId="15" xfId="0" applyNumberFormat="1" applyFont="1" applyBorder="1"/>
    <xf numFmtId="0" fontId="13" fillId="0" borderId="6" xfId="0" applyFont="1" applyBorder="1"/>
    <xf numFmtId="3" fontId="3" fillId="0" borderId="0" xfId="0" applyNumberFormat="1" applyFont="1" applyBorder="1"/>
    <xf numFmtId="0" fontId="13" fillId="0" borderId="14" xfId="0" applyFont="1" applyBorder="1"/>
    <xf numFmtId="3" fontId="3" fillId="0" borderId="16" xfId="0" applyNumberFormat="1" applyFont="1" applyBorder="1"/>
    <xf numFmtId="3" fontId="2" fillId="2" borderId="5" xfId="0" applyNumberFormat="1" applyFont="1" applyFill="1" applyBorder="1"/>
    <xf numFmtId="3" fontId="2" fillId="0" borderId="8" xfId="0" applyNumberFormat="1" applyFont="1" applyBorder="1"/>
    <xf numFmtId="3" fontId="4" fillId="2" borderId="5" xfId="0" applyNumberFormat="1" applyFont="1" applyFill="1" applyBorder="1"/>
    <xf numFmtId="3" fontId="2" fillId="2" borderId="7" xfId="0" applyNumberFormat="1" applyFont="1" applyFill="1" applyBorder="1"/>
    <xf numFmtId="2" fontId="2" fillId="2" borderId="13" xfId="0" applyNumberFormat="1" applyFont="1" applyFill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2" fontId="4" fillId="0" borderId="17" xfId="0" applyNumberFormat="1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2" fontId="4" fillId="2" borderId="13" xfId="0" applyNumberFormat="1" applyFont="1" applyFill="1" applyBorder="1" applyAlignment="1">
      <alignment horizontal="center"/>
    </xf>
    <xf numFmtId="2" fontId="4" fillId="2" borderId="14" xfId="0" applyNumberFormat="1" applyFont="1" applyFill="1" applyBorder="1" applyAlignment="1">
      <alignment horizontal="center"/>
    </xf>
    <xf numFmtId="2" fontId="2" fillId="0" borderId="16" xfId="0" applyNumberFormat="1" applyFont="1" applyBorder="1" applyAlignment="1">
      <alignment horizontal="center"/>
    </xf>
    <xf numFmtId="2" fontId="2" fillId="0" borderId="14" xfId="0" applyNumberFormat="1" applyFont="1" applyBorder="1" applyAlignment="1">
      <alignment horizontal="center"/>
    </xf>
    <xf numFmtId="3" fontId="2" fillId="0" borderId="8" xfId="0" applyNumberFormat="1" applyFont="1" applyBorder="1" applyAlignment="1">
      <alignment horizontal="center"/>
    </xf>
    <xf numFmtId="2" fontId="4" fillId="0" borderId="14" xfId="0" applyNumberFormat="1" applyFont="1" applyBorder="1"/>
    <xf numFmtId="2" fontId="4" fillId="0" borderId="15" xfId="0" applyNumberFormat="1" applyFont="1" applyBorder="1"/>
    <xf numFmtId="2" fontId="4" fillId="0" borderId="16" xfId="0" applyNumberFormat="1" applyFont="1" applyBorder="1"/>
    <xf numFmtId="4" fontId="2" fillId="0" borderId="0" xfId="0" applyNumberFormat="1" applyFont="1" applyBorder="1"/>
    <xf numFmtId="4" fontId="2" fillId="0" borderId="4" xfId="0" applyNumberFormat="1" applyFont="1" applyBorder="1"/>
    <xf numFmtId="0" fontId="19" fillId="2" borderId="14" xfId="0" applyFont="1" applyFill="1" applyBorder="1"/>
    <xf numFmtId="3" fontId="4" fillId="2" borderId="16" xfId="0" applyNumberFormat="1" applyFont="1" applyFill="1" applyBorder="1"/>
    <xf numFmtId="3" fontId="4" fillId="2" borderId="15" xfId="0" applyNumberFormat="1" applyFont="1" applyFill="1" applyBorder="1"/>
    <xf numFmtId="4" fontId="4" fillId="2" borderId="16" xfId="0" applyNumberFormat="1" applyFont="1" applyFill="1" applyBorder="1"/>
    <xf numFmtId="4" fontId="4" fillId="2" borderId="15" xfId="0" applyNumberFormat="1" applyFont="1" applyFill="1" applyBorder="1"/>
    <xf numFmtId="0" fontId="1" fillId="0" borderId="14" xfId="0" applyFont="1" applyBorder="1"/>
    <xf numFmtId="0" fontId="1" fillId="0" borderId="6" xfId="0" applyFont="1" applyBorder="1"/>
    <xf numFmtId="4" fontId="2" fillId="0" borderId="16" xfId="0" applyNumberFormat="1" applyFont="1" applyBorder="1"/>
    <xf numFmtId="4" fontId="2" fillId="0" borderId="15" xfId="0" applyNumberFormat="1" applyFont="1" applyBorder="1"/>
    <xf numFmtId="0" fontId="19" fillId="2" borderId="7" xfId="0" applyFont="1" applyFill="1" applyBorder="1"/>
    <xf numFmtId="3" fontId="4" fillId="2" borderId="19" xfId="0" applyNumberFormat="1" applyFont="1" applyFill="1" applyBorder="1"/>
    <xf numFmtId="3" fontId="4" fillId="2" borderId="20" xfId="0" applyNumberFormat="1" applyFont="1" applyFill="1" applyBorder="1"/>
    <xf numFmtId="4" fontId="4" fillId="2" borderId="19" xfId="0" applyNumberFormat="1" applyFont="1" applyFill="1" applyBorder="1"/>
    <xf numFmtId="4" fontId="4" fillId="2" borderId="20" xfId="0" applyNumberFormat="1" applyFont="1" applyFill="1" applyBorder="1"/>
    <xf numFmtId="3" fontId="4" fillId="0" borderId="3" xfId="0" applyNumberFormat="1" applyFont="1" applyFill="1" applyBorder="1"/>
    <xf numFmtId="3" fontId="4" fillId="0" borderId="0" xfId="0" applyNumberFormat="1" applyFont="1" applyBorder="1"/>
    <xf numFmtId="3" fontId="4" fillId="0" borderId="0" xfId="0" applyNumberFormat="1" applyFont="1" applyFill="1" applyBorder="1"/>
    <xf numFmtId="3" fontId="4" fillId="0" borderId="5" xfId="0" applyNumberFormat="1" applyFont="1" applyFill="1" applyBorder="1"/>
    <xf numFmtId="3" fontId="4" fillId="0" borderId="1" xfId="0" applyNumberFormat="1" applyFont="1" applyFill="1" applyBorder="1"/>
    <xf numFmtId="3" fontId="4" fillId="0" borderId="2" xfId="0" applyNumberFormat="1" applyFont="1" applyFill="1" applyBorder="1"/>
    <xf numFmtId="9" fontId="2" fillId="0" borderId="18" xfId="0" applyNumberFormat="1" applyFont="1" applyBorder="1"/>
    <xf numFmtId="9" fontId="4" fillId="2" borderId="3" xfId="0" applyNumberFormat="1" applyFont="1" applyFill="1" applyBorder="1"/>
    <xf numFmtId="2" fontId="4" fillId="2" borderId="12" xfId="0" applyNumberFormat="1" applyFont="1" applyFill="1" applyBorder="1" applyAlignment="1">
      <alignment horizontal="center"/>
    </xf>
    <xf numFmtId="0" fontId="19" fillId="0" borderId="0" xfId="0" applyFont="1"/>
    <xf numFmtId="3" fontId="14" fillId="0" borderId="0" xfId="0" applyNumberFormat="1" applyFont="1" applyBorder="1"/>
    <xf numFmtId="9" fontId="2" fillId="0" borderId="0" xfId="1" applyFont="1" applyBorder="1"/>
    <xf numFmtId="3" fontId="9" fillId="0" borderId="0" xfId="0" applyNumberFormat="1" applyFont="1" applyBorder="1"/>
    <xf numFmtId="3" fontId="6" fillId="0" borderId="0" xfId="0" applyNumberFormat="1" applyFont="1" applyBorder="1"/>
    <xf numFmtId="3" fontId="10" fillId="0" borderId="0" xfId="0" applyNumberFormat="1" applyFont="1" applyBorder="1"/>
    <xf numFmtId="9" fontId="10" fillId="0" borderId="0" xfId="1" applyFont="1" applyBorder="1"/>
    <xf numFmtId="2" fontId="2" fillId="0" borderId="0" xfId="0" applyNumberFormat="1" applyFont="1" applyBorder="1"/>
    <xf numFmtId="2" fontId="5" fillId="0" borderId="0" xfId="0" applyNumberFormat="1" applyFont="1" applyBorder="1"/>
    <xf numFmtId="9" fontId="2" fillId="0" borderId="0" xfId="0" applyNumberFormat="1" applyFont="1" applyBorder="1"/>
    <xf numFmtId="9" fontId="5" fillId="0" borderId="0" xfId="0" applyNumberFormat="1" applyFont="1" applyBorder="1"/>
    <xf numFmtId="10" fontId="16" fillId="0" borderId="0" xfId="0" applyNumberFormat="1" applyFont="1" applyBorder="1" applyAlignment="1">
      <alignment horizontal="center"/>
    </xf>
    <xf numFmtId="10" fontId="15" fillId="0" borderId="0" xfId="0" applyNumberFormat="1" applyFont="1" applyBorder="1" applyAlignment="1">
      <alignment horizontal="center"/>
    </xf>
    <xf numFmtId="2" fontId="6" fillId="0" borderId="0" xfId="0" applyNumberFormat="1" applyFont="1" applyBorder="1"/>
    <xf numFmtId="0" fontId="0" fillId="0" borderId="0" xfId="0" applyBorder="1"/>
    <xf numFmtId="3" fontId="5" fillId="0" borderId="0" xfId="0" applyNumberFormat="1" applyFont="1" applyBorder="1"/>
    <xf numFmtId="9" fontId="21" fillId="0" borderId="21" xfId="1" applyFont="1" applyBorder="1"/>
    <xf numFmtId="0" fontId="22" fillId="0" borderId="0" xfId="0" applyFont="1"/>
    <xf numFmtId="0" fontId="19" fillId="0" borderId="14" xfId="0" applyFont="1" applyBorder="1"/>
    <xf numFmtId="3" fontId="4" fillId="0" borderId="16" xfId="0" applyNumberFormat="1" applyFont="1" applyBorder="1"/>
    <xf numFmtId="3" fontId="4" fillId="0" borderId="15" xfId="0" applyNumberFormat="1" applyFont="1" applyBorder="1"/>
    <xf numFmtId="0" fontId="19" fillId="0" borderId="6" xfId="0" applyFont="1" applyBorder="1"/>
    <xf numFmtId="9" fontId="4" fillId="2" borderId="15" xfId="1" applyFont="1" applyFill="1" applyBorder="1"/>
    <xf numFmtId="9" fontId="4" fillId="0" borderId="5" xfId="1" applyFont="1" applyFill="1" applyBorder="1"/>
    <xf numFmtId="9" fontId="4" fillId="0" borderId="1" xfId="1" applyFont="1" applyFill="1" applyBorder="1"/>
    <xf numFmtId="9" fontId="4" fillId="0" borderId="2" xfId="1" applyFont="1" applyFill="1" applyBorder="1"/>
    <xf numFmtId="3" fontId="2" fillId="0" borderId="13" xfId="0" applyNumberFormat="1" applyFont="1" applyFill="1" applyBorder="1" applyAlignment="1">
      <alignment horizontal="center"/>
    </xf>
    <xf numFmtId="3" fontId="4" fillId="2" borderId="2" xfId="0" applyNumberFormat="1" applyFont="1" applyFill="1" applyBorder="1"/>
    <xf numFmtId="3" fontId="2" fillId="0" borderId="18" xfId="0" applyNumberFormat="1" applyFont="1" applyBorder="1"/>
    <xf numFmtId="3" fontId="4" fillId="2" borderId="0" xfId="0" applyNumberFormat="1" applyFont="1" applyFill="1" applyBorder="1"/>
    <xf numFmtId="3" fontId="2" fillId="0" borderId="22" xfId="0" applyNumberFormat="1" applyFont="1" applyBorder="1"/>
    <xf numFmtId="3" fontId="2" fillId="0" borderId="11" xfId="0" applyNumberFormat="1" applyFont="1" applyBorder="1"/>
    <xf numFmtId="9" fontId="2" fillId="0" borderId="22" xfId="1" applyFont="1" applyBorder="1"/>
    <xf numFmtId="9" fontId="2" fillId="0" borderId="9" xfId="1" applyFont="1" applyBorder="1"/>
    <xf numFmtId="9" fontId="4" fillId="2" borderId="11" xfId="1" applyFont="1" applyFill="1" applyBorder="1"/>
    <xf numFmtId="9" fontId="2" fillId="0" borderId="8" xfId="1" applyFont="1" applyBorder="1"/>
    <xf numFmtId="3" fontId="2" fillId="0" borderId="23" xfId="0" applyNumberFormat="1" applyFont="1" applyBorder="1"/>
    <xf numFmtId="3" fontId="2" fillId="0" borderId="17" xfId="0" applyNumberFormat="1" applyFont="1" applyBorder="1"/>
    <xf numFmtId="2" fontId="4" fillId="0" borderId="17" xfId="0" applyNumberFormat="1" applyFont="1" applyBorder="1"/>
    <xf numFmtId="2" fontId="2" fillId="0" borderId="18" xfId="0" applyNumberFormat="1" applyFont="1" applyBorder="1"/>
    <xf numFmtId="2" fontId="4" fillId="2" borderId="11" xfId="0" applyNumberFormat="1" applyFont="1" applyFill="1" applyBorder="1"/>
    <xf numFmtId="2" fontId="2" fillId="0" borderId="8" xfId="0" applyNumberFormat="1" applyFont="1" applyBorder="1"/>
    <xf numFmtId="2" fontId="4" fillId="2" borderId="11" xfId="0" applyNumberFormat="1" applyFont="1" applyFill="1" applyBorder="1" applyAlignment="1">
      <alignment horizontal="center"/>
    </xf>
    <xf numFmtId="2" fontId="2" fillId="0" borderId="22" xfId="0" applyNumberFormat="1" applyFont="1" applyBorder="1"/>
    <xf numFmtId="9" fontId="4" fillId="2" borderId="3" xfId="1" applyFont="1" applyFill="1" applyBorder="1"/>
    <xf numFmtId="3" fontId="4" fillId="0" borderId="17" xfId="0" applyNumberFormat="1" applyFont="1" applyBorder="1"/>
    <xf numFmtId="2" fontId="2" fillId="0" borderId="7" xfId="0" applyNumberFormat="1" applyFont="1" applyBorder="1" applyAlignment="1">
      <alignment horizontal="center"/>
    </xf>
    <xf numFmtId="9" fontId="4" fillId="0" borderId="3" xfId="1" applyFont="1" applyFill="1" applyBorder="1"/>
    <xf numFmtId="9" fontId="4" fillId="0" borderId="11" xfId="1" applyFont="1" applyFill="1" applyBorder="1"/>
    <xf numFmtId="9" fontId="4" fillId="2" borderId="22" xfId="1" applyFont="1" applyFill="1" applyBorder="1"/>
    <xf numFmtId="9" fontId="4" fillId="0" borderId="22" xfId="1" applyFont="1" applyFill="1" applyBorder="1"/>
    <xf numFmtId="9" fontId="4" fillId="0" borderId="9" xfId="1" applyFont="1" applyFill="1" applyBorder="1"/>
    <xf numFmtId="9" fontId="4" fillId="0" borderId="8" xfId="1" applyFont="1" applyFill="1" applyBorder="1"/>
    <xf numFmtId="2" fontId="4" fillId="0" borderId="25" xfId="0" applyNumberFormat="1" applyFont="1" applyBorder="1"/>
    <xf numFmtId="2" fontId="4" fillId="0" borderId="23" xfId="0" applyNumberFormat="1" applyFont="1" applyBorder="1" applyAlignment="1">
      <alignment horizontal="center"/>
    </xf>
    <xf numFmtId="3" fontId="4" fillId="0" borderId="22" xfId="0" applyNumberFormat="1" applyFont="1" applyFill="1" applyBorder="1"/>
    <xf numFmtId="3" fontId="4" fillId="0" borderId="9" xfId="0" applyNumberFormat="1" applyFont="1" applyFill="1" applyBorder="1"/>
    <xf numFmtId="3" fontId="4" fillId="0" borderId="8" xfId="0" applyNumberFormat="1" applyFont="1" applyFill="1" applyBorder="1"/>
    <xf numFmtId="3" fontId="4" fillId="0" borderId="11" xfId="0" applyNumberFormat="1" applyFont="1" applyFill="1" applyBorder="1"/>
    <xf numFmtId="3" fontId="4" fillId="2" borderId="22" xfId="0" applyNumberFormat="1" applyFont="1" applyFill="1" applyBorder="1"/>
    <xf numFmtId="3" fontId="4" fillId="2" borderId="9" xfId="0" applyNumberFormat="1" applyFont="1" applyFill="1" applyBorder="1"/>
    <xf numFmtId="3" fontId="9" fillId="0" borderId="0" xfId="0" applyNumberFormat="1" applyFont="1" applyFill="1" applyBorder="1"/>
    <xf numFmtId="9" fontId="4" fillId="0" borderId="0" xfId="1" applyFont="1" applyFill="1" applyBorder="1"/>
    <xf numFmtId="2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3" fontId="2" fillId="0" borderId="0" xfId="0" applyNumberFormat="1" applyFont="1" applyFill="1" applyBorder="1"/>
    <xf numFmtId="3" fontId="3" fillId="0" borderId="0" xfId="0" applyNumberFormat="1" applyFont="1" applyFill="1" applyBorder="1"/>
    <xf numFmtId="2" fontId="2" fillId="0" borderId="0" xfId="0" applyNumberFormat="1" applyFont="1" applyFill="1" applyBorder="1"/>
    <xf numFmtId="9" fontId="2" fillId="0" borderId="0" xfId="0" applyNumberFormat="1" applyFont="1" applyFill="1" applyBorder="1"/>
    <xf numFmtId="2" fontId="3" fillId="0" borderId="0" xfId="0" applyNumberFormat="1" applyFont="1" applyFill="1" applyBorder="1"/>
    <xf numFmtId="3" fontId="11" fillId="0" borderId="0" xfId="0" applyNumberFormat="1" applyFont="1" applyFill="1" applyBorder="1"/>
    <xf numFmtId="2" fontId="2" fillId="0" borderId="0" xfId="0" quotePrefix="1" applyNumberFormat="1" applyFont="1" applyFill="1" applyBorder="1"/>
    <xf numFmtId="2" fontId="3" fillId="0" borderId="0" xfId="0" applyNumberFormat="1" applyFont="1" applyFill="1" applyBorder="1" applyAlignment="1">
      <alignment horizontal="center"/>
    </xf>
    <xf numFmtId="3" fontId="4" fillId="5" borderId="5" xfId="0" applyNumberFormat="1" applyFont="1" applyFill="1" applyBorder="1"/>
    <xf numFmtId="3" fontId="4" fillId="5" borderId="7" xfId="0" applyNumberFormat="1" applyFont="1" applyFill="1" applyBorder="1"/>
    <xf numFmtId="3" fontId="2" fillId="5" borderId="5" xfId="0" applyNumberFormat="1" applyFont="1" applyFill="1" applyBorder="1"/>
    <xf numFmtId="3" fontId="2" fillId="5" borderId="7" xfId="0" applyNumberFormat="1" applyFont="1" applyFill="1" applyBorder="1"/>
    <xf numFmtId="3" fontId="4" fillId="5" borderId="2" xfId="0" applyNumberFormat="1" applyFont="1" applyFill="1" applyBorder="1"/>
    <xf numFmtId="3" fontId="4" fillId="5" borderId="8" xfId="0" applyNumberFormat="1" applyFont="1" applyFill="1" applyBorder="1"/>
    <xf numFmtId="3" fontId="2" fillId="5" borderId="2" xfId="0" applyNumberFormat="1" applyFont="1" applyFill="1" applyBorder="1"/>
    <xf numFmtId="3" fontId="2" fillId="5" borderId="8" xfId="0" applyNumberFormat="1" applyFont="1" applyFill="1" applyBorder="1"/>
    <xf numFmtId="3" fontId="4" fillId="5" borderId="1" xfId="0" applyNumberFormat="1" applyFont="1" applyFill="1" applyBorder="1"/>
    <xf numFmtId="3" fontId="2" fillId="5" borderId="1" xfId="0" applyNumberFormat="1" applyFont="1" applyFill="1" applyBorder="1"/>
    <xf numFmtId="3" fontId="4" fillId="5" borderId="9" xfId="0" applyNumberFormat="1" applyFont="1" applyFill="1" applyBorder="1"/>
    <xf numFmtId="3" fontId="4" fillId="5" borderId="3" xfId="0" applyNumberFormat="1" applyFont="1" applyFill="1" applyBorder="1"/>
    <xf numFmtId="3" fontId="4" fillId="5" borderId="11" xfId="0" applyNumberFormat="1" applyFont="1" applyFill="1" applyBorder="1"/>
    <xf numFmtId="3" fontId="2" fillId="5" borderId="3" xfId="0" applyNumberFormat="1" applyFont="1" applyFill="1" applyBorder="1"/>
    <xf numFmtId="3" fontId="9" fillId="5" borderId="10" xfId="0" applyNumberFormat="1" applyFont="1" applyFill="1" applyBorder="1"/>
    <xf numFmtId="3" fontId="4" fillId="5" borderId="18" xfId="0" applyNumberFormat="1" applyFont="1" applyFill="1" applyBorder="1"/>
    <xf numFmtId="3" fontId="4" fillId="5" borderId="10" xfId="0" applyNumberFormat="1" applyFont="1" applyFill="1" applyBorder="1"/>
    <xf numFmtId="3" fontId="4" fillId="5" borderId="6" xfId="0" applyNumberFormat="1" applyFont="1" applyFill="1" applyBorder="1"/>
    <xf numFmtId="3" fontId="2" fillId="5" borderId="9" xfId="0" applyNumberFormat="1" applyFont="1" applyFill="1" applyBorder="1"/>
    <xf numFmtId="3" fontId="2" fillId="5" borderId="11" xfId="0" applyNumberFormat="1" applyFont="1" applyFill="1" applyBorder="1"/>
    <xf numFmtId="3" fontId="9" fillId="5" borderId="3" xfId="0" applyNumberFormat="1" applyFont="1" applyFill="1" applyBorder="1"/>
    <xf numFmtId="3" fontId="4" fillId="5" borderId="17" xfId="0" applyNumberFormat="1" applyFont="1" applyFill="1" applyBorder="1"/>
    <xf numFmtId="9" fontId="21" fillId="0" borderId="0" xfId="1" applyFont="1" applyBorder="1"/>
    <xf numFmtId="9" fontId="21" fillId="0" borderId="27" xfId="1" applyFont="1" applyBorder="1"/>
    <xf numFmtId="0" fontId="21" fillId="0" borderId="28" xfId="0" applyFont="1" applyBorder="1"/>
    <xf numFmtId="0" fontId="0" fillId="0" borderId="15" xfId="0" applyBorder="1"/>
    <xf numFmtId="3" fontId="4" fillId="2" borderId="7" xfId="0" applyNumberFormat="1" applyFont="1" applyFill="1" applyBorder="1"/>
    <xf numFmtId="3" fontId="2" fillId="0" borderId="0" xfId="0" applyNumberFormat="1" applyFont="1" applyAlignment="1">
      <alignment horizontal="center"/>
    </xf>
    <xf numFmtId="9" fontId="2" fillId="0" borderId="0" xfId="1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3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3" fontId="24" fillId="7" borderId="13" xfId="0" applyNumberFormat="1" applyFont="1" applyFill="1" applyBorder="1"/>
    <xf numFmtId="9" fontId="4" fillId="2" borderId="6" xfId="0" applyNumberFormat="1" applyFont="1" applyFill="1" applyBorder="1"/>
    <xf numFmtId="9" fontId="4" fillId="0" borderId="17" xfId="0" applyNumberFormat="1" applyFont="1" applyBorder="1"/>
    <xf numFmtId="3" fontId="24" fillId="7" borderId="14" xfId="0" applyNumberFormat="1" applyFont="1" applyFill="1" applyBorder="1"/>
    <xf numFmtId="3" fontId="24" fillId="7" borderId="15" xfId="0" applyNumberFormat="1" applyFont="1" applyFill="1" applyBorder="1"/>
    <xf numFmtId="3" fontId="25" fillId="7" borderId="14" xfId="0" applyNumberFormat="1" applyFont="1" applyFill="1" applyBorder="1"/>
    <xf numFmtId="3" fontId="25" fillId="7" borderId="16" xfId="0" applyNumberFormat="1" applyFont="1" applyFill="1" applyBorder="1"/>
    <xf numFmtId="3" fontId="25" fillId="7" borderId="15" xfId="0" applyNumberFormat="1" applyFont="1" applyFill="1" applyBorder="1"/>
    <xf numFmtId="0" fontId="27" fillId="0" borderId="29" xfId="2" applyFont="1" applyFill="1" applyBorder="1" applyAlignment="1">
      <alignment vertical="top" wrapText="1"/>
    </xf>
    <xf numFmtId="0" fontId="27" fillId="0" borderId="29" xfId="2" applyFont="1" applyFill="1" applyBorder="1" applyAlignment="1">
      <alignment horizontal="right" vertical="top" wrapText="1"/>
    </xf>
    <xf numFmtId="0" fontId="0" fillId="0" borderId="0" xfId="0"/>
    <xf numFmtId="3" fontId="2" fillId="0" borderId="0" xfId="0" applyNumberFormat="1" applyFont="1"/>
    <xf numFmtId="3" fontId="2" fillId="0" borderId="1" xfId="0" applyNumberFormat="1" applyFont="1" applyBorder="1"/>
    <xf numFmtId="3" fontId="2" fillId="0" borderId="0" xfId="0" applyNumberFormat="1" applyFont="1" applyBorder="1"/>
    <xf numFmtId="3" fontId="2" fillId="0" borderId="2" xfId="0" applyNumberFormat="1" applyFont="1" applyBorder="1"/>
    <xf numFmtId="3" fontId="4" fillId="2" borderId="3" xfId="0" applyNumberFormat="1" applyFont="1" applyFill="1" applyBorder="1"/>
    <xf numFmtId="3" fontId="4" fillId="0" borderId="4" xfId="0" applyNumberFormat="1" applyFont="1" applyBorder="1"/>
    <xf numFmtId="3" fontId="8" fillId="0" borderId="0" xfId="0" applyNumberFormat="1" applyFont="1"/>
    <xf numFmtId="3" fontId="7" fillId="0" borderId="0" xfId="0" applyNumberFormat="1" applyFont="1"/>
    <xf numFmtId="15" fontId="7" fillId="0" borderId="0" xfId="0" applyNumberFormat="1" applyFont="1"/>
    <xf numFmtId="9" fontId="8" fillId="0" borderId="0" xfId="1" applyFont="1"/>
    <xf numFmtId="2" fontId="8" fillId="0" borderId="0" xfId="0" applyNumberFormat="1" applyFont="1"/>
    <xf numFmtId="9" fontId="8" fillId="0" borderId="0" xfId="0" applyNumberFormat="1" applyFont="1"/>
    <xf numFmtId="3" fontId="4" fillId="0" borderId="5" xfId="0" applyNumberFormat="1" applyFont="1" applyBorder="1"/>
    <xf numFmtId="3" fontId="4" fillId="0" borderId="6" xfId="0" applyNumberFormat="1" applyFont="1" applyBorder="1"/>
    <xf numFmtId="3" fontId="4" fillId="0" borderId="7" xfId="0" applyNumberFormat="1" applyFont="1" applyBorder="1"/>
    <xf numFmtId="3" fontId="4" fillId="2" borderId="6" xfId="0" applyNumberFormat="1" applyFont="1" applyFill="1" applyBorder="1"/>
    <xf numFmtId="9" fontId="4" fillId="2" borderId="5" xfId="1" applyFont="1" applyFill="1" applyBorder="1"/>
    <xf numFmtId="9" fontId="4" fillId="2" borderId="7" xfId="1" applyFont="1" applyFill="1" applyBorder="1"/>
    <xf numFmtId="2" fontId="4" fillId="2" borderId="7" xfId="0" applyNumberFormat="1" applyFont="1" applyFill="1" applyBorder="1"/>
    <xf numFmtId="9" fontId="4" fillId="2" borderId="5" xfId="0" applyNumberFormat="1" applyFont="1" applyFill="1" applyBorder="1"/>
    <xf numFmtId="9" fontId="4" fillId="2" borderId="7" xfId="0" applyNumberFormat="1" applyFont="1" applyFill="1" applyBorder="1"/>
    <xf numFmtId="3" fontId="4" fillId="0" borderId="2" xfId="0" applyNumberFormat="1" applyFont="1" applyBorder="1"/>
    <xf numFmtId="3" fontId="4" fillId="0" borderId="8" xfId="0" applyNumberFormat="1" applyFont="1" applyBorder="1"/>
    <xf numFmtId="9" fontId="4" fillId="0" borderId="2" xfId="1" applyFont="1" applyBorder="1"/>
    <xf numFmtId="9" fontId="4" fillId="0" borderId="8" xfId="1" applyFont="1" applyBorder="1"/>
    <xf numFmtId="2" fontId="4" fillId="0" borderId="8" xfId="0" applyNumberFormat="1" applyFont="1" applyBorder="1"/>
    <xf numFmtId="9" fontId="4" fillId="0" borderId="2" xfId="0" applyNumberFormat="1" applyFont="1" applyBorder="1"/>
    <xf numFmtId="9" fontId="4" fillId="0" borderId="8" xfId="0" applyNumberFormat="1" applyFont="1" applyBorder="1"/>
    <xf numFmtId="3" fontId="2" fillId="0" borderId="9" xfId="0" applyNumberFormat="1" applyFont="1" applyBorder="1"/>
    <xf numFmtId="2" fontId="2" fillId="0" borderId="9" xfId="0" applyNumberFormat="1" applyFont="1" applyBorder="1"/>
    <xf numFmtId="9" fontId="2" fillId="0" borderId="1" xfId="0" applyNumberFormat="1" applyFont="1" applyBorder="1"/>
    <xf numFmtId="9" fontId="2" fillId="0" borderId="9" xfId="0" applyNumberFormat="1" applyFont="1" applyBorder="1"/>
    <xf numFmtId="3" fontId="4" fillId="2" borderId="10" xfId="0" applyNumberFormat="1" applyFont="1" applyFill="1" applyBorder="1"/>
    <xf numFmtId="3" fontId="4" fillId="2" borderId="11" xfId="0" applyNumberFormat="1" applyFont="1" applyFill="1" applyBorder="1"/>
    <xf numFmtId="3" fontId="9" fillId="2" borderId="10" xfId="0" applyNumberFormat="1" applyFont="1" applyFill="1" applyBorder="1"/>
    <xf numFmtId="3" fontId="9" fillId="0" borderId="0" xfId="0" applyNumberFormat="1" applyFont="1"/>
    <xf numFmtId="3" fontId="12" fillId="0" borderId="0" xfId="0" applyNumberFormat="1" applyFont="1"/>
    <xf numFmtId="2" fontId="12" fillId="0" borderId="0" xfId="0" applyNumberFormat="1" applyFont="1"/>
    <xf numFmtId="2" fontId="12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0" borderId="5" xfId="0" applyBorder="1"/>
    <xf numFmtId="3" fontId="4" fillId="2" borderId="13" xfId="0" applyNumberFormat="1" applyFont="1" applyFill="1" applyBorder="1"/>
    <xf numFmtId="3" fontId="17" fillId="0" borderId="0" xfId="0" applyNumberFormat="1" applyFont="1"/>
    <xf numFmtId="0" fontId="18" fillId="0" borderId="0" xfId="0" applyFont="1"/>
    <xf numFmtId="0" fontId="0" fillId="0" borderId="6" xfId="0" applyBorder="1"/>
    <xf numFmtId="3" fontId="2" fillId="0" borderId="4" xfId="0" applyNumberFormat="1" applyFont="1" applyBorder="1"/>
    <xf numFmtId="9" fontId="4" fillId="3" borderId="14" xfId="0" applyNumberFormat="1" applyFont="1" applyFill="1" applyBorder="1" applyAlignment="1">
      <alignment horizontal="center"/>
    </xf>
    <xf numFmtId="3" fontId="4" fillId="3" borderId="15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9" fontId="4" fillId="3" borderId="5" xfId="0" applyNumberFormat="1" applyFont="1" applyFill="1" applyBorder="1" applyAlignment="1">
      <alignment horizontal="center"/>
    </xf>
    <xf numFmtId="3" fontId="4" fillId="3" borderId="2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4" fillId="0" borderId="3" xfId="0" applyNumberFormat="1" applyFont="1" applyFill="1" applyBorder="1" applyAlignment="1">
      <alignment horizontal="center"/>
    </xf>
    <xf numFmtId="3" fontId="4" fillId="0" borderId="13" xfId="0" applyNumberFormat="1" applyFont="1" applyFill="1" applyBorder="1" applyAlignment="1">
      <alignment horizontal="center"/>
    </xf>
    <xf numFmtId="2" fontId="4" fillId="2" borderId="13" xfId="0" applyNumberFormat="1" applyFont="1" applyFill="1" applyBorder="1"/>
    <xf numFmtId="3" fontId="4" fillId="0" borderId="1" xfId="0" applyNumberFormat="1" applyFont="1" applyBorder="1"/>
    <xf numFmtId="2" fontId="4" fillId="2" borderId="3" xfId="0" applyNumberFormat="1" applyFont="1" applyFill="1" applyBorder="1"/>
    <xf numFmtId="9" fontId="4" fillId="2" borderId="13" xfId="0" applyNumberFormat="1" applyFont="1" applyFill="1" applyBorder="1"/>
    <xf numFmtId="0" fontId="0" fillId="0" borderId="14" xfId="0" applyBorder="1"/>
    <xf numFmtId="3" fontId="2" fillId="0" borderId="16" xfId="0" applyNumberFormat="1" applyFont="1" applyBorder="1"/>
    <xf numFmtId="3" fontId="2" fillId="0" borderId="15" xfId="0" applyNumberFormat="1" applyFont="1" applyBorder="1"/>
    <xf numFmtId="0" fontId="13" fillId="0" borderId="6" xfId="0" applyFont="1" applyBorder="1"/>
    <xf numFmtId="3" fontId="3" fillId="0" borderId="0" xfId="0" applyNumberFormat="1" applyFont="1" applyBorder="1"/>
    <xf numFmtId="0" fontId="13" fillId="0" borderId="14" xfId="0" applyFont="1" applyBorder="1"/>
    <xf numFmtId="3" fontId="3" fillId="0" borderId="16" xfId="0" applyNumberFormat="1" applyFont="1" applyBorder="1"/>
    <xf numFmtId="3" fontId="4" fillId="2" borderId="5" xfId="0" applyNumberFormat="1" applyFont="1" applyFill="1" applyBorder="1"/>
    <xf numFmtId="3" fontId="4" fillId="0" borderId="9" xfId="0" applyNumberFormat="1" applyFont="1" applyBorder="1"/>
    <xf numFmtId="2" fontId="2" fillId="2" borderId="13" xfId="0" applyNumberFormat="1" applyFont="1" applyFill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2" fontId="4" fillId="0" borderId="17" xfId="0" applyNumberFormat="1" applyFont="1" applyBorder="1" applyAlignment="1">
      <alignment horizontal="center"/>
    </xf>
    <xf numFmtId="2" fontId="4" fillId="2" borderId="13" xfId="0" applyNumberFormat="1" applyFont="1" applyFill="1" applyBorder="1" applyAlignment="1">
      <alignment horizontal="center"/>
    </xf>
    <xf numFmtId="2" fontId="4" fillId="2" borderId="14" xfId="0" applyNumberFormat="1" applyFont="1" applyFill="1" applyBorder="1" applyAlignment="1">
      <alignment horizontal="center"/>
    </xf>
    <xf numFmtId="2" fontId="2" fillId="0" borderId="16" xfId="0" applyNumberFormat="1" applyFont="1" applyBorder="1" applyAlignment="1">
      <alignment horizontal="center"/>
    </xf>
    <xf numFmtId="2" fontId="2" fillId="0" borderId="14" xfId="0" applyNumberFormat="1" applyFont="1" applyBorder="1" applyAlignment="1">
      <alignment horizontal="center"/>
    </xf>
    <xf numFmtId="3" fontId="2" fillId="0" borderId="8" xfId="0" applyNumberFormat="1" applyFont="1" applyBorder="1" applyAlignment="1">
      <alignment horizontal="center"/>
    </xf>
    <xf numFmtId="2" fontId="4" fillId="0" borderId="14" xfId="0" applyNumberFormat="1" applyFont="1" applyBorder="1"/>
    <xf numFmtId="2" fontId="4" fillId="0" borderId="15" xfId="0" applyNumberFormat="1" applyFont="1" applyBorder="1"/>
    <xf numFmtId="2" fontId="4" fillId="0" borderId="16" xfId="0" applyNumberFormat="1" applyFont="1" applyBorder="1"/>
    <xf numFmtId="4" fontId="2" fillId="0" borderId="0" xfId="0" applyNumberFormat="1" applyFont="1" applyBorder="1"/>
    <xf numFmtId="4" fontId="2" fillId="0" borderId="4" xfId="0" applyNumberFormat="1" applyFont="1" applyBorder="1"/>
    <xf numFmtId="0" fontId="19" fillId="2" borderId="14" xfId="0" applyFont="1" applyFill="1" applyBorder="1"/>
    <xf numFmtId="3" fontId="4" fillId="2" borderId="16" xfId="0" applyNumberFormat="1" applyFont="1" applyFill="1" applyBorder="1"/>
    <xf numFmtId="3" fontId="4" fillId="2" borderId="15" xfId="0" applyNumberFormat="1" applyFont="1" applyFill="1" applyBorder="1"/>
    <xf numFmtId="4" fontId="4" fillId="2" borderId="16" xfId="0" applyNumberFormat="1" applyFont="1" applyFill="1" applyBorder="1"/>
    <xf numFmtId="4" fontId="4" fillId="2" borderId="15" xfId="0" applyNumberFormat="1" applyFont="1" applyFill="1" applyBorder="1"/>
    <xf numFmtId="3" fontId="4" fillId="0" borderId="0" xfId="0" applyNumberFormat="1" applyFont="1" applyFill="1" applyBorder="1"/>
    <xf numFmtId="3" fontId="9" fillId="2" borderId="13" xfId="0" applyNumberFormat="1" applyFont="1" applyFill="1" applyBorder="1"/>
    <xf numFmtId="3" fontId="14" fillId="0" borderId="0" xfId="0" applyNumberFormat="1" applyFont="1" applyBorder="1"/>
    <xf numFmtId="9" fontId="2" fillId="0" borderId="0" xfId="1" applyFont="1" applyBorder="1"/>
    <xf numFmtId="3" fontId="4" fillId="0" borderId="5" xfId="0" applyNumberFormat="1" applyFont="1" applyFill="1" applyBorder="1" applyAlignment="1">
      <alignment horizontal="center"/>
    </xf>
    <xf numFmtId="3" fontId="4" fillId="0" borderId="14" xfId="0" applyNumberFormat="1" applyFont="1" applyFill="1" applyBorder="1" applyAlignment="1">
      <alignment horizontal="center"/>
    </xf>
    <xf numFmtId="3" fontId="4" fillId="2" borderId="14" xfId="0" applyNumberFormat="1" applyFont="1" applyFill="1" applyBorder="1"/>
    <xf numFmtId="2" fontId="4" fillId="2" borderId="14" xfId="0" applyNumberFormat="1" applyFont="1" applyFill="1" applyBorder="1"/>
    <xf numFmtId="2" fontId="4" fillId="2" borderId="5" xfId="0" applyNumberFormat="1" applyFont="1" applyFill="1" applyBorder="1"/>
    <xf numFmtId="9" fontId="4" fillId="2" borderId="14" xfId="0" applyNumberFormat="1" applyFont="1" applyFill="1" applyBorder="1"/>
    <xf numFmtId="2" fontId="2" fillId="2" borderId="14" xfId="0" applyNumberFormat="1" applyFont="1" applyFill="1" applyBorder="1" applyAlignment="1">
      <alignment horizontal="center"/>
    </xf>
    <xf numFmtId="3" fontId="9" fillId="0" borderId="0" xfId="0" applyNumberFormat="1" applyFont="1" applyBorder="1"/>
    <xf numFmtId="3" fontId="6" fillId="0" borderId="0" xfId="0" applyNumberFormat="1" applyFont="1" applyBorder="1"/>
    <xf numFmtId="3" fontId="10" fillId="0" borderId="0" xfId="0" applyNumberFormat="1" applyFont="1" applyBorder="1"/>
    <xf numFmtId="9" fontId="10" fillId="0" borderId="0" xfId="1" applyFont="1" applyBorder="1"/>
    <xf numFmtId="2" fontId="2" fillId="0" borderId="0" xfId="0" applyNumberFormat="1" applyFont="1" applyBorder="1"/>
    <xf numFmtId="2" fontId="5" fillId="0" borderId="0" xfId="0" applyNumberFormat="1" applyFont="1" applyBorder="1"/>
    <xf numFmtId="9" fontId="2" fillId="0" borderId="0" xfId="0" applyNumberFormat="1" applyFont="1" applyBorder="1"/>
    <xf numFmtId="9" fontId="5" fillId="0" borderId="0" xfId="0" applyNumberFormat="1" applyFont="1" applyBorder="1"/>
    <xf numFmtId="10" fontId="16" fillId="0" borderId="0" xfId="0" applyNumberFormat="1" applyFont="1" applyBorder="1" applyAlignment="1">
      <alignment horizontal="center"/>
    </xf>
    <xf numFmtId="10" fontId="15" fillId="0" borderId="0" xfId="0" applyNumberFormat="1" applyFont="1" applyBorder="1" applyAlignment="1">
      <alignment horizontal="center"/>
    </xf>
    <xf numFmtId="2" fontId="6" fillId="0" borderId="0" xfId="0" applyNumberFormat="1" applyFont="1" applyBorder="1"/>
    <xf numFmtId="0" fontId="0" fillId="0" borderId="0" xfId="0" applyBorder="1"/>
    <xf numFmtId="3" fontId="4" fillId="0" borderId="10" xfId="0" applyNumberFormat="1" applyFont="1" applyFill="1" applyBorder="1" applyAlignment="1">
      <alignment horizontal="center"/>
    </xf>
    <xf numFmtId="9" fontId="4" fillId="2" borderId="10" xfId="1" applyFont="1" applyFill="1" applyBorder="1"/>
    <xf numFmtId="2" fontId="4" fillId="2" borderId="10" xfId="0" applyNumberFormat="1" applyFont="1" applyFill="1" applyBorder="1"/>
    <xf numFmtId="9" fontId="4" fillId="2" borderId="10" xfId="0" applyNumberFormat="1" applyFont="1" applyFill="1" applyBorder="1"/>
    <xf numFmtId="2" fontId="2" fillId="2" borderId="10" xfId="0" applyNumberFormat="1" applyFont="1" applyFill="1" applyBorder="1" applyAlignment="1">
      <alignment horizontal="center"/>
    </xf>
    <xf numFmtId="9" fontId="13" fillId="0" borderId="21" xfId="1" applyFont="1" applyBorder="1"/>
    <xf numFmtId="3" fontId="2" fillId="0" borderId="18" xfId="0" applyNumberFormat="1" applyFont="1" applyBorder="1"/>
    <xf numFmtId="9" fontId="4" fillId="2" borderId="12" xfId="1" applyFont="1" applyFill="1" applyBorder="1"/>
    <xf numFmtId="9" fontId="2" fillId="0" borderId="22" xfId="1" applyFont="1" applyBorder="1"/>
    <xf numFmtId="9" fontId="2" fillId="0" borderId="9" xfId="1" applyFont="1" applyBorder="1"/>
    <xf numFmtId="9" fontId="4" fillId="2" borderId="11" xfId="1" applyFont="1" applyFill="1" applyBorder="1"/>
    <xf numFmtId="9" fontId="2" fillId="0" borderId="8" xfId="1" applyFont="1" applyBorder="1"/>
    <xf numFmtId="3" fontId="2" fillId="0" borderId="23" xfId="0" applyNumberFormat="1" applyFont="1" applyBorder="1"/>
    <xf numFmtId="3" fontId="2" fillId="0" borderId="17" xfId="0" applyNumberFormat="1" applyFont="1" applyBorder="1"/>
    <xf numFmtId="2" fontId="4" fillId="0" borderId="17" xfId="0" applyNumberFormat="1" applyFont="1" applyBorder="1"/>
    <xf numFmtId="2" fontId="4" fillId="2" borderId="11" xfId="0" applyNumberFormat="1" applyFont="1" applyFill="1" applyBorder="1"/>
    <xf numFmtId="2" fontId="2" fillId="0" borderId="8" xfId="0" applyNumberFormat="1" applyFont="1" applyBorder="1"/>
    <xf numFmtId="2" fontId="4" fillId="0" borderId="22" xfId="0" applyNumberFormat="1" applyFont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2" fontId="4" fillId="2" borderId="11" xfId="0" applyNumberFormat="1" applyFont="1" applyFill="1" applyBorder="1" applyAlignment="1">
      <alignment horizontal="center"/>
    </xf>
    <xf numFmtId="2" fontId="4" fillId="0" borderId="8" xfId="0" applyNumberFormat="1" applyFont="1" applyBorder="1" applyAlignment="1">
      <alignment horizontal="center"/>
    </xf>
    <xf numFmtId="3" fontId="4" fillId="2" borderId="24" xfId="0" applyNumberFormat="1" applyFont="1" applyFill="1" applyBorder="1"/>
    <xf numFmtId="2" fontId="2" fillId="0" borderId="5" xfId="0" applyNumberFormat="1" applyFont="1" applyBorder="1"/>
    <xf numFmtId="2" fontId="2" fillId="0" borderId="22" xfId="0" applyNumberFormat="1" applyFont="1" applyBorder="1"/>
    <xf numFmtId="2" fontId="2" fillId="0" borderId="1" xfId="0" applyNumberFormat="1" applyFont="1" applyBorder="1"/>
    <xf numFmtId="2" fontId="2" fillId="0" borderId="2" xfId="0" applyNumberFormat="1" applyFont="1" applyBorder="1"/>
    <xf numFmtId="3" fontId="4" fillId="0" borderId="0" xfId="0" applyNumberFormat="1" applyFont="1" applyFill="1" applyBorder="1" applyAlignment="1">
      <alignment horizontal="center"/>
    </xf>
    <xf numFmtId="3" fontId="9" fillId="0" borderId="0" xfId="0" applyNumberFormat="1" applyFont="1" applyFill="1" applyBorder="1"/>
    <xf numFmtId="3" fontId="20" fillId="0" borderId="0" xfId="0" applyNumberFormat="1" applyFont="1" applyFill="1" applyBorder="1"/>
    <xf numFmtId="9" fontId="4" fillId="0" borderId="0" xfId="1" applyFont="1" applyFill="1" applyBorder="1"/>
    <xf numFmtId="2" fontId="4" fillId="0" borderId="0" xfId="0" applyNumberFormat="1" applyFont="1" applyFill="1" applyBorder="1"/>
    <xf numFmtId="9" fontId="4" fillId="0" borderId="0" xfId="0" applyNumberFormat="1" applyFont="1" applyFill="1" applyBorder="1"/>
    <xf numFmtId="2" fontId="4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3" fontId="4" fillId="5" borderId="5" xfId="0" applyNumberFormat="1" applyFont="1" applyFill="1" applyBorder="1"/>
    <xf numFmtId="3" fontId="4" fillId="5" borderId="7" xfId="0" applyNumberFormat="1" applyFont="1" applyFill="1" applyBorder="1"/>
    <xf numFmtId="3" fontId="2" fillId="5" borderId="5" xfId="0" applyNumberFormat="1" applyFont="1" applyFill="1" applyBorder="1"/>
    <xf numFmtId="3" fontId="2" fillId="5" borderId="7" xfId="0" applyNumberFormat="1" applyFont="1" applyFill="1" applyBorder="1"/>
    <xf numFmtId="3" fontId="4" fillId="5" borderId="2" xfId="0" applyNumberFormat="1" applyFont="1" applyFill="1" applyBorder="1"/>
    <xf numFmtId="3" fontId="4" fillId="5" borderId="8" xfId="0" applyNumberFormat="1" applyFont="1" applyFill="1" applyBorder="1"/>
    <xf numFmtId="3" fontId="2" fillId="5" borderId="2" xfId="0" applyNumberFormat="1" applyFont="1" applyFill="1" applyBorder="1"/>
    <xf numFmtId="3" fontId="2" fillId="5" borderId="8" xfId="0" applyNumberFormat="1" applyFont="1" applyFill="1" applyBorder="1"/>
    <xf numFmtId="3" fontId="4" fillId="5" borderId="1" xfId="0" applyNumberFormat="1" applyFont="1" applyFill="1" applyBorder="1"/>
    <xf numFmtId="3" fontId="4" fillId="5" borderId="22" xfId="0" applyNumberFormat="1" applyFont="1" applyFill="1" applyBorder="1"/>
    <xf numFmtId="3" fontId="2" fillId="5" borderId="1" xfId="0" applyNumberFormat="1" applyFont="1" applyFill="1" applyBorder="1"/>
    <xf numFmtId="3" fontId="2" fillId="5" borderId="18" xfId="0" applyNumberFormat="1" applyFont="1" applyFill="1" applyBorder="1"/>
    <xf numFmtId="3" fontId="4" fillId="5" borderId="9" xfId="0" applyNumberFormat="1" applyFont="1" applyFill="1" applyBorder="1"/>
    <xf numFmtId="3" fontId="4" fillId="5" borderId="3" xfId="0" applyNumberFormat="1" applyFont="1" applyFill="1" applyBorder="1"/>
    <xf numFmtId="3" fontId="4" fillId="5" borderId="11" xfId="0" applyNumberFormat="1" applyFont="1" applyFill="1" applyBorder="1"/>
    <xf numFmtId="3" fontId="2" fillId="5" borderId="3" xfId="0" applyNumberFormat="1" applyFont="1" applyFill="1" applyBorder="1"/>
    <xf numFmtId="3" fontId="2" fillId="5" borderId="24" xfId="0" applyNumberFormat="1" applyFont="1" applyFill="1" applyBorder="1"/>
    <xf numFmtId="3" fontId="9" fillId="5" borderId="13" xfId="0" applyNumberFormat="1" applyFont="1" applyFill="1" applyBorder="1"/>
    <xf numFmtId="3" fontId="9" fillId="5" borderId="10" xfId="0" applyNumberFormat="1" applyFont="1" applyFill="1" applyBorder="1"/>
    <xf numFmtId="3" fontId="4" fillId="5" borderId="10" xfId="0" applyNumberFormat="1" applyFont="1" applyFill="1" applyBorder="1"/>
    <xf numFmtId="3" fontId="4" fillId="5" borderId="6" xfId="0" applyNumberFormat="1" applyFont="1" applyFill="1" applyBorder="1"/>
    <xf numFmtId="0" fontId="13" fillId="0" borderId="26" xfId="0" applyFont="1" applyBorder="1"/>
    <xf numFmtId="0" fontId="0" fillId="0" borderId="20" xfId="0" applyBorder="1"/>
    <xf numFmtId="3" fontId="2" fillId="0" borderId="0" xfId="0" applyNumberFormat="1" applyFont="1" applyAlignment="1">
      <alignment horizontal="center"/>
    </xf>
    <xf numFmtId="9" fontId="2" fillId="0" borderId="0" xfId="1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3" fontId="2" fillId="6" borderId="0" xfId="0" applyNumberFormat="1" applyFont="1" applyFill="1" applyAlignment="1">
      <alignment horizontal="center"/>
    </xf>
    <xf numFmtId="0" fontId="28" fillId="0" borderId="29" xfId="3" applyFont="1" applyFill="1" applyBorder="1" applyAlignment="1">
      <alignment vertical="top" wrapText="1"/>
    </xf>
    <xf numFmtId="164" fontId="28" fillId="0" borderId="29" xfId="3" applyNumberFormat="1" applyFont="1" applyFill="1" applyBorder="1" applyAlignment="1">
      <alignment horizontal="right" vertical="top" wrapText="1"/>
    </xf>
    <xf numFmtId="165" fontId="28" fillId="0" borderId="29" xfId="3" applyNumberFormat="1" applyFont="1" applyFill="1" applyBorder="1" applyAlignment="1">
      <alignment vertical="top" wrapText="1"/>
    </xf>
    <xf numFmtId="166" fontId="28" fillId="0" borderId="30" xfId="3" applyNumberFormat="1" applyFont="1" applyFill="1" applyBorder="1" applyAlignment="1">
      <alignment vertical="top" wrapText="1"/>
    </xf>
    <xf numFmtId="0" fontId="28" fillId="0" borderId="29" xfId="4" applyFont="1" applyFill="1" applyBorder="1" applyAlignment="1">
      <alignment vertical="top" wrapText="1"/>
    </xf>
    <xf numFmtId="164" fontId="28" fillId="0" borderId="29" xfId="4" applyNumberFormat="1" applyFont="1" applyFill="1" applyBorder="1" applyAlignment="1">
      <alignment horizontal="right" vertical="top" wrapText="1"/>
    </xf>
    <xf numFmtId="165" fontId="28" fillId="0" borderId="29" xfId="4" applyNumberFormat="1" applyFont="1" applyFill="1" applyBorder="1" applyAlignment="1">
      <alignment vertical="top" wrapText="1"/>
    </xf>
    <xf numFmtId="166" fontId="28" fillId="0" borderId="30" xfId="4" applyNumberFormat="1" applyFont="1" applyFill="1" applyBorder="1" applyAlignment="1">
      <alignment vertical="top" wrapText="1"/>
    </xf>
    <xf numFmtId="0" fontId="28" fillId="0" borderId="30" xfId="4" applyFont="1" applyFill="1" applyBorder="1" applyAlignment="1">
      <alignment vertical="top" wrapText="1"/>
    </xf>
    <xf numFmtId="3" fontId="2" fillId="8" borderId="5" xfId="0" applyNumberFormat="1" applyFont="1" applyFill="1" applyBorder="1"/>
    <xf numFmtId="3" fontId="2" fillId="8" borderId="22" xfId="0" applyNumberFormat="1" applyFont="1" applyFill="1" applyBorder="1"/>
    <xf numFmtId="3" fontId="2" fillId="8" borderId="1" xfId="0" applyNumberFormat="1" applyFont="1" applyFill="1" applyBorder="1"/>
    <xf numFmtId="3" fontId="2" fillId="8" borderId="9" xfId="0" applyNumberFormat="1" applyFont="1" applyFill="1" applyBorder="1"/>
    <xf numFmtId="3" fontId="2" fillId="8" borderId="2" xfId="0" applyNumberFormat="1" applyFont="1" applyFill="1" applyBorder="1"/>
    <xf numFmtId="3" fontId="2" fillId="8" borderId="8" xfId="0" applyNumberFormat="1" applyFont="1" applyFill="1" applyBorder="1"/>
    <xf numFmtId="3" fontId="2" fillId="8" borderId="3" xfId="0" applyNumberFormat="1" applyFont="1" applyFill="1" applyBorder="1"/>
    <xf numFmtId="3" fontId="2" fillId="8" borderId="11" xfId="0" applyNumberFormat="1" applyFont="1" applyFill="1" applyBorder="1"/>
    <xf numFmtId="3" fontId="4" fillId="8" borderId="18" xfId="0" applyNumberFormat="1" applyFont="1" applyFill="1" applyBorder="1"/>
  </cellXfs>
  <cellStyles count="5">
    <cellStyle name="Normal" xfId="0" builtinId="0"/>
    <cellStyle name="Pourcentage" xfId="1" builtinId="5"/>
    <cellStyle name="Standaard 2" xfId="2"/>
    <cellStyle name="Standaard 6" xfId="3"/>
    <cellStyle name="Standaard 7" xfId="4"/>
  </cellStyles>
  <dxfs count="0"/>
  <tableStyles count="0" defaultTableStyle="TableStyleMedium9" defaultPivotStyle="PivotStyleLight16"/>
  <colors>
    <mruColors>
      <color rgb="FFFF151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33617</xdr:colOff>
      <xdr:row>46</xdr:row>
      <xdr:rowOff>123264</xdr:rowOff>
    </xdr:from>
    <xdr:to>
      <xdr:col>5</xdr:col>
      <xdr:colOff>392206</xdr:colOff>
      <xdr:row>51</xdr:row>
      <xdr:rowOff>11205</xdr:rowOff>
    </xdr:to>
    <xdr:sp macro="[0]!MAJ_FA" textlink="">
      <xdr:nvSpPr>
        <xdr:cNvPr id="3" name="Afgeronde rechthoek 2"/>
        <xdr:cNvSpPr/>
      </xdr:nvSpPr>
      <xdr:spPr>
        <a:xfrm>
          <a:off x="1602441" y="7765676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FA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616326</xdr:colOff>
      <xdr:row>46</xdr:row>
      <xdr:rowOff>67234</xdr:rowOff>
    </xdr:from>
    <xdr:to>
      <xdr:col>5</xdr:col>
      <xdr:colOff>313768</xdr:colOff>
      <xdr:row>50</xdr:row>
      <xdr:rowOff>112058</xdr:rowOff>
    </xdr:to>
    <xdr:sp macro="" textlink="">
      <xdr:nvSpPr>
        <xdr:cNvPr id="3" name="Afgeronde rechthoek 2"/>
        <xdr:cNvSpPr/>
      </xdr:nvSpPr>
      <xdr:spPr>
        <a:xfrm>
          <a:off x="1580032" y="7732058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UA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46</xdr:row>
      <xdr:rowOff>33614</xdr:rowOff>
    </xdr:from>
    <xdr:to>
      <xdr:col>5</xdr:col>
      <xdr:colOff>358589</xdr:colOff>
      <xdr:row>50</xdr:row>
      <xdr:rowOff>78437</xdr:rowOff>
    </xdr:to>
    <xdr:sp macro="" textlink="">
      <xdr:nvSpPr>
        <xdr:cNvPr id="3" name="Afgeronde rechthoek 2"/>
        <xdr:cNvSpPr/>
      </xdr:nvSpPr>
      <xdr:spPr>
        <a:xfrm>
          <a:off x="1580030" y="7732055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UM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100854</xdr:colOff>
      <xdr:row>46</xdr:row>
      <xdr:rowOff>33616</xdr:rowOff>
    </xdr:from>
    <xdr:to>
      <xdr:col>5</xdr:col>
      <xdr:colOff>381001</xdr:colOff>
      <xdr:row>50</xdr:row>
      <xdr:rowOff>78439</xdr:rowOff>
    </xdr:to>
    <xdr:sp macro="" textlink="">
      <xdr:nvSpPr>
        <xdr:cNvPr id="2" name="Afgeronde rechthoek 1"/>
        <xdr:cNvSpPr/>
      </xdr:nvSpPr>
      <xdr:spPr>
        <a:xfrm>
          <a:off x="1591236" y="7732057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 HA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Blad1"/>
  <dimension ref="A1:Y38"/>
  <sheetViews>
    <sheetView zoomScale="85" workbookViewId="0">
      <selection activeCell="F43" sqref="F43"/>
    </sheetView>
  </sheetViews>
  <sheetFormatPr baseColWidth="10" defaultColWidth="9.140625" defaultRowHeight="12.75"/>
  <cols>
    <col min="1" max="1" width="5" customWidth="1"/>
    <col min="2" max="2" width="9.42578125" customWidth="1"/>
    <col min="4" max="4" width="11.5703125" customWidth="1"/>
    <col min="5" max="5" width="8.28515625" customWidth="1"/>
    <col min="6" max="6" width="9.42578125" customWidth="1"/>
    <col min="8" max="8" width="9.42578125" customWidth="1"/>
    <col min="10" max="10" width="8.85546875" customWidth="1"/>
    <col min="12" max="12" width="11.140625" customWidth="1"/>
    <col min="17" max="17" width="10.28515625" customWidth="1"/>
    <col min="18" max="18" width="9" customWidth="1"/>
    <col min="21" max="21" width="9.42578125" customWidth="1"/>
    <col min="25" max="26" width="8.85546875" bestFit="1" customWidth="1"/>
  </cols>
  <sheetData>
    <row r="1" spans="1:25" ht="15.75">
      <c r="A1" s="274"/>
      <c r="B1" s="229"/>
      <c r="C1" s="229"/>
      <c r="D1" s="229"/>
      <c r="E1" s="229"/>
      <c r="F1" s="229"/>
      <c r="G1" s="229"/>
      <c r="H1" s="229"/>
      <c r="I1" s="229"/>
      <c r="J1" s="229"/>
      <c r="K1" s="229"/>
      <c r="L1" s="229"/>
      <c r="M1" s="229"/>
      <c r="N1" s="229"/>
      <c r="O1" s="229"/>
      <c r="P1" s="229"/>
      <c r="Q1" s="229"/>
      <c r="R1" s="229"/>
      <c r="S1" s="229"/>
      <c r="T1" s="229"/>
      <c r="U1" s="229"/>
      <c r="V1" s="229"/>
      <c r="W1" s="229"/>
      <c r="X1" s="229"/>
      <c r="Y1" s="229"/>
    </row>
    <row r="3" spans="1:25" ht="22.5">
      <c r="A3" s="273" t="s">
        <v>77</v>
      </c>
      <c r="B3" s="236"/>
      <c r="C3" s="236"/>
      <c r="D3" s="236"/>
      <c r="E3" s="236"/>
      <c r="F3" s="236"/>
      <c r="G3" s="266"/>
      <c r="H3" s="266"/>
      <c r="I3" s="266"/>
      <c r="J3" s="266"/>
      <c r="K3" s="237" t="s">
        <v>5</v>
      </c>
      <c r="L3" s="238">
        <v>40560.673403356479</v>
      </c>
      <c r="M3" s="238"/>
      <c r="N3" s="239"/>
      <c r="O3" s="236"/>
      <c r="P3" s="236"/>
      <c r="Q3" s="240"/>
      <c r="R3" s="240"/>
      <c r="S3" s="241"/>
      <c r="T3" s="241"/>
      <c r="U3" s="266"/>
      <c r="V3" s="268"/>
      <c r="W3" s="269"/>
      <c r="X3" s="267"/>
      <c r="Y3" s="229"/>
    </row>
    <row r="4" spans="1:25" ht="13.5" thickBot="1">
      <c r="A4" s="230"/>
      <c r="B4" s="230"/>
      <c r="C4" s="397" t="s">
        <v>57</v>
      </c>
      <c r="D4" s="397" t="s">
        <v>57</v>
      </c>
      <c r="E4" s="401" t="s">
        <v>57</v>
      </c>
      <c r="F4" s="401" t="s">
        <v>57</v>
      </c>
      <c r="G4" s="397" t="s">
        <v>57</v>
      </c>
      <c r="H4" s="397" t="s">
        <v>57</v>
      </c>
      <c r="I4" s="397" t="s">
        <v>57</v>
      </c>
      <c r="J4" s="397" t="s">
        <v>57</v>
      </c>
      <c r="K4" s="397" t="s">
        <v>57</v>
      </c>
      <c r="L4" s="397" t="s">
        <v>57</v>
      </c>
      <c r="M4" s="398" t="s">
        <v>57</v>
      </c>
      <c r="N4" s="398" t="s">
        <v>57</v>
      </c>
      <c r="O4" s="397" t="s">
        <v>57</v>
      </c>
      <c r="P4" s="397" t="s">
        <v>57</v>
      </c>
      <c r="Q4" s="270" t="s">
        <v>57</v>
      </c>
      <c r="R4" s="270" t="s">
        <v>57</v>
      </c>
      <c r="S4" s="399" t="s">
        <v>57</v>
      </c>
      <c r="T4" s="399" t="s">
        <v>58</v>
      </c>
      <c r="U4" s="397" t="s">
        <v>57</v>
      </c>
      <c r="V4" s="270" t="s">
        <v>57</v>
      </c>
      <c r="W4" s="270" t="s">
        <v>54</v>
      </c>
      <c r="X4" s="270"/>
      <c r="Y4" s="400" t="s">
        <v>57</v>
      </c>
    </row>
    <row r="5" spans="1:25">
      <c r="A5" s="242"/>
      <c r="B5" s="243"/>
      <c r="C5" s="280">
        <v>0.8</v>
      </c>
      <c r="D5" s="277" t="s">
        <v>44</v>
      </c>
      <c r="E5" s="245" t="s">
        <v>6</v>
      </c>
      <c r="F5" s="244"/>
      <c r="G5" s="374" t="s">
        <v>7</v>
      </c>
      <c r="H5" s="375"/>
      <c r="I5" s="376" t="s">
        <v>8</v>
      </c>
      <c r="J5" s="377"/>
      <c r="K5" s="245" t="s">
        <v>9</v>
      </c>
      <c r="L5" s="245"/>
      <c r="M5" s="246" t="s">
        <v>10</v>
      </c>
      <c r="N5" s="247"/>
      <c r="O5" s="245" t="s">
        <v>11</v>
      </c>
      <c r="P5" s="245"/>
      <c r="Q5" s="248" t="s">
        <v>12</v>
      </c>
      <c r="R5" s="248"/>
      <c r="S5" s="249" t="s">
        <v>13</v>
      </c>
      <c r="T5" s="250"/>
      <c r="U5" s="375" t="s">
        <v>32</v>
      </c>
      <c r="V5" s="299" t="s">
        <v>57</v>
      </c>
      <c r="W5" s="304" t="s">
        <v>54</v>
      </c>
      <c r="X5" s="306"/>
      <c r="Y5" s="395" t="s">
        <v>46</v>
      </c>
    </row>
    <row r="6" spans="1:25" ht="13.5" thickBot="1">
      <c r="A6" s="251"/>
      <c r="B6" s="235"/>
      <c r="C6" s="281"/>
      <c r="D6" s="278" t="s">
        <v>51</v>
      </c>
      <c r="E6" s="235" t="s">
        <v>3</v>
      </c>
      <c r="F6" s="252" t="s">
        <v>14</v>
      </c>
      <c r="G6" s="378" t="s">
        <v>3</v>
      </c>
      <c r="H6" s="379" t="s">
        <v>14</v>
      </c>
      <c r="I6" s="380" t="s">
        <v>3</v>
      </c>
      <c r="J6" s="381" t="s">
        <v>14</v>
      </c>
      <c r="K6" s="286" t="s">
        <v>3</v>
      </c>
      <c r="L6" s="297" t="s">
        <v>14</v>
      </c>
      <c r="M6" s="253" t="s">
        <v>3</v>
      </c>
      <c r="N6" s="254" t="s">
        <v>14</v>
      </c>
      <c r="O6" s="251" t="s">
        <v>3</v>
      </c>
      <c r="P6" s="252" t="s">
        <v>14</v>
      </c>
      <c r="Q6" s="353" t="s">
        <v>4</v>
      </c>
      <c r="R6" s="255" t="s">
        <v>15</v>
      </c>
      <c r="S6" s="256" t="s">
        <v>3</v>
      </c>
      <c r="T6" s="257" t="s">
        <v>14</v>
      </c>
      <c r="U6" s="379" t="s">
        <v>0</v>
      </c>
      <c r="V6" s="300" t="s">
        <v>34</v>
      </c>
      <c r="W6" s="305" t="s">
        <v>34</v>
      </c>
      <c r="X6" s="307" t="s">
        <v>33</v>
      </c>
      <c r="Y6" s="396"/>
    </row>
    <row r="7" spans="1:25">
      <c r="A7" s="231" t="s">
        <v>16</v>
      </c>
      <c r="B7" s="232" t="s">
        <v>1</v>
      </c>
      <c r="C7" s="282">
        <v>1291.2</v>
      </c>
      <c r="D7" s="279">
        <v>1.0760000000000001</v>
      </c>
      <c r="E7" s="232">
        <v>1614</v>
      </c>
      <c r="F7" s="258">
        <v>16921</v>
      </c>
      <c r="G7" s="382">
        <v>0</v>
      </c>
      <c r="H7" s="383">
        <v>0</v>
      </c>
      <c r="I7" s="384">
        <v>0</v>
      </c>
      <c r="J7" s="385">
        <v>0</v>
      </c>
      <c r="K7" s="411">
        <v>1454</v>
      </c>
      <c r="L7" s="412">
        <v>13525.872600000001</v>
      </c>
      <c r="M7" s="319">
        <v>0.90086741016109051</v>
      </c>
      <c r="N7" s="347">
        <v>0.79936173984989067</v>
      </c>
      <c r="O7" s="231">
        <v>160</v>
      </c>
      <c r="P7" s="351">
        <v>3395</v>
      </c>
      <c r="Q7" s="361">
        <v>10.483890954151176</v>
      </c>
      <c r="R7" s="362">
        <v>9.3026134800550206</v>
      </c>
      <c r="S7" s="260">
        <v>0</v>
      </c>
      <c r="T7" s="261">
        <v>0</v>
      </c>
      <c r="U7" s="419">
        <v>43989.599999999999</v>
      </c>
      <c r="V7" s="356">
        <v>30.254470426409902</v>
      </c>
      <c r="W7" s="303">
        <v>39.900053447354352</v>
      </c>
      <c r="X7" s="308">
        <v>0.75825638846145405</v>
      </c>
      <c r="Y7" s="344">
        <v>0.62795044328256422</v>
      </c>
    </row>
    <row r="8" spans="1:25">
      <c r="A8" s="231" t="s">
        <v>35</v>
      </c>
      <c r="B8" s="232" t="s">
        <v>1</v>
      </c>
      <c r="C8" s="282">
        <v>20022.400000000001</v>
      </c>
      <c r="D8" s="279">
        <v>16.685333333333336</v>
      </c>
      <c r="E8" s="232">
        <v>25028</v>
      </c>
      <c r="F8" s="258">
        <v>264716</v>
      </c>
      <c r="G8" s="382">
        <v>0</v>
      </c>
      <c r="H8" s="386">
        <v>0</v>
      </c>
      <c r="I8" s="384">
        <v>0</v>
      </c>
      <c r="J8" s="385">
        <v>0</v>
      </c>
      <c r="K8" s="413">
        <v>25933</v>
      </c>
      <c r="L8" s="414">
        <v>257318.71549999999</v>
      </c>
      <c r="M8" s="319">
        <v>1.0361595013584786</v>
      </c>
      <c r="N8" s="348">
        <v>0.97205684582722618</v>
      </c>
      <c r="O8" s="231">
        <v>-905</v>
      </c>
      <c r="P8" s="345">
        <v>7397</v>
      </c>
      <c r="Q8" s="363">
        <v>10.576793990730382</v>
      </c>
      <c r="R8" s="259">
        <v>9.9224540161184596</v>
      </c>
      <c r="S8" s="260">
        <v>0</v>
      </c>
      <c r="T8" s="261">
        <v>0</v>
      </c>
      <c r="U8" s="419">
        <v>891461.7</v>
      </c>
      <c r="V8" s="357">
        <v>34.375583233717656</v>
      </c>
      <c r="W8" s="303">
        <v>36.68</v>
      </c>
      <c r="X8" s="308">
        <v>0.93717511542305498</v>
      </c>
      <c r="Y8" s="344">
        <v>0.65073554453246463</v>
      </c>
    </row>
    <row r="9" spans="1:25" ht="13.5" thickBot="1">
      <c r="A9" s="231" t="s">
        <v>17</v>
      </c>
      <c r="B9" s="232" t="s">
        <v>1</v>
      </c>
      <c r="C9" s="282">
        <v>21784.799999999999</v>
      </c>
      <c r="D9" s="279">
        <v>18.154</v>
      </c>
      <c r="E9" s="232">
        <v>27231</v>
      </c>
      <c r="F9" s="258">
        <v>215472</v>
      </c>
      <c r="G9" s="382">
        <v>0</v>
      </c>
      <c r="H9" s="386">
        <v>0</v>
      </c>
      <c r="I9" s="384">
        <v>0</v>
      </c>
      <c r="J9" s="385">
        <v>0</v>
      </c>
      <c r="K9" s="415">
        <v>27193</v>
      </c>
      <c r="L9" s="416">
        <v>258643.27530000001</v>
      </c>
      <c r="M9" s="319">
        <v>0.99860453160001472</v>
      </c>
      <c r="N9" s="348">
        <v>1.2003554986262717</v>
      </c>
      <c r="O9" s="231">
        <v>38</v>
      </c>
      <c r="P9" s="345">
        <v>-43171</v>
      </c>
      <c r="Q9" s="363">
        <v>7.9127465021482868</v>
      </c>
      <c r="R9" s="259">
        <v>9.5113816055602545</v>
      </c>
      <c r="S9" s="260">
        <v>0</v>
      </c>
      <c r="T9" s="261">
        <v>0</v>
      </c>
      <c r="U9" s="419">
        <v>943845.7</v>
      </c>
      <c r="V9" s="357">
        <v>34.709153090868973</v>
      </c>
      <c r="W9" s="303">
        <v>28.58</v>
      </c>
      <c r="X9" s="308">
        <v>1.2144560213740019</v>
      </c>
      <c r="Y9" s="344">
        <v>0.66842257105502378</v>
      </c>
    </row>
    <row r="10" spans="1:25" ht="13.5" thickBot="1">
      <c r="A10" s="234" t="s">
        <v>18</v>
      </c>
      <c r="B10" s="262"/>
      <c r="C10" s="283">
        <v>43098.400000000001</v>
      </c>
      <c r="D10" s="284">
        <v>35.915333333333336</v>
      </c>
      <c r="E10" s="262">
        <v>53873</v>
      </c>
      <c r="F10" s="263">
        <v>497109</v>
      </c>
      <c r="G10" s="387">
        <v>0</v>
      </c>
      <c r="H10" s="388">
        <v>0</v>
      </c>
      <c r="I10" s="389">
        <v>0</v>
      </c>
      <c r="J10" s="390">
        <v>0</v>
      </c>
      <c r="K10" s="234">
        <v>54580</v>
      </c>
      <c r="L10" s="263">
        <v>529488</v>
      </c>
      <c r="M10" s="340">
        <v>1.0131234570192862</v>
      </c>
      <c r="N10" s="349">
        <v>1.0651346083052209</v>
      </c>
      <c r="O10" s="234">
        <v>-707</v>
      </c>
      <c r="P10" s="360">
        <v>-32379</v>
      </c>
      <c r="Q10" s="287">
        <v>9.2274237558702872</v>
      </c>
      <c r="R10" s="354">
        <v>9.7011359472334195</v>
      </c>
      <c r="S10" s="288">
        <v>0</v>
      </c>
      <c r="T10" s="288">
        <v>0</v>
      </c>
      <c r="U10" s="393">
        <v>1879298</v>
      </c>
      <c r="V10" s="358">
        <v>34.431989739831437</v>
      </c>
      <c r="W10" s="298">
        <v>33.130000000000003</v>
      </c>
      <c r="X10" s="285">
        <v>1.0392994186487001</v>
      </c>
      <c r="Y10" s="344">
        <v>0.65908521160561018</v>
      </c>
    </row>
    <row r="11" spans="1:25" ht="13.5" thickBot="1">
      <c r="A11" s="231" t="s">
        <v>19</v>
      </c>
      <c r="B11" s="232" t="s">
        <v>1</v>
      </c>
      <c r="C11" s="282">
        <v>9629.6</v>
      </c>
      <c r="D11" s="279">
        <v>10.699555555555555</v>
      </c>
      <c r="E11" s="232">
        <v>12037</v>
      </c>
      <c r="F11" s="258">
        <v>188396</v>
      </c>
      <c r="G11" s="382">
        <v>0</v>
      </c>
      <c r="H11" s="386">
        <v>0</v>
      </c>
      <c r="I11" s="384">
        <v>0</v>
      </c>
      <c r="J11" s="385">
        <v>0</v>
      </c>
      <c r="K11" s="417">
        <v>11409</v>
      </c>
      <c r="L11" s="418">
        <v>214754.27</v>
      </c>
      <c r="M11" s="319">
        <v>0.94782753177702084</v>
      </c>
      <c r="N11" s="348">
        <v>1.1399074290324636</v>
      </c>
      <c r="O11" s="231">
        <v>628</v>
      </c>
      <c r="P11" s="345">
        <v>-26358</v>
      </c>
      <c r="Q11" s="363">
        <v>15.651408158178949</v>
      </c>
      <c r="R11" s="259">
        <v>18.823209746691209</v>
      </c>
      <c r="S11" s="260">
        <v>0</v>
      </c>
      <c r="T11" s="261">
        <v>0</v>
      </c>
      <c r="U11" s="419">
        <v>641919.1</v>
      </c>
      <c r="V11" s="357">
        <v>56.264265053904815</v>
      </c>
      <c r="W11" s="303">
        <v>54.06</v>
      </c>
      <c r="X11" s="308">
        <v>1.0407744183112249</v>
      </c>
      <c r="Y11" s="344">
        <v>0.59519450273321084</v>
      </c>
    </row>
    <row r="12" spans="1:25" ht="13.5" thickBot="1">
      <c r="A12" s="234" t="s">
        <v>20</v>
      </c>
      <c r="B12" s="262"/>
      <c r="C12" s="283">
        <v>9629.6</v>
      </c>
      <c r="D12" s="284">
        <v>16.049333333333333</v>
      </c>
      <c r="E12" s="262">
        <v>12037</v>
      </c>
      <c r="F12" s="263">
        <v>188396</v>
      </c>
      <c r="G12" s="387">
        <v>0</v>
      </c>
      <c r="H12" s="388">
        <v>0</v>
      </c>
      <c r="I12" s="389">
        <v>0</v>
      </c>
      <c r="J12" s="390">
        <v>0</v>
      </c>
      <c r="K12" s="234">
        <v>11409</v>
      </c>
      <c r="L12" s="263">
        <v>214754</v>
      </c>
      <c r="M12" s="340">
        <v>0.94782753177702084</v>
      </c>
      <c r="N12" s="349">
        <v>1.1399074290324636</v>
      </c>
      <c r="O12" s="234">
        <v>628</v>
      </c>
      <c r="P12" s="360">
        <v>-26358</v>
      </c>
      <c r="Q12" s="287">
        <v>15.651408158178949</v>
      </c>
      <c r="R12" s="354">
        <v>18.823209746691209</v>
      </c>
      <c r="S12" s="288">
        <v>0</v>
      </c>
      <c r="T12" s="288">
        <v>0</v>
      </c>
      <c r="U12" s="393">
        <v>641919</v>
      </c>
      <c r="V12" s="358">
        <v>56.264265053904815</v>
      </c>
      <c r="W12" s="298">
        <v>54.06</v>
      </c>
      <c r="X12" s="285">
        <v>1.0407744183112249</v>
      </c>
      <c r="Y12" s="344">
        <v>0.59519450273321084</v>
      </c>
    </row>
    <row r="13" spans="1:25">
      <c r="A13" s="231" t="s">
        <v>21</v>
      </c>
      <c r="B13" s="232" t="s">
        <v>1</v>
      </c>
      <c r="C13" s="282">
        <v>64992.800000000003</v>
      </c>
      <c r="D13" s="279">
        <v>72.214222222222219</v>
      </c>
      <c r="E13" s="232">
        <v>81241</v>
      </c>
      <c r="F13" s="258">
        <v>254480</v>
      </c>
      <c r="G13" s="382">
        <v>0</v>
      </c>
      <c r="H13" s="386">
        <v>0</v>
      </c>
      <c r="I13" s="384">
        <v>0</v>
      </c>
      <c r="J13" s="385">
        <v>0</v>
      </c>
      <c r="K13" s="411">
        <v>34984</v>
      </c>
      <c r="L13" s="412">
        <v>102875.47199999999</v>
      </c>
      <c r="M13" s="319">
        <v>0.43062000713925236</v>
      </c>
      <c r="N13" s="348">
        <v>0.40425573718956304</v>
      </c>
      <c r="O13" s="231">
        <v>46257</v>
      </c>
      <c r="P13" s="345">
        <v>151605</v>
      </c>
      <c r="Q13" s="363">
        <v>3.132408512942972</v>
      </c>
      <c r="R13" s="259">
        <v>2.9406300022867597</v>
      </c>
      <c r="S13" s="260">
        <v>0</v>
      </c>
      <c r="T13" s="261">
        <v>0</v>
      </c>
      <c r="U13" s="419">
        <v>455942</v>
      </c>
      <c r="V13" s="357">
        <v>13.032872170134919</v>
      </c>
      <c r="W13" s="303">
        <v>13.64</v>
      </c>
      <c r="X13" s="308">
        <v>0.95548916203335177</v>
      </c>
      <c r="Y13" s="344">
        <v>0.72698555956678701</v>
      </c>
    </row>
    <row r="14" spans="1:25">
      <c r="A14" s="231" t="s">
        <v>22</v>
      </c>
      <c r="B14" s="232" t="s">
        <v>1</v>
      </c>
      <c r="C14" s="282">
        <v>9769.6</v>
      </c>
      <c r="D14" s="279">
        <v>10.855111111111112</v>
      </c>
      <c r="E14" s="232">
        <v>12212</v>
      </c>
      <c r="F14" s="258">
        <v>76863</v>
      </c>
      <c r="G14" s="382">
        <v>0</v>
      </c>
      <c r="H14" s="386">
        <v>0</v>
      </c>
      <c r="I14" s="384">
        <v>0</v>
      </c>
      <c r="J14" s="385">
        <v>0</v>
      </c>
      <c r="K14" s="413">
        <v>11429</v>
      </c>
      <c r="L14" s="414">
        <v>87985.740900000004</v>
      </c>
      <c r="M14" s="319">
        <v>0.93588273829020641</v>
      </c>
      <c r="N14" s="348">
        <v>1.1447120200876886</v>
      </c>
      <c r="O14" s="231">
        <v>783</v>
      </c>
      <c r="P14" s="345">
        <v>-11123</v>
      </c>
      <c r="Q14" s="363">
        <v>6.2940550278414671</v>
      </c>
      <c r="R14" s="259">
        <v>7.6984863067634963</v>
      </c>
      <c r="S14" s="260">
        <v>0</v>
      </c>
      <c r="T14" s="261">
        <v>0</v>
      </c>
      <c r="U14" s="419">
        <v>294972.09999999998</v>
      </c>
      <c r="V14" s="357">
        <v>25.80908215941902</v>
      </c>
      <c r="W14" s="303">
        <v>25.05</v>
      </c>
      <c r="X14" s="308">
        <v>1.0303026810147313</v>
      </c>
      <c r="Y14" s="344">
        <v>0.63907401380470008</v>
      </c>
    </row>
    <row r="15" spans="1:25">
      <c r="A15" s="231" t="s">
        <v>56</v>
      </c>
      <c r="B15" s="232" t="s">
        <v>1</v>
      </c>
      <c r="C15" s="282">
        <v>0</v>
      </c>
      <c r="D15" s="279">
        <v>0</v>
      </c>
      <c r="E15" s="232"/>
      <c r="F15" s="258"/>
      <c r="G15" s="382">
        <v>0</v>
      </c>
      <c r="H15" s="386">
        <v>0</v>
      </c>
      <c r="I15" s="384">
        <v>0</v>
      </c>
      <c r="J15" s="385">
        <v>0</v>
      </c>
      <c r="K15" s="413">
        <v>4048</v>
      </c>
      <c r="L15" s="414">
        <v>21017.8838</v>
      </c>
      <c r="M15" s="319" t="e">
        <v>#DIV/0!</v>
      </c>
      <c r="N15" s="348" t="e">
        <v>#DIV/0!</v>
      </c>
      <c r="O15" s="231">
        <v>-4048</v>
      </c>
      <c r="P15" s="345">
        <v>-21018</v>
      </c>
      <c r="Q15" s="363" t="e">
        <v>#DIV/0!</v>
      </c>
      <c r="R15" s="259">
        <v>5.1921936758893281</v>
      </c>
      <c r="S15" s="260" t="e">
        <v>#DIV/0!</v>
      </c>
      <c r="T15" s="261" t="e">
        <v>#DIV/0!</v>
      </c>
      <c r="U15" s="419">
        <v>72874</v>
      </c>
      <c r="V15" s="357">
        <v>18.002470355731226</v>
      </c>
      <c r="W15" s="303"/>
      <c r="X15" s="308" t="e">
        <v>#DIV/0!</v>
      </c>
      <c r="Y15" s="344">
        <v>0.65101709800477536</v>
      </c>
    </row>
    <row r="16" spans="1:25">
      <c r="A16" s="231" t="s">
        <v>23</v>
      </c>
      <c r="B16" s="232" t="s">
        <v>1</v>
      </c>
      <c r="C16" s="282">
        <v>21455.200000000001</v>
      </c>
      <c r="D16" s="279">
        <v>23.839111111111112</v>
      </c>
      <c r="E16" s="232">
        <v>26819</v>
      </c>
      <c r="F16" s="258">
        <v>164030</v>
      </c>
      <c r="G16" s="382">
        <v>0</v>
      </c>
      <c r="H16" s="386">
        <v>0</v>
      </c>
      <c r="I16" s="384">
        <v>0</v>
      </c>
      <c r="J16" s="385">
        <v>0</v>
      </c>
      <c r="K16" s="413">
        <v>23144</v>
      </c>
      <c r="L16" s="414">
        <v>169094.53049999999</v>
      </c>
      <c r="M16" s="319">
        <v>0.86297028226257499</v>
      </c>
      <c r="N16" s="348">
        <v>1.0308724013899897</v>
      </c>
      <c r="O16" s="231">
        <v>3675</v>
      </c>
      <c r="P16" s="345">
        <v>-5064</v>
      </c>
      <c r="Q16" s="363">
        <v>6.1161862858421268</v>
      </c>
      <c r="R16" s="259">
        <v>7.3061700656757687</v>
      </c>
      <c r="S16" s="260">
        <v>0</v>
      </c>
      <c r="T16" s="261">
        <v>0</v>
      </c>
      <c r="U16" s="419">
        <v>616795.6</v>
      </c>
      <c r="V16" s="357">
        <v>26.650362945039753</v>
      </c>
      <c r="W16" s="303">
        <v>24.88</v>
      </c>
      <c r="X16" s="308">
        <v>1.0711560669228197</v>
      </c>
      <c r="Y16" s="344">
        <v>0.66827972295540183</v>
      </c>
    </row>
    <row r="17" spans="1:25">
      <c r="A17" s="231" t="s">
        <v>24</v>
      </c>
      <c r="B17" s="232" t="s">
        <v>1</v>
      </c>
      <c r="C17" s="282">
        <v>8715.2000000000007</v>
      </c>
      <c r="D17" s="279">
        <v>9.6835555555555572</v>
      </c>
      <c r="E17" s="232">
        <v>10894</v>
      </c>
      <c r="F17" s="258">
        <v>103984</v>
      </c>
      <c r="G17" s="382">
        <v>0</v>
      </c>
      <c r="H17" s="386">
        <v>0</v>
      </c>
      <c r="I17" s="384">
        <v>0</v>
      </c>
      <c r="J17" s="385">
        <v>0</v>
      </c>
      <c r="K17" s="413">
        <v>7476</v>
      </c>
      <c r="L17" s="414">
        <v>89091.142800000001</v>
      </c>
      <c r="M17" s="319">
        <v>0.68624931154764091</v>
      </c>
      <c r="N17" s="348">
        <v>0.85677604246807204</v>
      </c>
      <c r="O17" s="231">
        <v>3418</v>
      </c>
      <c r="P17" s="345">
        <v>14893</v>
      </c>
      <c r="Q17" s="363">
        <v>9.5450706811088679</v>
      </c>
      <c r="R17" s="259">
        <v>11.916934189406099</v>
      </c>
      <c r="S17" s="260">
        <v>0</v>
      </c>
      <c r="T17" s="261">
        <v>0</v>
      </c>
      <c r="U17" s="419">
        <v>271292.40000000002</v>
      </c>
      <c r="V17" s="357">
        <v>36.288389513108612</v>
      </c>
      <c r="W17" s="303">
        <v>34.9</v>
      </c>
      <c r="X17" s="308">
        <v>1.0397819344730261</v>
      </c>
      <c r="Y17" s="344">
        <v>0.60264176606755826</v>
      </c>
    </row>
    <row r="18" spans="1:25" ht="13.5" thickBot="1">
      <c r="A18" s="231" t="s">
        <v>25</v>
      </c>
      <c r="B18" s="232" t="s">
        <v>1</v>
      </c>
      <c r="C18" s="282">
        <v>7167.2</v>
      </c>
      <c r="D18" s="279">
        <v>7.9635555555555557</v>
      </c>
      <c r="E18" s="232">
        <v>8959</v>
      </c>
      <c r="F18" s="258">
        <v>74493</v>
      </c>
      <c r="G18" s="382">
        <v>0</v>
      </c>
      <c r="H18" s="386">
        <v>0</v>
      </c>
      <c r="I18" s="384">
        <v>0</v>
      </c>
      <c r="J18" s="385">
        <v>0</v>
      </c>
      <c r="K18" s="415">
        <v>7266</v>
      </c>
      <c r="L18" s="416">
        <v>64427.933400000002</v>
      </c>
      <c r="M18" s="319">
        <v>0.81102801651970091</v>
      </c>
      <c r="N18" s="348">
        <v>0.86488663364342955</v>
      </c>
      <c r="O18" s="231">
        <v>1693</v>
      </c>
      <c r="P18" s="345">
        <v>10065</v>
      </c>
      <c r="Q18" s="363">
        <v>8.3148788927335637</v>
      </c>
      <c r="R18" s="259">
        <v>8.8670520231213867</v>
      </c>
      <c r="S18" s="260">
        <v>0</v>
      </c>
      <c r="T18" s="261">
        <v>0</v>
      </c>
      <c r="U18" s="419">
        <v>227633.4</v>
      </c>
      <c r="V18" s="357">
        <v>31.328516377649326</v>
      </c>
      <c r="W18" s="303">
        <v>32.46</v>
      </c>
      <c r="X18" s="308">
        <v>0.965142217426042</v>
      </c>
      <c r="Y18" s="344">
        <v>0.65752821427473174</v>
      </c>
    </row>
    <row r="19" spans="1:25" ht="13.5" thickBot="1">
      <c r="A19" s="234" t="s">
        <v>26</v>
      </c>
      <c r="B19" s="262"/>
      <c r="C19" s="283">
        <v>112100</v>
      </c>
      <c r="D19" s="284">
        <v>124.55555555555556</v>
      </c>
      <c r="E19" s="262">
        <v>140125</v>
      </c>
      <c r="F19" s="263">
        <v>673850</v>
      </c>
      <c r="G19" s="387">
        <v>0</v>
      </c>
      <c r="H19" s="388">
        <v>0</v>
      </c>
      <c r="I19" s="389">
        <v>0</v>
      </c>
      <c r="J19" s="390">
        <v>0</v>
      </c>
      <c r="K19" s="234">
        <v>88347</v>
      </c>
      <c r="L19" s="263">
        <v>534492</v>
      </c>
      <c r="M19" s="340">
        <v>0.63048706512042818</v>
      </c>
      <c r="N19" s="349">
        <v>0.7931913630629962</v>
      </c>
      <c r="O19" s="234">
        <v>51778</v>
      </c>
      <c r="P19" s="360">
        <v>139358</v>
      </c>
      <c r="Q19" s="287">
        <v>4.8089206066012489</v>
      </c>
      <c r="R19" s="354">
        <v>6.0499168053244592</v>
      </c>
      <c r="S19" s="288">
        <v>0</v>
      </c>
      <c r="T19" s="288">
        <v>0</v>
      </c>
      <c r="U19" s="393">
        <v>1939509</v>
      </c>
      <c r="V19" s="358">
        <v>21.953309110665899</v>
      </c>
      <c r="W19" s="298">
        <v>19.440000000000001</v>
      </c>
      <c r="X19" s="285">
        <v>1.1292854480795214</v>
      </c>
      <c r="Y19" s="344">
        <v>0.66654688377316118</v>
      </c>
    </row>
    <row r="20" spans="1:25" ht="13.5" thickBot="1">
      <c r="A20" s="231" t="s">
        <v>60</v>
      </c>
      <c r="B20" s="232"/>
      <c r="C20" s="282">
        <v>0</v>
      </c>
      <c r="D20" s="279">
        <v>0</v>
      </c>
      <c r="E20" s="232"/>
      <c r="F20" s="258"/>
      <c r="G20" s="382"/>
      <c r="H20" s="386"/>
      <c r="I20" s="384"/>
      <c r="J20" s="385"/>
      <c r="K20" s="417"/>
      <c r="L20" s="418"/>
      <c r="M20" s="319" t="e">
        <v>#DIV/0!</v>
      </c>
      <c r="N20" s="348" t="e">
        <v>#DIV/0!</v>
      </c>
      <c r="O20" s="231">
        <v>0</v>
      </c>
      <c r="P20" s="345">
        <v>0</v>
      </c>
      <c r="Q20" s="363" t="e">
        <v>#DIV/0!</v>
      </c>
      <c r="R20" s="259" t="e">
        <v>#DIV/0!</v>
      </c>
      <c r="S20" s="260" t="e">
        <v>#DIV/0!</v>
      </c>
      <c r="T20" s="261" t="e">
        <v>#DIV/0!</v>
      </c>
      <c r="U20" s="419"/>
      <c r="V20" s="357" t="e">
        <v>#DIV/0!</v>
      </c>
      <c r="W20" s="303"/>
      <c r="X20" s="308" t="e">
        <v>#DIV/0!</v>
      </c>
      <c r="Y20" s="344" t="e">
        <v>#DIV/0!</v>
      </c>
    </row>
    <row r="21" spans="1:25" ht="13.5" thickBot="1">
      <c r="A21" s="231" t="s">
        <v>61</v>
      </c>
      <c r="B21" s="232"/>
      <c r="C21" s="282">
        <v>0</v>
      </c>
      <c r="D21" s="279">
        <v>0</v>
      </c>
      <c r="E21" s="232"/>
      <c r="F21" s="258"/>
      <c r="G21" s="382"/>
      <c r="H21" s="386"/>
      <c r="I21" s="384"/>
      <c r="J21" s="385"/>
      <c r="K21" s="417">
        <v>5500</v>
      </c>
      <c r="L21" s="418">
        <v>14520</v>
      </c>
      <c r="M21" s="319" t="e">
        <v>#DIV/0!</v>
      </c>
      <c r="N21" s="348" t="e">
        <v>#DIV/0!</v>
      </c>
      <c r="O21" s="231">
        <v>-5500</v>
      </c>
      <c r="P21" s="345">
        <v>-14520</v>
      </c>
      <c r="Q21" s="363" t="e">
        <v>#DIV/0!</v>
      </c>
      <c r="R21" s="259">
        <v>2.64</v>
      </c>
      <c r="S21" s="260" t="e">
        <v>#DIV/0!</v>
      </c>
      <c r="T21" s="261" t="e">
        <v>#DIV/0!</v>
      </c>
      <c r="U21" s="419">
        <v>54450</v>
      </c>
      <c r="V21" s="357">
        <v>9.9</v>
      </c>
      <c r="W21" s="303"/>
      <c r="X21" s="308" t="e">
        <v>#DIV/0!</v>
      </c>
      <c r="Y21" s="344">
        <v>0.67733333333333334</v>
      </c>
    </row>
    <row r="22" spans="1:25" ht="13.5" thickBot="1">
      <c r="A22" s="234" t="s">
        <v>59</v>
      </c>
      <c r="B22" s="262"/>
      <c r="C22" s="283"/>
      <c r="D22" s="284"/>
      <c r="E22" s="262"/>
      <c r="F22" s="234"/>
      <c r="G22" s="387"/>
      <c r="H22" s="388"/>
      <c r="I22" s="389"/>
      <c r="J22" s="389"/>
      <c r="K22" s="234">
        <v>5500</v>
      </c>
      <c r="L22" s="234">
        <v>14520</v>
      </c>
      <c r="M22" s="340"/>
      <c r="N22" s="340"/>
      <c r="O22" s="234"/>
      <c r="P22" s="360"/>
      <c r="Q22" s="287"/>
      <c r="R22" s="354"/>
      <c r="S22" s="288"/>
      <c r="T22" s="288"/>
      <c r="U22" s="393">
        <v>54450</v>
      </c>
      <c r="V22" s="358"/>
      <c r="W22" s="298"/>
      <c r="X22" s="285"/>
      <c r="Y22" s="344"/>
    </row>
    <row r="23" spans="1:25" ht="13.5" thickBot="1">
      <c r="A23" s="231" t="s">
        <v>27</v>
      </c>
      <c r="B23" s="232" t="s">
        <v>1</v>
      </c>
      <c r="C23" s="282">
        <v>0</v>
      </c>
      <c r="D23" s="279">
        <v>0</v>
      </c>
      <c r="E23" s="232">
        <v>0</v>
      </c>
      <c r="F23" s="258">
        <v>0</v>
      </c>
      <c r="G23" s="382">
        <v>0</v>
      </c>
      <c r="H23" s="386">
        <v>0</v>
      </c>
      <c r="I23" s="384">
        <v>0</v>
      </c>
      <c r="J23" s="385">
        <v>0</v>
      </c>
      <c r="K23" s="417">
        <v>0</v>
      </c>
      <c r="L23" s="418">
        <v>0</v>
      </c>
      <c r="M23" s="319" t="e">
        <v>#DIV/0!</v>
      </c>
      <c r="N23" s="319" t="e">
        <v>#DIV/0!</v>
      </c>
      <c r="O23" s="231">
        <v>0</v>
      </c>
      <c r="P23" s="345">
        <v>0</v>
      </c>
      <c r="Q23" s="363" t="e">
        <v>#DIV/0!</v>
      </c>
      <c r="R23" s="259" t="e">
        <v>#DIV/0!</v>
      </c>
      <c r="S23" s="260" t="e">
        <v>#DIV/0!</v>
      </c>
      <c r="T23" s="261" t="e">
        <v>#DIV/0!</v>
      </c>
      <c r="U23" s="419">
        <v>0</v>
      </c>
      <c r="V23" s="357" t="e">
        <v>#DIV/0!</v>
      </c>
      <c r="W23" s="303"/>
      <c r="X23" s="308" t="e">
        <v>#DIV/0!</v>
      </c>
      <c r="Y23" s="344" t="e">
        <v>#DIV/0!</v>
      </c>
    </row>
    <row r="24" spans="1:25" ht="13.5" thickBot="1">
      <c r="A24" s="234" t="s">
        <v>28</v>
      </c>
      <c r="B24" s="262"/>
      <c r="C24" s="283">
        <v>0</v>
      </c>
      <c r="D24" s="284">
        <v>0</v>
      </c>
      <c r="E24" s="262">
        <v>0</v>
      </c>
      <c r="F24" s="234">
        <v>0</v>
      </c>
      <c r="G24" s="387">
        <v>0</v>
      </c>
      <c r="H24" s="388">
        <v>0</v>
      </c>
      <c r="I24" s="389">
        <v>0</v>
      </c>
      <c r="J24" s="389">
        <v>0</v>
      </c>
      <c r="K24" s="234">
        <v>0</v>
      </c>
      <c r="L24" s="263">
        <v>0</v>
      </c>
      <c r="M24" s="340" t="e">
        <v>#DIV/0!</v>
      </c>
      <c r="N24" s="340" t="e">
        <v>#DIV/0!</v>
      </c>
      <c r="O24" s="234">
        <v>0</v>
      </c>
      <c r="P24" s="360">
        <v>0</v>
      </c>
      <c r="Q24" s="287" t="e">
        <v>#DIV/0!</v>
      </c>
      <c r="R24" s="354" t="e">
        <v>#DIV/0!</v>
      </c>
      <c r="S24" s="288" t="e">
        <v>#DIV/0!</v>
      </c>
      <c r="T24" s="288" t="e">
        <v>#DIV/0!</v>
      </c>
      <c r="U24" s="393">
        <v>0</v>
      </c>
      <c r="V24" s="358" t="e">
        <v>#DIV/0!</v>
      </c>
      <c r="W24" s="298"/>
      <c r="X24" s="285" t="e">
        <v>#DIV/0!</v>
      </c>
      <c r="Y24" s="344" t="e">
        <v>#DIV/0!</v>
      </c>
    </row>
    <row r="25" spans="1:25">
      <c r="A25" s="231" t="s">
        <v>52</v>
      </c>
      <c r="B25" s="232" t="s">
        <v>1</v>
      </c>
      <c r="C25" s="282">
        <v>0</v>
      </c>
      <c r="D25" s="279">
        <v>0</v>
      </c>
      <c r="E25" s="232">
        <v>0</v>
      </c>
      <c r="F25" s="258">
        <v>0</v>
      </c>
      <c r="G25" s="382">
        <v>0</v>
      </c>
      <c r="H25" s="386">
        <v>0</v>
      </c>
      <c r="I25" s="384">
        <v>0</v>
      </c>
      <c r="J25" s="385">
        <v>0</v>
      </c>
      <c r="K25" s="411">
        <v>0</v>
      </c>
      <c r="L25" s="412">
        <v>0</v>
      </c>
      <c r="M25" s="319" t="e">
        <v>#DIV/0!</v>
      </c>
      <c r="N25" s="348" t="e">
        <v>#DIV/0!</v>
      </c>
      <c r="O25" s="231">
        <v>0</v>
      </c>
      <c r="P25" s="345">
        <v>0</v>
      </c>
      <c r="Q25" s="363" t="e">
        <v>#DIV/0!</v>
      </c>
      <c r="R25" s="259" t="e">
        <v>#DIV/0!</v>
      </c>
      <c r="S25" s="260" t="e">
        <v>#DIV/0!</v>
      </c>
      <c r="T25" s="261" t="e">
        <v>#DIV/0!</v>
      </c>
      <c r="U25" s="419">
        <v>0</v>
      </c>
      <c r="V25" s="357" t="e">
        <v>#DIV/0!</v>
      </c>
      <c r="W25" s="303"/>
      <c r="X25" s="308" t="e">
        <v>#DIV/0!</v>
      </c>
      <c r="Y25" s="344" t="e">
        <v>#DIV/0!</v>
      </c>
    </row>
    <row r="26" spans="1:25">
      <c r="A26" s="231" t="s">
        <v>48</v>
      </c>
      <c r="B26" s="232" t="s">
        <v>1</v>
      </c>
      <c r="C26" s="282">
        <v>2006.4</v>
      </c>
      <c r="D26" s="279">
        <v>3.3440000000000003</v>
      </c>
      <c r="E26" s="232">
        <v>2508</v>
      </c>
      <c r="F26" s="258">
        <v>6415</v>
      </c>
      <c r="G26" s="382">
        <v>0</v>
      </c>
      <c r="H26" s="386">
        <v>0</v>
      </c>
      <c r="I26" s="384">
        <v>0</v>
      </c>
      <c r="J26" s="385">
        <v>0</v>
      </c>
      <c r="K26" s="413">
        <v>2000</v>
      </c>
      <c r="L26" s="414">
        <v>5625</v>
      </c>
      <c r="M26" s="319">
        <v>0.79744816586921852</v>
      </c>
      <c r="N26" s="348">
        <v>0.87685113016367888</v>
      </c>
      <c r="O26" s="231">
        <v>508</v>
      </c>
      <c r="P26" s="345">
        <v>790</v>
      </c>
      <c r="Q26" s="363">
        <v>2.5578149920255182</v>
      </c>
      <c r="R26" s="259">
        <v>2.8125</v>
      </c>
      <c r="S26" s="260">
        <v>0</v>
      </c>
      <c r="T26" s="261">
        <v>0</v>
      </c>
      <c r="U26" s="419">
        <v>19800</v>
      </c>
      <c r="V26" s="357">
        <v>9.9</v>
      </c>
      <c r="W26" s="303">
        <v>9.3000000000000007</v>
      </c>
      <c r="X26" s="308">
        <v>1.064516129032258</v>
      </c>
      <c r="Y26" s="344">
        <v>0.65625</v>
      </c>
    </row>
    <row r="27" spans="1:25">
      <c r="A27" s="231" t="s">
        <v>49</v>
      </c>
      <c r="B27" s="232" t="s">
        <v>1</v>
      </c>
      <c r="C27" s="282">
        <v>7457.6</v>
      </c>
      <c r="D27" s="279">
        <v>12.429333333333334</v>
      </c>
      <c r="E27" s="232">
        <v>9322</v>
      </c>
      <c r="F27" s="258">
        <v>19576</v>
      </c>
      <c r="G27" s="382">
        <v>0</v>
      </c>
      <c r="H27" s="386">
        <v>0</v>
      </c>
      <c r="I27" s="384">
        <v>0</v>
      </c>
      <c r="J27" s="385">
        <v>0</v>
      </c>
      <c r="K27" s="413">
        <v>4000</v>
      </c>
      <c r="L27" s="414">
        <v>10050</v>
      </c>
      <c r="M27" s="319">
        <v>0.42909246942716156</v>
      </c>
      <c r="N27" s="348">
        <v>0.51338373518594194</v>
      </c>
      <c r="O27" s="231">
        <v>5322</v>
      </c>
      <c r="P27" s="345">
        <v>9526</v>
      </c>
      <c r="Q27" s="363">
        <v>2.0999785453765285</v>
      </c>
      <c r="R27" s="259">
        <v>2.5125000000000002</v>
      </c>
      <c r="S27" s="260">
        <v>0</v>
      </c>
      <c r="T27" s="261">
        <v>0</v>
      </c>
      <c r="U27" s="419">
        <v>35000</v>
      </c>
      <c r="V27" s="357">
        <v>8.75</v>
      </c>
      <c r="W27" s="303">
        <v>6.9</v>
      </c>
      <c r="X27" s="308">
        <v>1.2681159420289854</v>
      </c>
      <c r="Y27" s="344">
        <v>0.65255714285714284</v>
      </c>
    </row>
    <row r="28" spans="1:25" ht="13.5" thickBot="1">
      <c r="A28" s="231" t="s">
        <v>50</v>
      </c>
      <c r="B28" s="232" t="s">
        <v>1</v>
      </c>
      <c r="C28" s="282">
        <v>0</v>
      </c>
      <c r="D28" s="279">
        <v>0</v>
      </c>
      <c r="E28" s="232">
        <v>0</v>
      </c>
      <c r="F28" s="258">
        <v>0</v>
      </c>
      <c r="G28" s="382">
        <v>0</v>
      </c>
      <c r="H28" s="379">
        <v>0</v>
      </c>
      <c r="I28" s="384">
        <v>0</v>
      </c>
      <c r="J28" s="385">
        <v>0</v>
      </c>
      <c r="K28" s="415">
        <v>0</v>
      </c>
      <c r="L28" s="416">
        <v>0</v>
      </c>
      <c r="M28" s="319" t="e">
        <v>#DIV/0!</v>
      </c>
      <c r="N28" s="350" t="e">
        <v>#DIV/0!</v>
      </c>
      <c r="O28" s="231">
        <v>0</v>
      </c>
      <c r="P28" s="352">
        <v>0</v>
      </c>
      <c r="Q28" s="364" t="e">
        <v>#DIV/0!</v>
      </c>
      <c r="R28" s="355" t="e">
        <v>#DIV/0!</v>
      </c>
      <c r="S28" s="260" t="e">
        <v>#DIV/0!</v>
      </c>
      <c r="T28" s="261" t="e">
        <v>#DIV/0!</v>
      </c>
      <c r="U28" s="419">
        <v>0</v>
      </c>
      <c r="V28" s="359" t="e">
        <v>#DIV/0!</v>
      </c>
      <c r="W28" s="303"/>
      <c r="X28" s="308" t="e">
        <v>#DIV/0!</v>
      </c>
      <c r="Y28" s="344" t="e">
        <v>#DIV/0!</v>
      </c>
    </row>
    <row r="29" spans="1:25" ht="13.5" thickBot="1">
      <c r="A29" s="296" t="s">
        <v>29</v>
      </c>
      <c r="B29" s="245"/>
      <c r="C29" s="320">
        <v>9464</v>
      </c>
      <c r="D29" s="321">
        <v>15.773333333333333</v>
      </c>
      <c r="E29" s="245">
        <v>11830</v>
      </c>
      <c r="F29" s="296">
        <v>25991</v>
      </c>
      <c r="G29" s="374">
        <v>0</v>
      </c>
      <c r="H29" s="374">
        <v>0</v>
      </c>
      <c r="I29" s="376">
        <v>0</v>
      </c>
      <c r="J29" s="376">
        <v>0</v>
      </c>
      <c r="K29" s="234">
        <v>6000</v>
      </c>
      <c r="L29" s="263">
        <v>15675</v>
      </c>
      <c r="M29" s="340">
        <v>0.50718512256973791</v>
      </c>
      <c r="N29" s="340">
        <v>0.60309337847716515</v>
      </c>
      <c r="O29" s="322">
        <v>5830</v>
      </c>
      <c r="P29" s="322">
        <v>10316</v>
      </c>
      <c r="Q29" s="323">
        <v>2.1970414201183432</v>
      </c>
      <c r="R29" s="324">
        <v>2.6124999999999998</v>
      </c>
      <c r="S29" s="325">
        <v>0</v>
      </c>
      <c r="T29" s="325">
        <v>0</v>
      </c>
      <c r="U29" s="394">
        <v>54800</v>
      </c>
      <c r="V29" s="302">
        <v>9.1333333333333329</v>
      </c>
      <c r="W29" s="326">
        <v>7.82</v>
      </c>
      <c r="X29" s="323">
        <v>1.1679454390451831</v>
      </c>
      <c r="Y29" s="344">
        <v>0.65389142335766426</v>
      </c>
    </row>
    <row r="30" spans="1:25" s="125" customFormat="1" ht="14.25" thickBot="1">
      <c r="A30" s="317" t="s">
        <v>2</v>
      </c>
      <c r="B30" s="264"/>
      <c r="C30" s="284">
        <v>174292</v>
      </c>
      <c r="D30" s="339">
        <v>192.29355555555557</v>
      </c>
      <c r="E30" s="317">
        <v>217865</v>
      </c>
      <c r="F30" s="317">
        <v>1385346</v>
      </c>
      <c r="G30" s="391">
        <v>0</v>
      </c>
      <c r="H30" s="391">
        <v>0</v>
      </c>
      <c r="I30" s="391">
        <v>0</v>
      </c>
      <c r="J30" s="391">
        <v>0</v>
      </c>
      <c r="K30" s="234">
        <v>165836</v>
      </c>
      <c r="L30" s="263">
        <v>1308929</v>
      </c>
      <c r="M30" s="346">
        <v>0.76118697358455922</v>
      </c>
      <c r="N30" s="340">
        <v>0.94483905103851307</v>
      </c>
      <c r="O30" s="272">
        <v>52029</v>
      </c>
      <c r="P30" s="272">
        <v>76417</v>
      </c>
      <c r="Q30" s="341">
        <v>6.3587359144424296</v>
      </c>
      <c r="R30" s="285">
        <v>7.8929122747774914</v>
      </c>
      <c r="S30" s="342">
        <v>0</v>
      </c>
      <c r="T30" s="288">
        <v>0</v>
      </c>
      <c r="U30" s="392">
        <v>4569976</v>
      </c>
      <c r="V30" s="301">
        <v>27.557201090233725</v>
      </c>
      <c r="W30" s="343">
        <v>24.27</v>
      </c>
      <c r="X30" s="285">
        <v>1.1354429785840019</v>
      </c>
      <c r="Y30" s="344">
        <v>0.65343273356358977</v>
      </c>
    </row>
    <row r="31" spans="1:25" s="175" customFormat="1" ht="13.5">
      <c r="A31" s="366"/>
      <c r="B31" s="366"/>
      <c r="C31" s="365"/>
      <c r="D31" s="265" t="s">
        <v>53</v>
      </c>
      <c r="E31" s="327" t="s">
        <v>53</v>
      </c>
      <c r="F31" s="366"/>
      <c r="G31" s="366"/>
      <c r="H31" s="366"/>
      <c r="I31" s="367"/>
      <c r="J31" s="367"/>
      <c r="K31" s="316"/>
      <c r="L31" s="316"/>
      <c r="M31" s="368"/>
      <c r="N31" s="368"/>
      <c r="O31" s="316"/>
      <c r="P31" s="316"/>
      <c r="Q31" s="369"/>
      <c r="R31" s="369"/>
      <c r="S31" s="370"/>
      <c r="T31" s="370"/>
      <c r="U31" s="366"/>
      <c r="V31" s="371"/>
      <c r="W31" s="372"/>
      <c r="X31" s="369"/>
      <c r="Y31" s="373"/>
    </row>
    <row r="32" spans="1:25" s="125" customFormat="1" ht="13.5">
      <c r="A32" s="232"/>
      <c r="B32" s="327"/>
      <c r="C32" s="327"/>
      <c r="D32" s="316"/>
      <c r="E32" s="316" t="s">
        <v>53</v>
      </c>
      <c r="F32" s="232"/>
      <c r="G32" s="293"/>
      <c r="H32" s="328"/>
      <c r="I32" s="293"/>
      <c r="J32" s="318"/>
      <c r="K32" s="232"/>
      <c r="L32" s="329"/>
      <c r="M32" s="319"/>
      <c r="N32" s="330"/>
      <c r="O32" s="232"/>
      <c r="P32" s="329"/>
      <c r="Q32" s="331"/>
      <c r="R32" s="332"/>
      <c r="S32" s="333"/>
      <c r="T32" s="333"/>
      <c r="U32" s="334"/>
      <c r="V32" s="335"/>
      <c r="W32" s="336"/>
      <c r="X32" s="337"/>
      <c r="Y32" s="338"/>
    </row>
    <row r="33" spans="2:10" ht="13.5" thickBot="1">
      <c r="B33" s="229"/>
      <c r="C33" s="229"/>
      <c r="D33" s="229"/>
      <c r="E33" s="229"/>
      <c r="F33" s="229"/>
      <c r="G33" s="229"/>
      <c r="H33" s="229"/>
      <c r="I33" s="229"/>
      <c r="J33" s="229"/>
    </row>
    <row r="34" spans="2:10">
      <c r="B34" s="271" t="s">
        <v>36</v>
      </c>
      <c r="C34" s="275"/>
      <c r="D34" s="275"/>
      <c r="E34" s="289"/>
      <c r="F34" s="289"/>
      <c r="G34" s="292"/>
      <c r="H34" s="294"/>
      <c r="I34" s="292"/>
      <c r="J34" s="311"/>
    </row>
    <row r="35" spans="2:10">
      <c r="B35" s="231"/>
      <c r="C35" s="232"/>
      <c r="D35" s="232"/>
      <c r="E35" s="290" t="s">
        <v>37</v>
      </c>
      <c r="F35" s="290"/>
      <c r="G35" s="293"/>
      <c r="H35" s="295"/>
      <c r="I35" s="293"/>
      <c r="J35" s="312"/>
    </row>
    <row r="36" spans="2:10" ht="13.5" thickBot="1">
      <c r="B36" s="233"/>
      <c r="C36" s="276"/>
      <c r="D36" s="276"/>
      <c r="E36" s="291" t="s">
        <v>4</v>
      </c>
      <c r="F36" s="291" t="s">
        <v>38</v>
      </c>
      <c r="G36" s="276" t="s">
        <v>39</v>
      </c>
      <c r="H36" s="291" t="s">
        <v>40</v>
      </c>
      <c r="I36" s="276" t="s">
        <v>41</v>
      </c>
      <c r="J36" s="313" t="s">
        <v>42</v>
      </c>
    </row>
    <row r="37" spans="2:10">
      <c r="B37" s="231" t="s">
        <v>31</v>
      </c>
      <c r="C37" s="232"/>
      <c r="D37" s="232"/>
      <c r="E37" s="290">
        <v>140125</v>
      </c>
      <c r="F37" s="290">
        <v>0</v>
      </c>
      <c r="G37" s="232">
        <v>0</v>
      </c>
      <c r="H37" s="290">
        <v>88347</v>
      </c>
      <c r="I37" s="309">
        <v>2.6010246320049002</v>
      </c>
      <c r="J37" s="314">
        <v>1.6186698424331256</v>
      </c>
    </row>
    <row r="38" spans="2:10" ht="13.5" thickBot="1">
      <c r="B38" s="233" t="s">
        <v>30</v>
      </c>
      <c r="C38" s="276"/>
      <c r="D38" s="276"/>
      <c r="E38" s="291">
        <v>53873</v>
      </c>
      <c r="F38" s="291">
        <v>0</v>
      </c>
      <c r="G38" s="276">
        <v>0</v>
      </c>
      <c r="H38" s="291">
        <v>54580</v>
      </c>
      <c r="I38" s="310">
        <v>1</v>
      </c>
      <c r="J38" s="315"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Blad2"/>
  <dimension ref="A1:AF93"/>
  <sheetViews>
    <sheetView zoomScale="85" workbookViewId="0">
      <selection activeCell="M26" sqref="M26"/>
    </sheetView>
  </sheetViews>
  <sheetFormatPr baseColWidth="10" defaultColWidth="9.140625" defaultRowHeight="12.75"/>
  <cols>
    <col min="1" max="1" width="5" customWidth="1"/>
    <col min="2" max="3" width="9.42578125" customWidth="1"/>
    <col min="4" max="4" width="12.140625" customWidth="1"/>
    <col min="5" max="5" width="8.28515625" customWidth="1"/>
    <col min="6" max="8" width="9.42578125" customWidth="1"/>
    <col min="9" max="9" width="9.140625" customWidth="1"/>
    <col min="10" max="10" width="8.28515625" customWidth="1"/>
    <col min="11" max="11" width="9.42578125" customWidth="1"/>
    <col min="12" max="12" width="11.140625" customWidth="1"/>
    <col min="13" max="17" width="9.28515625" customWidth="1"/>
    <col min="21" max="21" width="9.42578125" customWidth="1"/>
    <col min="23" max="23" width="9.42578125" bestFit="1" customWidth="1"/>
    <col min="25" max="25" width="8.85546875" bestFit="1" customWidth="1"/>
    <col min="26" max="26" width="10.7109375" bestFit="1" customWidth="1"/>
  </cols>
  <sheetData>
    <row r="1" spans="1:26" ht="15.75">
      <c r="A1" s="49"/>
    </row>
    <row r="3" spans="1:26" ht="22.5">
      <c r="A3" s="273" t="s">
        <v>78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40560.950314814814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</row>
    <row r="5" spans="1:26">
      <c r="A5" s="13"/>
      <c r="B5" s="14"/>
      <c r="C5" s="55">
        <v>0.8</v>
      </c>
      <c r="D5" s="52" t="s">
        <v>44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184" t="s">
        <v>32</v>
      </c>
      <c r="V5" s="75" t="s">
        <v>57</v>
      </c>
      <c r="W5" s="157" t="s">
        <v>54</v>
      </c>
      <c r="X5" s="83"/>
      <c r="Y5" s="208" t="s">
        <v>46</v>
      </c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8" t="s">
        <v>14</v>
      </c>
      <c r="U6" s="188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1</v>
      </c>
      <c r="C7" s="57">
        <f>((E7*80)/100)</f>
        <v>2432</v>
      </c>
      <c r="D7" s="54">
        <f>((C7-G7)/1200)</f>
        <v>2.0266666666666668</v>
      </c>
      <c r="E7" s="3">
        <v>3040</v>
      </c>
      <c r="F7" s="29">
        <v>30705</v>
      </c>
      <c r="G7" s="192">
        <v>0</v>
      </c>
      <c r="H7" s="194">
        <v>0</v>
      </c>
      <c r="I7" s="193">
        <v>0</v>
      </c>
      <c r="J7" s="202">
        <v>0</v>
      </c>
      <c r="K7" s="413">
        <v>832</v>
      </c>
      <c r="L7" s="412">
        <v>8991.7567999999992</v>
      </c>
      <c r="M7" s="30">
        <f t="shared" ref="M7:N30" si="0">(K7/E7)</f>
        <v>0.27368421052631581</v>
      </c>
      <c r="N7" s="143">
        <f t="shared" si="0"/>
        <v>0.29284340661130104</v>
      </c>
      <c r="O7" s="2">
        <f>(E7-K7)</f>
        <v>2208</v>
      </c>
      <c r="P7" s="147">
        <f>(F7-L7)</f>
        <v>21713.243200000001</v>
      </c>
      <c r="Q7" s="150">
        <f>(F7/E7)</f>
        <v>10.100328947368421</v>
      </c>
      <c r="R7" s="31">
        <f>(L7/K7)</f>
        <v>10.807399999999999</v>
      </c>
      <c r="S7" s="32">
        <f>(I7/E7)</f>
        <v>0</v>
      </c>
      <c r="T7" s="33">
        <f>(J7/F7)</f>
        <v>0</v>
      </c>
      <c r="U7" s="419">
        <v>33196.800000000003</v>
      </c>
      <c r="V7" s="77">
        <f>(U7/K7)</f>
        <v>39.900000000000006</v>
      </c>
      <c r="W7" s="80">
        <v>39.9</v>
      </c>
      <c r="X7" s="85">
        <f>(V7/W7)</f>
        <v>1.0000000000000002</v>
      </c>
      <c r="Y7" s="207">
        <f t="shared" ref="Y7:Y30" si="1">((U7/1.21)-L7)/(U7/1.21)</f>
        <v>0.67225679197994992</v>
      </c>
    </row>
    <row r="8" spans="1:26">
      <c r="A8" s="2" t="s">
        <v>35</v>
      </c>
      <c r="B8" s="3" t="s">
        <v>1</v>
      </c>
      <c r="C8" s="57">
        <f t="shared" ref="C8:C30" si="2">((E8*80)/100)</f>
        <v>36083.199999999997</v>
      </c>
      <c r="D8" s="54">
        <f>((C8-G8)/1200)</f>
        <v>30.069333333333329</v>
      </c>
      <c r="E8" s="3">
        <v>45104</v>
      </c>
      <c r="F8" s="29">
        <v>447946</v>
      </c>
      <c r="G8" s="192">
        <v>0</v>
      </c>
      <c r="H8" s="194">
        <v>0</v>
      </c>
      <c r="I8" s="193">
        <v>0</v>
      </c>
      <c r="J8" s="202">
        <v>0</v>
      </c>
      <c r="K8" s="413">
        <v>41041</v>
      </c>
      <c r="L8" s="414">
        <v>407012.63620000001</v>
      </c>
      <c r="M8" s="30">
        <f t="shared" si="0"/>
        <v>0.90991929762327062</v>
      </c>
      <c r="N8" s="144">
        <f t="shared" si="0"/>
        <v>0.9086198698057355</v>
      </c>
      <c r="O8" s="2">
        <f t="shared" ref="O8:P29" si="3">(E8-K8)</f>
        <v>4063</v>
      </c>
      <c r="P8" s="139">
        <f t="shared" si="3"/>
        <v>40933.363799999992</v>
      </c>
      <c r="Q8" s="150">
        <f t="shared" ref="Q8:Q30" si="4">(F8/E8)</f>
        <v>9.9314029797800636</v>
      </c>
      <c r="R8" s="31">
        <f t="shared" ref="R8:R30" si="5">(L8/K8)</f>
        <v>9.9172202480446376</v>
      </c>
      <c r="S8" s="32">
        <f t="shared" ref="S8:T30" si="6">(I8/E8)</f>
        <v>0</v>
      </c>
      <c r="T8" s="33">
        <f t="shared" si="6"/>
        <v>0</v>
      </c>
      <c r="U8" s="419">
        <v>1486260.9</v>
      </c>
      <c r="V8" s="77">
        <f t="shared" ref="V8:V30" si="7">(U8/K8)</f>
        <v>36.214051801856677</v>
      </c>
      <c r="W8" s="80">
        <v>37.31</v>
      </c>
      <c r="X8" s="85">
        <f t="shared" ref="X8:X30" si="8">(V8/W8)</f>
        <v>0.97062588587125898</v>
      </c>
      <c r="Y8" s="127">
        <f t="shared" si="1"/>
        <v>0.6686414277587468</v>
      </c>
    </row>
    <row r="9" spans="1:26" ht="13.5" thickBot="1">
      <c r="A9" s="2" t="s">
        <v>17</v>
      </c>
      <c r="B9" s="3" t="s">
        <v>1</v>
      </c>
      <c r="C9" s="57">
        <f t="shared" si="2"/>
        <v>51576.800000000003</v>
      </c>
      <c r="D9" s="54">
        <f>((C9-G9)/1200)</f>
        <v>42.980666666666671</v>
      </c>
      <c r="E9" s="3">
        <v>64471</v>
      </c>
      <c r="F9" s="29">
        <v>513972</v>
      </c>
      <c r="G9" s="192">
        <v>0</v>
      </c>
      <c r="H9" s="194">
        <v>0</v>
      </c>
      <c r="I9" s="193">
        <v>0</v>
      </c>
      <c r="J9" s="202">
        <v>0</v>
      </c>
      <c r="K9" s="413">
        <v>60691</v>
      </c>
      <c r="L9" s="414">
        <v>589212.41009999998</v>
      </c>
      <c r="M9" s="30">
        <f t="shared" si="0"/>
        <v>0.94136898760683096</v>
      </c>
      <c r="N9" s="144">
        <f t="shared" si="0"/>
        <v>1.1463900953748454</v>
      </c>
      <c r="O9" s="2">
        <f t="shared" si="3"/>
        <v>3780</v>
      </c>
      <c r="P9" s="139">
        <f t="shared" si="3"/>
        <v>-75240.410099999979</v>
      </c>
      <c r="Q9" s="150">
        <f t="shared" si="4"/>
        <v>7.9721425136883246</v>
      </c>
      <c r="R9" s="31">
        <f t="shared" si="5"/>
        <v>9.7083984462276121</v>
      </c>
      <c r="S9" s="32">
        <f t="shared" si="6"/>
        <v>0</v>
      </c>
      <c r="T9" s="33">
        <f t="shared" si="6"/>
        <v>0</v>
      </c>
      <c r="U9" s="419">
        <v>2118115.9</v>
      </c>
      <c r="V9" s="77">
        <f t="shared" si="7"/>
        <v>34.9</v>
      </c>
      <c r="W9" s="80">
        <v>28.03</v>
      </c>
      <c r="X9" s="85">
        <f t="shared" si="8"/>
        <v>1.2450945415626113</v>
      </c>
      <c r="Y9" s="127">
        <f t="shared" si="1"/>
        <v>0.66340509684998827</v>
      </c>
    </row>
    <row r="10" spans="1:26" ht="13.5" thickBot="1">
      <c r="A10" s="5" t="s">
        <v>18</v>
      </c>
      <c r="B10" s="34"/>
      <c r="C10" s="137">
        <f t="shared" si="2"/>
        <v>90092</v>
      </c>
      <c r="D10" s="59">
        <f>((C10-G10)/1200)</f>
        <v>75.076666666666668</v>
      </c>
      <c r="E10" s="34">
        <f t="shared" ref="E10:J10" si="9">SUM(E7:E9)</f>
        <v>112615</v>
      </c>
      <c r="F10" s="35">
        <f t="shared" si="9"/>
        <v>992623</v>
      </c>
      <c r="G10" s="195">
        <f>SUM(G7:G9)</f>
        <v>0</v>
      </c>
      <c r="H10" s="195">
        <f t="shared" si="9"/>
        <v>0</v>
      </c>
      <c r="I10" s="197">
        <f t="shared" si="9"/>
        <v>0</v>
      </c>
      <c r="J10" s="203">
        <f t="shared" si="9"/>
        <v>0</v>
      </c>
      <c r="K10" s="5">
        <f>SUM(K7:K9)</f>
        <v>102564</v>
      </c>
      <c r="L10" s="35">
        <f>SUM(L7:L9)</f>
        <v>1005216.8030999999</v>
      </c>
      <c r="M10" s="155">
        <f t="shared" si="0"/>
        <v>0.91074901212094306</v>
      </c>
      <c r="N10" s="145">
        <f t="shared" si="0"/>
        <v>1.0126873980353064</v>
      </c>
      <c r="O10" s="5">
        <f t="shared" si="3"/>
        <v>10051</v>
      </c>
      <c r="P10" s="35">
        <f t="shared" si="3"/>
        <v>-12593.803099999903</v>
      </c>
      <c r="Q10" s="61">
        <f t="shared" si="4"/>
        <v>8.8143053767260131</v>
      </c>
      <c r="R10" s="151">
        <f t="shared" si="5"/>
        <v>9.8008736310986304</v>
      </c>
      <c r="S10" s="62">
        <f t="shared" si="6"/>
        <v>0</v>
      </c>
      <c r="T10" s="62">
        <f t="shared" si="6"/>
        <v>0</v>
      </c>
      <c r="U10" s="200">
        <f>SUM(U7:U9)</f>
        <v>3637573.5999999996</v>
      </c>
      <c r="V10" s="153">
        <f t="shared" si="7"/>
        <v>35.466378066378063</v>
      </c>
      <c r="W10" s="74">
        <v>32.39</v>
      </c>
      <c r="X10" s="60">
        <f t="shared" si="8"/>
        <v>1.0949792549051578</v>
      </c>
      <c r="Y10" s="127">
        <f t="shared" si="1"/>
        <v>0.66562536858333254</v>
      </c>
    </row>
    <row r="11" spans="1:26" ht="13.5" thickBot="1">
      <c r="A11" s="2" t="s">
        <v>19</v>
      </c>
      <c r="B11" s="3" t="s">
        <v>1</v>
      </c>
      <c r="C11" s="57">
        <f t="shared" si="2"/>
        <v>14432.8</v>
      </c>
      <c r="D11" s="54">
        <f t="shared" ref="D11:D24" si="10">((C11-G11)/900)</f>
        <v>16.036444444444445</v>
      </c>
      <c r="E11" s="3">
        <v>18041</v>
      </c>
      <c r="F11" s="29">
        <v>260560</v>
      </c>
      <c r="G11" s="192">
        <v>0</v>
      </c>
      <c r="H11" s="194">
        <v>0</v>
      </c>
      <c r="I11" s="193">
        <v>0</v>
      </c>
      <c r="J11" s="202">
        <v>0</v>
      </c>
      <c r="K11" s="413">
        <v>19760</v>
      </c>
      <c r="L11" s="414">
        <v>366740.19199999998</v>
      </c>
      <c r="M11" s="30">
        <f t="shared" si="0"/>
        <v>1.0952829665761321</v>
      </c>
      <c r="N11" s="144">
        <f t="shared" si="0"/>
        <v>1.4075076450721522</v>
      </c>
      <c r="O11" s="2">
        <f t="shared" si="3"/>
        <v>-1719</v>
      </c>
      <c r="P11" s="139">
        <f t="shared" si="3"/>
        <v>-106180.19199999998</v>
      </c>
      <c r="Q11" s="150">
        <f t="shared" si="4"/>
        <v>14.442658389224544</v>
      </c>
      <c r="R11" s="31">
        <f t="shared" si="5"/>
        <v>18.559726315789472</v>
      </c>
      <c r="S11" s="32">
        <f t="shared" si="6"/>
        <v>0</v>
      </c>
      <c r="T11" s="33">
        <f t="shared" si="6"/>
        <v>0</v>
      </c>
      <c r="U11" s="419">
        <v>1183624</v>
      </c>
      <c r="V11" s="77">
        <f t="shared" si="7"/>
        <v>59.9</v>
      </c>
      <c r="W11" s="80">
        <v>54.91</v>
      </c>
      <c r="X11" s="85">
        <f t="shared" si="8"/>
        <v>1.0908759788745219</v>
      </c>
      <c r="Y11" s="127">
        <f t="shared" si="1"/>
        <v>0.62508733151744145</v>
      </c>
    </row>
    <row r="12" spans="1:26" ht="13.5" thickBot="1">
      <c r="A12" s="5" t="s">
        <v>20</v>
      </c>
      <c r="B12" s="34"/>
      <c r="C12" s="137">
        <f t="shared" si="2"/>
        <v>14432.8</v>
      </c>
      <c r="D12" s="59">
        <f t="shared" si="10"/>
        <v>16.036444444444445</v>
      </c>
      <c r="E12" s="34">
        <f t="shared" ref="E12:J12" si="11">SUM(E11)</f>
        <v>18041</v>
      </c>
      <c r="F12" s="35">
        <f t="shared" si="11"/>
        <v>260560</v>
      </c>
      <c r="G12" s="195">
        <f>SUM(G11)</f>
        <v>0</v>
      </c>
      <c r="H12" s="195">
        <f t="shared" si="11"/>
        <v>0</v>
      </c>
      <c r="I12" s="197">
        <f t="shared" si="11"/>
        <v>0</v>
      </c>
      <c r="J12" s="203">
        <f t="shared" si="11"/>
        <v>0</v>
      </c>
      <c r="K12" s="5">
        <f>SUM(K11)</f>
        <v>19760</v>
      </c>
      <c r="L12" s="35">
        <f>SUM(L11)</f>
        <v>366740.19199999998</v>
      </c>
      <c r="M12" s="155">
        <f t="shared" si="0"/>
        <v>1.0952829665761321</v>
      </c>
      <c r="N12" s="145">
        <f t="shared" si="0"/>
        <v>1.4075076450721522</v>
      </c>
      <c r="O12" s="5">
        <f t="shared" si="3"/>
        <v>-1719</v>
      </c>
      <c r="P12" s="35">
        <f t="shared" si="3"/>
        <v>-106180.19199999998</v>
      </c>
      <c r="Q12" s="61">
        <f t="shared" si="4"/>
        <v>14.442658389224544</v>
      </c>
      <c r="R12" s="151">
        <f t="shared" si="5"/>
        <v>18.559726315789472</v>
      </c>
      <c r="S12" s="62">
        <f t="shared" si="6"/>
        <v>0</v>
      </c>
      <c r="T12" s="62">
        <f t="shared" si="6"/>
        <v>0</v>
      </c>
      <c r="U12" s="200">
        <f>SUM(U11)</f>
        <v>1183624</v>
      </c>
      <c r="V12" s="153">
        <f t="shared" si="7"/>
        <v>59.9</v>
      </c>
      <c r="W12" s="74">
        <v>54.91</v>
      </c>
      <c r="X12" s="60">
        <f t="shared" si="8"/>
        <v>1.0908759788745219</v>
      </c>
      <c r="Y12" s="127">
        <f t="shared" si="1"/>
        <v>0.62508733151744145</v>
      </c>
    </row>
    <row r="13" spans="1:26">
      <c r="A13" s="2" t="s">
        <v>21</v>
      </c>
      <c r="B13" s="3" t="s">
        <v>1</v>
      </c>
      <c r="C13" s="57">
        <f t="shared" si="2"/>
        <v>127799.2</v>
      </c>
      <c r="D13" s="54">
        <f t="shared" si="10"/>
        <v>141.99911111111112</v>
      </c>
      <c r="E13" s="3">
        <v>159749</v>
      </c>
      <c r="F13" s="29">
        <v>486110</v>
      </c>
      <c r="G13" s="192">
        <v>0</v>
      </c>
      <c r="H13" s="194">
        <v>0</v>
      </c>
      <c r="I13" s="193">
        <v>0</v>
      </c>
      <c r="J13" s="202">
        <v>0</v>
      </c>
      <c r="K13" s="413">
        <v>115516</v>
      </c>
      <c r="L13" s="414">
        <v>300182.20150000002</v>
      </c>
      <c r="M13" s="30">
        <f t="shared" si="0"/>
        <v>0.72310937783648099</v>
      </c>
      <c r="N13" s="144">
        <f t="shared" si="0"/>
        <v>0.6175190831293329</v>
      </c>
      <c r="O13" s="2">
        <f t="shared" si="3"/>
        <v>44233</v>
      </c>
      <c r="P13" s="139">
        <f t="shared" si="3"/>
        <v>185927.79849999998</v>
      </c>
      <c r="Q13" s="150">
        <f t="shared" si="4"/>
        <v>3.042961145296684</v>
      </c>
      <c r="R13" s="31">
        <f t="shared" si="5"/>
        <v>2.5986201175594723</v>
      </c>
      <c r="S13" s="32">
        <f t="shared" si="6"/>
        <v>0</v>
      </c>
      <c r="T13" s="33">
        <f t="shared" si="6"/>
        <v>0</v>
      </c>
      <c r="U13" s="419">
        <v>1146462</v>
      </c>
      <c r="V13" s="77">
        <f t="shared" si="7"/>
        <v>9.9247030714359923</v>
      </c>
      <c r="W13" s="80">
        <v>11.81</v>
      </c>
      <c r="X13" s="85">
        <f t="shared" si="8"/>
        <v>0.84036435829263267</v>
      </c>
      <c r="Y13" s="127">
        <f t="shared" si="1"/>
        <v>0.68318141917045661</v>
      </c>
    </row>
    <row r="14" spans="1:26">
      <c r="A14" s="2" t="s">
        <v>22</v>
      </c>
      <c r="B14" s="3" t="s">
        <v>1</v>
      </c>
      <c r="C14" s="57">
        <f t="shared" si="2"/>
        <v>29836</v>
      </c>
      <c r="D14" s="54">
        <f t="shared" si="10"/>
        <v>33.151111111111113</v>
      </c>
      <c r="E14" s="3">
        <v>37295</v>
      </c>
      <c r="F14" s="29">
        <v>279862</v>
      </c>
      <c r="G14" s="192">
        <v>0</v>
      </c>
      <c r="H14" s="194">
        <v>0</v>
      </c>
      <c r="I14" s="193">
        <v>0</v>
      </c>
      <c r="J14" s="202">
        <v>0</v>
      </c>
      <c r="K14" s="413">
        <v>31700</v>
      </c>
      <c r="L14" s="414">
        <v>270501.2929</v>
      </c>
      <c r="M14" s="30">
        <f t="shared" si="0"/>
        <v>0.84997989006569241</v>
      </c>
      <c r="N14" s="144">
        <f t="shared" si="0"/>
        <v>0.9665524183347507</v>
      </c>
      <c r="O14" s="2">
        <f t="shared" si="3"/>
        <v>5595</v>
      </c>
      <c r="P14" s="139">
        <f t="shared" si="3"/>
        <v>9360.7070999999996</v>
      </c>
      <c r="Q14" s="150">
        <f t="shared" si="4"/>
        <v>7.5040085802386383</v>
      </c>
      <c r="R14" s="31">
        <f t="shared" si="5"/>
        <v>8.533163813880126</v>
      </c>
      <c r="S14" s="32">
        <f t="shared" si="6"/>
        <v>0</v>
      </c>
      <c r="T14" s="33">
        <f t="shared" si="6"/>
        <v>0</v>
      </c>
      <c r="U14" s="419">
        <v>836645</v>
      </c>
      <c r="V14" s="77">
        <f t="shared" si="7"/>
        <v>26.392586750788645</v>
      </c>
      <c r="W14" s="80">
        <v>26.91</v>
      </c>
      <c r="X14" s="85">
        <f t="shared" si="8"/>
        <v>0.98077245450719608</v>
      </c>
      <c r="Y14" s="127">
        <f t="shared" si="1"/>
        <v>0.60878680395030149</v>
      </c>
    </row>
    <row r="15" spans="1:26">
      <c r="A15" s="2" t="s">
        <v>56</v>
      </c>
      <c r="B15" s="3" t="s">
        <v>1</v>
      </c>
      <c r="C15" s="57">
        <f t="shared" si="2"/>
        <v>0</v>
      </c>
      <c r="D15" s="54">
        <f t="shared" si="10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413">
        <v>5299</v>
      </c>
      <c r="L15" s="414">
        <v>34130.282599999999</v>
      </c>
      <c r="M15" s="30" t="e">
        <f t="shared" si="0"/>
        <v>#DIV/0!</v>
      </c>
      <c r="N15" s="144" t="e">
        <f t="shared" si="0"/>
        <v>#DIV/0!</v>
      </c>
      <c r="O15" s="2">
        <f t="shared" si="3"/>
        <v>-5299</v>
      </c>
      <c r="P15" s="139">
        <f t="shared" si="3"/>
        <v>-34130.282599999999</v>
      </c>
      <c r="Q15" s="150" t="e">
        <f t="shared" si="4"/>
        <v>#DIV/0!</v>
      </c>
      <c r="R15" s="31">
        <f t="shared" si="5"/>
        <v>6.4408912247593886</v>
      </c>
      <c r="S15" s="32" t="e">
        <f t="shared" si="6"/>
        <v>#DIV/0!</v>
      </c>
      <c r="T15" s="33" t="e">
        <f t="shared" si="6"/>
        <v>#DIV/0!</v>
      </c>
      <c r="U15" s="419">
        <v>121555.1</v>
      </c>
      <c r="V15" s="77">
        <f t="shared" si="7"/>
        <v>22.939252689186642</v>
      </c>
      <c r="W15" s="80"/>
      <c r="X15" s="85" t="e">
        <f t="shared" si="8"/>
        <v>#DIV/0!</v>
      </c>
      <c r="Y15" s="127">
        <f t="shared" si="1"/>
        <v>0.6602557856807324</v>
      </c>
    </row>
    <row r="16" spans="1:26">
      <c r="A16" s="2" t="s">
        <v>23</v>
      </c>
      <c r="B16" s="3" t="s">
        <v>1</v>
      </c>
      <c r="C16" s="57">
        <f t="shared" si="2"/>
        <v>34401.599999999999</v>
      </c>
      <c r="D16" s="54">
        <f t="shared" si="10"/>
        <v>38.223999999999997</v>
      </c>
      <c r="E16" s="3">
        <v>43002</v>
      </c>
      <c r="F16" s="29">
        <v>309854</v>
      </c>
      <c r="G16" s="192">
        <v>0</v>
      </c>
      <c r="H16" s="194">
        <v>0</v>
      </c>
      <c r="I16" s="193">
        <v>0</v>
      </c>
      <c r="J16" s="202">
        <v>0</v>
      </c>
      <c r="K16" s="413">
        <v>36802</v>
      </c>
      <c r="L16" s="414">
        <v>308455.22320000001</v>
      </c>
      <c r="M16" s="30">
        <f t="shared" si="0"/>
        <v>0.85582065950420916</v>
      </c>
      <c r="N16" s="144">
        <f t="shared" si="0"/>
        <v>0.99548569068012682</v>
      </c>
      <c r="O16" s="2">
        <f t="shared" si="3"/>
        <v>6200</v>
      </c>
      <c r="P16" s="139">
        <f t="shared" si="3"/>
        <v>1398.7767999999924</v>
      </c>
      <c r="Q16" s="150">
        <f t="shared" si="4"/>
        <v>7.2055718338681922</v>
      </c>
      <c r="R16" s="31">
        <f t="shared" si="5"/>
        <v>8.3814798978316389</v>
      </c>
      <c r="S16" s="32">
        <f t="shared" si="6"/>
        <v>0</v>
      </c>
      <c r="T16" s="33">
        <f t="shared" si="6"/>
        <v>0</v>
      </c>
      <c r="U16" s="419">
        <v>1076964.8</v>
      </c>
      <c r="V16" s="77">
        <f t="shared" si="7"/>
        <v>29.263757404488889</v>
      </c>
      <c r="W16" s="80">
        <v>29.45</v>
      </c>
      <c r="X16" s="85">
        <f t="shared" si="8"/>
        <v>0.99367597298773813</v>
      </c>
      <c r="Y16" s="127">
        <f t="shared" si="1"/>
        <v>0.6534419508678464</v>
      </c>
    </row>
    <row r="17" spans="1:25">
      <c r="A17" s="2" t="s">
        <v>24</v>
      </c>
      <c r="B17" s="3" t="s">
        <v>1</v>
      </c>
      <c r="C17" s="57">
        <f t="shared" si="2"/>
        <v>16098.4</v>
      </c>
      <c r="D17" s="54">
        <f t="shared" si="10"/>
        <v>17.887111111111111</v>
      </c>
      <c r="E17" s="3">
        <v>20123</v>
      </c>
      <c r="F17" s="29">
        <v>186374</v>
      </c>
      <c r="G17" s="192">
        <v>0</v>
      </c>
      <c r="H17" s="194">
        <v>0</v>
      </c>
      <c r="I17" s="193">
        <v>0</v>
      </c>
      <c r="J17" s="202">
        <v>0</v>
      </c>
      <c r="K17" s="413">
        <v>16328</v>
      </c>
      <c r="L17" s="414">
        <v>169208.7176</v>
      </c>
      <c r="M17" s="30">
        <f t="shared" si="0"/>
        <v>0.81140982954827812</v>
      </c>
      <c r="N17" s="144">
        <f t="shared" si="0"/>
        <v>0.90789872836339836</v>
      </c>
      <c r="O17" s="2">
        <f t="shared" si="3"/>
        <v>3795</v>
      </c>
      <c r="P17" s="139">
        <f t="shared" si="3"/>
        <v>17165.282399999996</v>
      </c>
      <c r="Q17" s="150">
        <f t="shared" si="4"/>
        <v>9.2617402971723894</v>
      </c>
      <c r="R17" s="31">
        <f t="shared" si="5"/>
        <v>10.36310127388535</v>
      </c>
      <c r="S17" s="32">
        <f t="shared" si="6"/>
        <v>0</v>
      </c>
      <c r="T17" s="33">
        <f t="shared" si="6"/>
        <v>0</v>
      </c>
      <c r="U17" s="419">
        <v>591167.19999999995</v>
      </c>
      <c r="V17" s="77">
        <f t="shared" si="7"/>
        <v>36.205732484076428</v>
      </c>
      <c r="W17" s="80">
        <v>34.67</v>
      </c>
      <c r="X17" s="85">
        <f t="shared" si="8"/>
        <v>1.0442957162987143</v>
      </c>
      <c r="Y17" s="127">
        <f t="shared" si="1"/>
        <v>0.65366389018876558</v>
      </c>
    </row>
    <row r="18" spans="1:25" ht="13.5" thickBot="1">
      <c r="A18" s="2" t="s">
        <v>25</v>
      </c>
      <c r="B18" s="3" t="s">
        <v>1</v>
      </c>
      <c r="C18" s="57">
        <f t="shared" si="2"/>
        <v>8805.6</v>
      </c>
      <c r="D18" s="54">
        <f t="shared" si="10"/>
        <v>9.7840000000000007</v>
      </c>
      <c r="E18" s="3">
        <v>11007</v>
      </c>
      <c r="F18" s="29">
        <v>93225</v>
      </c>
      <c r="G18" s="192">
        <v>0</v>
      </c>
      <c r="H18" s="194">
        <v>0</v>
      </c>
      <c r="I18" s="193">
        <v>0</v>
      </c>
      <c r="J18" s="202">
        <v>0</v>
      </c>
      <c r="K18" s="413">
        <v>10504</v>
      </c>
      <c r="L18" s="414">
        <v>124463.7264</v>
      </c>
      <c r="M18" s="30">
        <f t="shared" si="0"/>
        <v>0.95430180794040154</v>
      </c>
      <c r="N18" s="144">
        <f t="shared" si="0"/>
        <v>1.3350895832662912</v>
      </c>
      <c r="O18" s="2">
        <f t="shared" si="3"/>
        <v>503</v>
      </c>
      <c r="P18" s="139">
        <f t="shared" si="3"/>
        <v>-31238.7264</v>
      </c>
      <c r="Q18" s="150">
        <f t="shared" si="4"/>
        <v>8.4696102480239848</v>
      </c>
      <c r="R18" s="31">
        <f t="shared" si="5"/>
        <v>11.849174257425743</v>
      </c>
      <c r="S18" s="32">
        <f t="shared" si="6"/>
        <v>0</v>
      </c>
      <c r="T18" s="33">
        <f t="shared" si="6"/>
        <v>0</v>
      </c>
      <c r="U18" s="419">
        <v>368669.6</v>
      </c>
      <c r="V18" s="77">
        <f t="shared" si="7"/>
        <v>35.098019801980193</v>
      </c>
      <c r="W18" s="80">
        <v>31.41</v>
      </c>
      <c r="X18" s="85">
        <f t="shared" si="8"/>
        <v>1.117415466475014</v>
      </c>
      <c r="Y18" s="127">
        <f t="shared" si="1"/>
        <v>0.5915011464357246</v>
      </c>
    </row>
    <row r="19" spans="1:25" ht="13.5" thickBot="1">
      <c r="A19" s="5" t="s">
        <v>26</v>
      </c>
      <c r="B19" s="34"/>
      <c r="C19" s="137">
        <f t="shared" si="2"/>
        <v>216940.79999999999</v>
      </c>
      <c r="D19" s="59">
        <f t="shared" si="10"/>
        <v>241.04533333333333</v>
      </c>
      <c r="E19" s="34">
        <f t="shared" ref="E19:J19" si="12">SUM(E13:E18)</f>
        <v>271176</v>
      </c>
      <c r="F19" s="35">
        <f t="shared" si="12"/>
        <v>1355425</v>
      </c>
      <c r="G19" s="195">
        <f t="shared" si="12"/>
        <v>0</v>
      </c>
      <c r="H19" s="195">
        <f t="shared" si="12"/>
        <v>0</v>
      </c>
      <c r="I19" s="197">
        <f t="shared" si="12"/>
        <v>0</v>
      </c>
      <c r="J19" s="203">
        <f t="shared" si="12"/>
        <v>0</v>
      </c>
      <c r="K19" s="5">
        <f>SUM(K13:K18)</f>
        <v>216149</v>
      </c>
      <c r="L19" s="35">
        <f>SUM(L13:L18)</f>
        <v>1206941.4442</v>
      </c>
      <c r="M19" s="155">
        <f t="shared" si="0"/>
        <v>0.79708012508481574</v>
      </c>
      <c r="N19" s="145">
        <f t="shared" si="0"/>
        <v>0.89045239994835568</v>
      </c>
      <c r="O19" s="5">
        <f t="shared" si="3"/>
        <v>55027</v>
      </c>
      <c r="P19" s="35">
        <f t="shared" si="3"/>
        <v>148483.55579999997</v>
      </c>
      <c r="Q19" s="61">
        <f t="shared" si="4"/>
        <v>4.9983221229017314</v>
      </c>
      <c r="R19" s="151">
        <f t="shared" si="5"/>
        <v>5.5838400557023169</v>
      </c>
      <c r="S19" s="62">
        <f t="shared" si="6"/>
        <v>0</v>
      </c>
      <c r="T19" s="62">
        <f t="shared" si="6"/>
        <v>0</v>
      </c>
      <c r="U19" s="200">
        <f>SUM(U13:U18)</f>
        <v>4141463.7000000007</v>
      </c>
      <c r="V19" s="153">
        <f t="shared" si="7"/>
        <v>19.160226047772603</v>
      </c>
      <c r="W19" s="74">
        <v>19.420000000000002</v>
      </c>
      <c r="X19" s="60">
        <f t="shared" si="8"/>
        <v>0.98662338042083431</v>
      </c>
      <c r="Y19" s="127">
        <f t="shared" si="1"/>
        <v>0.64737125488218106</v>
      </c>
    </row>
    <row r="20" spans="1:25">
      <c r="A20" s="2" t="s">
        <v>60</v>
      </c>
      <c r="B20" s="3"/>
      <c r="C20" s="57">
        <f t="shared" si="2"/>
        <v>0</v>
      </c>
      <c r="D20" s="54">
        <f t="shared" si="10"/>
        <v>0</v>
      </c>
      <c r="E20" s="3"/>
      <c r="F20" s="29"/>
      <c r="G20" s="192"/>
      <c r="H20" s="194"/>
      <c r="I20" s="193"/>
      <c r="J20" s="202"/>
      <c r="K20" s="413"/>
      <c r="L20" s="414"/>
      <c r="M20" s="30" t="e">
        <f t="shared" si="0"/>
        <v>#DIV/0!</v>
      </c>
      <c r="N20" s="144" t="e">
        <f t="shared" si="0"/>
        <v>#DIV/0!</v>
      </c>
      <c r="O20" s="2">
        <f t="shared" si="3"/>
        <v>0</v>
      </c>
      <c r="P20" s="139">
        <f t="shared" si="3"/>
        <v>0</v>
      </c>
      <c r="Q20" s="150" t="e">
        <f t="shared" si="4"/>
        <v>#DIV/0!</v>
      </c>
      <c r="R20" s="31" t="e">
        <f t="shared" si="5"/>
        <v>#DIV/0!</v>
      </c>
      <c r="S20" s="32" t="e">
        <f t="shared" si="6"/>
        <v>#DIV/0!</v>
      </c>
      <c r="T20" s="33" t="e">
        <f t="shared" si="6"/>
        <v>#DIV/0!</v>
      </c>
      <c r="U20" s="419"/>
      <c r="V20" s="77" t="e">
        <f t="shared" si="7"/>
        <v>#DIV/0!</v>
      </c>
      <c r="W20" s="80"/>
      <c r="X20" s="85" t="e">
        <f t="shared" si="8"/>
        <v>#DIV/0!</v>
      </c>
      <c r="Y20" s="127" t="e">
        <f t="shared" si="1"/>
        <v>#DIV/0!</v>
      </c>
    </row>
    <row r="21" spans="1:25" ht="13.5" thickBot="1">
      <c r="A21" s="2" t="s">
        <v>61</v>
      </c>
      <c r="B21" s="3"/>
      <c r="C21" s="57">
        <f t="shared" si="2"/>
        <v>0</v>
      </c>
      <c r="D21" s="54">
        <f t="shared" si="10"/>
        <v>0</v>
      </c>
      <c r="E21" s="3"/>
      <c r="F21" s="29"/>
      <c r="G21" s="192"/>
      <c r="H21" s="194"/>
      <c r="I21" s="193"/>
      <c r="J21" s="202"/>
      <c r="K21" s="413"/>
      <c r="L21" s="414"/>
      <c r="M21" s="30" t="e">
        <f t="shared" si="0"/>
        <v>#DIV/0!</v>
      </c>
      <c r="N21" s="144" t="e">
        <f t="shared" si="0"/>
        <v>#DIV/0!</v>
      </c>
      <c r="O21" s="2">
        <f t="shared" si="3"/>
        <v>0</v>
      </c>
      <c r="P21" s="139">
        <f t="shared" si="3"/>
        <v>0</v>
      </c>
      <c r="Q21" s="150" t="e">
        <f t="shared" si="4"/>
        <v>#DIV/0!</v>
      </c>
      <c r="R21" s="31" t="e">
        <f t="shared" si="5"/>
        <v>#DIV/0!</v>
      </c>
      <c r="S21" s="32" t="e">
        <f t="shared" si="6"/>
        <v>#DIV/0!</v>
      </c>
      <c r="T21" s="33" t="e">
        <f t="shared" si="6"/>
        <v>#DIV/0!</v>
      </c>
      <c r="U21" s="419"/>
      <c r="V21" s="77" t="e">
        <f t="shared" si="7"/>
        <v>#DIV/0!</v>
      </c>
      <c r="W21" s="80"/>
      <c r="X21" s="85" t="e">
        <f t="shared" si="8"/>
        <v>#DIV/0!</v>
      </c>
      <c r="Y21" s="127" t="e">
        <f t="shared" si="1"/>
        <v>#DIV/0!</v>
      </c>
    </row>
    <row r="22" spans="1:25" ht="13.5" thickBot="1">
      <c r="A22" s="5" t="s">
        <v>59</v>
      </c>
      <c r="B22" s="34"/>
      <c r="C22" s="137"/>
      <c r="D22" s="59"/>
      <c r="E22" s="34"/>
      <c r="F22" s="5"/>
      <c r="G22" s="195"/>
      <c r="H22" s="195"/>
      <c r="I22" s="197"/>
      <c r="J22" s="197"/>
      <c r="K22" s="5">
        <f>SUM(K20:K21)</f>
        <v>0</v>
      </c>
      <c r="L22" s="5">
        <f>SUM(L20:L21)</f>
        <v>0</v>
      </c>
      <c r="M22" s="155"/>
      <c r="N22" s="155"/>
      <c r="O22" s="5"/>
      <c r="P22" s="35"/>
      <c r="Q22" s="61"/>
      <c r="R22" s="151"/>
      <c r="S22" s="62"/>
      <c r="T22" s="62"/>
      <c r="U22" s="200">
        <f>SUM(U20:U21)</f>
        <v>0</v>
      </c>
      <c r="V22" s="153"/>
      <c r="W22" s="74"/>
      <c r="X22" s="60"/>
      <c r="Y22" s="127"/>
    </row>
    <row r="23" spans="1:25" ht="13.5" thickBot="1">
      <c r="A23" s="2" t="s">
        <v>27</v>
      </c>
      <c r="B23" s="3" t="s">
        <v>1</v>
      </c>
      <c r="C23" s="57">
        <f t="shared" si="2"/>
        <v>0</v>
      </c>
      <c r="D23" s="54">
        <f t="shared" si="10"/>
        <v>0</v>
      </c>
      <c r="E23" s="3">
        <v>0</v>
      </c>
      <c r="F23" s="29">
        <v>0</v>
      </c>
      <c r="G23" s="192">
        <v>0</v>
      </c>
      <c r="H23" s="194">
        <v>0</v>
      </c>
      <c r="I23" s="193">
        <v>0</v>
      </c>
      <c r="J23" s="202">
        <v>0</v>
      </c>
      <c r="K23" s="413">
        <v>800</v>
      </c>
      <c r="L23" s="414">
        <v>13331.12</v>
      </c>
      <c r="M23" s="30" t="e">
        <f t="shared" si="0"/>
        <v>#DIV/0!</v>
      </c>
      <c r="N23" s="30" t="e">
        <f t="shared" si="0"/>
        <v>#DIV/0!</v>
      </c>
      <c r="O23" s="2">
        <f t="shared" si="3"/>
        <v>-800</v>
      </c>
      <c r="P23" s="139">
        <f t="shared" si="3"/>
        <v>-13331.12</v>
      </c>
      <c r="Q23" s="150" t="e">
        <f t="shared" si="4"/>
        <v>#DIV/0!</v>
      </c>
      <c r="R23" s="31">
        <f t="shared" si="5"/>
        <v>16.663900000000002</v>
      </c>
      <c r="S23" s="32" t="e">
        <f t="shared" si="6"/>
        <v>#DIV/0!</v>
      </c>
      <c r="T23" s="33" t="e">
        <f t="shared" si="6"/>
        <v>#DIV/0!</v>
      </c>
      <c r="U23" s="419">
        <v>47920</v>
      </c>
      <c r="V23" s="153">
        <f t="shared" si="7"/>
        <v>59.9</v>
      </c>
      <c r="W23" s="80"/>
      <c r="X23" s="85" t="e">
        <f t="shared" si="8"/>
        <v>#DIV/0!</v>
      </c>
      <c r="Y23" s="127">
        <f t="shared" si="1"/>
        <v>0.66338365609348904</v>
      </c>
    </row>
    <row r="24" spans="1:25" ht="13.5" thickBot="1">
      <c r="A24" s="5" t="s">
        <v>28</v>
      </c>
      <c r="B24" s="34"/>
      <c r="C24" s="137">
        <f t="shared" si="2"/>
        <v>0</v>
      </c>
      <c r="D24" s="59">
        <f t="shared" si="10"/>
        <v>0</v>
      </c>
      <c r="E24" s="34">
        <f t="shared" ref="E24:J24" si="13">SUM(E23)</f>
        <v>0</v>
      </c>
      <c r="F24" s="5">
        <f t="shared" si="13"/>
        <v>0</v>
      </c>
      <c r="G24" s="195">
        <f t="shared" si="13"/>
        <v>0</v>
      </c>
      <c r="H24" s="195">
        <f t="shared" si="13"/>
        <v>0</v>
      </c>
      <c r="I24" s="197">
        <v>0</v>
      </c>
      <c r="J24" s="197">
        <f t="shared" si="13"/>
        <v>0</v>
      </c>
      <c r="K24" s="5">
        <f>SUM(K23)</f>
        <v>800</v>
      </c>
      <c r="L24" s="35">
        <f>SUM(L23)</f>
        <v>13331.12</v>
      </c>
      <c r="M24" s="155" t="e">
        <f t="shared" si="0"/>
        <v>#DIV/0!</v>
      </c>
      <c r="N24" s="155" t="e">
        <f t="shared" si="0"/>
        <v>#DIV/0!</v>
      </c>
      <c r="O24" s="5">
        <f t="shared" si="3"/>
        <v>-800</v>
      </c>
      <c r="P24" s="35">
        <f t="shared" si="3"/>
        <v>-13331.12</v>
      </c>
      <c r="Q24" s="61" t="e">
        <f t="shared" si="4"/>
        <v>#DIV/0!</v>
      </c>
      <c r="R24" s="151">
        <f t="shared" si="5"/>
        <v>16.663900000000002</v>
      </c>
      <c r="S24" s="62" t="e">
        <f t="shared" si="6"/>
        <v>#DIV/0!</v>
      </c>
      <c r="T24" s="62" t="e">
        <f t="shared" si="6"/>
        <v>#DIV/0!</v>
      </c>
      <c r="U24" s="200">
        <f>SUM(U23)</f>
        <v>47920</v>
      </c>
      <c r="V24" s="153">
        <f t="shared" si="7"/>
        <v>59.9</v>
      </c>
      <c r="W24" s="74"/>
      <c r="X24" s="60" t="e">
        <f t="shared" si="8"/>
        <v>#DIV/0!</v>
      </c>
      <c r="Y24" s="127">
        <f t="shared" si="1"/>
        <v>0.66338365609348904</v>
      </c>
    </row>
    <row r="25" spans="1:25" ht="13.5" thickBot="1">
      <c r="A25" s="2" t="s">
        <v>52</v>
      </c>
      <c r="B25" s="3" t="s">
        <v>1</v>
      </c>
      <c r="C25" s="57">
        <f t="shared" si="2"/>
        <v>0</v>
      </c>
      <c r="D25" s="54">
        <f>((C25-G25)/600)</f>
        <v>0</v>
      </c>
      <c r="E25" s="3">
        <v>0</v>
      </c>
      <c r="F25" s="29">
        <v>0</v>
      </c>
      <c r="G25" s="192">
        <v>0</v>
      </c>
      <c r="H25" s="194">
        <v>0</v>
      </c>
      <c r="I25" s="193">
        <v>0</v>
      </c>
      <c r="J25" s="202">
        <v>0</v>
      </c>
      <c r="K25" s="413">
        <f>(I25+G25)</f>
        <v>0</v>
      </c>
      <c r="L25" s="414">
        <f>(J25+H25)</f>
        <v>0</v>
      </c>
      <c r="M25" s="30" t="e">
        <f t="shared" si="0"/>
        <v>#DIV/0!</v>
      </c>
      <c r="N25" s="144" t="e">
        <f>(L25/F25)</f>
        <v>#DIV/0!</v>
      </c>
      <c r="O25" s="2">
        <f t="shared" si="3"/>
        <v>0</v>
      </c>
      <c r="P25" s="139">
        <f t="shared" si="3"/>
        <v>0</v>
      </c>
      <c r="Q25" s="150" t="e">
        <f t="shared" si="4"/>
        <v>#DIV/0!</v>
      </c>
      <c r="R25" s="31" t="e">
        <f t="shared" si="5"/>
        <v>#DIV/0!</v>
      </c>
      <c r="S25" s="32" t="e">
        <f t="shared" si="6"/>
        <v>#DIV/0!</v>
      </c>
      <c r="T25" s="33" t="e">
        <f t="shared" si="6"/>
        <v>#DIV/0!</v>
      </c>
      <c r="U25" s="419">
        <v>0</v>
      </c>
      <c r="V25" s="153" t="e">
        <f t="shared" si="7"/>
        <v>#DIV/0!</v>
      </c>
      <c r="W25" s="80"/>
      <c r="X25" s="85" t="e">
        <f t="shared" si="8"/>
        <v>#DIV/0!</v>
      </c>
      <c r="Y25" s="127" t="e">
        <f t="shared" si="1"/>
        <v>#DIV/0!</v>
      </c>
    </row>
    <row r="26" spans="1:25" ht="13.5" thickBot="1">
      <c r="A26" s="2" t="s">
        <v>48</v>
      </c>
      <c r="B26" s="3" t="s">
        <v>1</v>
      </c>
      <c r="C26" s="57">
        <f t="shared" si="2"/>
        <v>3236.8</v>
      </c>
      <c r="D26" s="54">
        <v>0</v>
      </c>
      <c r="E26" s="3">
        <v>4046</v>
      </c>
      <c r="F26" s="29">
        <v>9833</v>
      </c>
      <c r="G26" s="192">
        <v>0</v>
      </c>
      <c r="H26" s="194">
        <v>0</v>
      </c>
      <c r="I26" s="193">
        <v>0</v>
      </c>
      <c r="J26" s="202">
        <v>0</v>
      </c>
      <c r="K26" s="413">
        <v>5000</v>
      </c>
      <c r="L26" s="414">
        <v>13849</v>
      </c>
      <c r="M26" s="30">
        <f t="shared" si="0"/>
        <v>1.2357884330202669</v>
      </c>
      <c r="N26" s="144">
        <f>(L26/F26)</f>
        <v>1.4084206244279467</v>
      </c>
      <c r="O26" s="2">
        <f t="shared" si="3"/>
        <v>-954</v>
      </c>
      <c r="P26" s="139">
        <f t="shared" si="3"/>
        <v>-4016</v>
      </c>
      <c r="Q26" s="150">
        <f t="shared" si="4"/>
        <v>2.4303015323776571</v>
      </c>
      <c r="R26" s="31">
        <f t="shared" si="5"/>
        <v>2.7698</v>
      </c>
      <c r="S26" s="32">
        <f t="shared" si="6"/>
        <v>0</v>
      </c>
      <c r="T26" s="33">
        <f t="shared" si="6"/>
        <v>0</v>
      </c>
      <c r="U26" s="419">
        <v>50800</v>
      </c>
      <c r="V26" s="153">
        <f t="shared" si="7"/>
        <v>10.16</v>
      </c>
      <c r="W26" s="80">
        <v>8.65</v>
      </c>
      <c r="X26" s="85">
        <f t="shared" si="8"/>
        <v>1.1745664739884392</v>
      </c>
      <c r="Y26" s="127">
        <f t="shared" si="1"/>
        <v>0.67013208661417323</v>
      </c>
    </row>
    <row r="27" spans="1:25" ht="13.5" thickBot="1">
      <c r="A27" s="2" t="s">
        <v>49</v>
      </c>
      <c r="B27" s="3" t="s">
        <v>1</v>
      </c>
      <c r="C27" s="57">
        <f t="shared" si="2"/>
        <v>9624.7999999999993</v>
      </c>
      <c r="D27" s="54">
        <v>0</v>
      </c>
      <c r="E27" s="3">
        <v>12031</v>
      </c>
      <c r="F27" s="29">
        <v>42708</v>
      </c>
      <c r="G27" s="192">
        <v>0</v>
      </c>
      <c r="H27" s="194">
        <v>0</v>
      </c>
      <c r="I27" s="193">
        <v>0</v>
      </c>
      <c r="J27" s="202">
        <v>0</v>
      </c>
      <c r="K27" s="413">
        <v>12372</v>
      </c>
      <c r="L27" s="414">
        <v>45458</v>
      </c>
      <c r="M27" s="30">
        <f t="shared" si="0"/>
        <v>1.0283434460975813</v>
      </c>
      <c r="N27" s="144">
        <f>(L27/F27)</f>
        <v>1.0643907464643627</v>
      </c>
      <c r="O27" s="2">
        <f t="shared" si="3"/>
        <v>-341</v>
      </c>
      <c r="P27" s="139">
        <f t="shared" si="3"/>
        <v>-2750</v>
      </c>
      <c r="Q27" s="150">
        <f t="shared" si="4"/>
        <v>3.5498296068489736</v>
      </c>
      <c r="R27" s="31">
        <f t="shared" si="5"/>
        <v>3.6742644681538961</v>
      </c>
      <c r="S27" s="32">
        <f t="shared" si="6"/>
        <v>0</v>
      </c>
      <c r="T27" s="33">
        <f t="shared" si="6"/>
        <v>0</v>
      </c>
      <c r="U27" s="419">
        <v>154650</v>
      </c>
      <c r="V27" s="153">
        <f t="shared" si="7"/>
        <v>12.5</v>
      </c>
      <c r="W27" s="80">
        <v>12.13</v>
      </c>
      <c r="X27" s="85">
        <f t="shared" si="8"/>
        <v>1.0305028854080791</v>
      </c>
      <c r="Y27" s="127">
        <f t="shared" si="1"/>
        <v>0.6443311994827029</v>
      </c>
    </row>
    <row r="28" spans="1:25" ht="13.5" thickBot="1">
      <c r="A28" s="2" t="s">
        <v>55</v>
      </c>
      <c r="B28" s="3" t="s">
        <v>1</v>
      </c>
      <c r="C28" s="57">
        <f t="shared" si="2"/>
        <v>4454.3999999999996</v>
      </c>
      <c r="D28" s="54">
        <f>((C28-G28)/600)</f>
        <v>7.4239999999999995</v>
      </c>
      <c r="E28" s="3">
        <v>5568</v>
      </c>
      <c r="F28" s="29">
        <v>8120</v>
      </c>
      <c r="G28" s="192">
        <v>0</v>
      </c>
      <c r="H28" s="194">
        <v>0</v>
      </c>
      <c r="I28" s="193">
        <v>0</v>
      </c>
      <c r="J28" s="202">
        <v>0</v>
      </c>
      <c r="K28" s="413">
        <v>5602</v>
      </c>
      <c r="L28" s="414">
        <v>2342</v>
      </c>
      <c r="M28" s="30">
        <f t="shared" si="0"/>
        <v>1.0061063218390804</v>
      </c>
      <c r="N28" s="144">
        <f>(L28/F28)</f>
        <v>0.28842364532019704</v>
      </c>
      <c r="O28" s="2">
        <f t="shared" si="3"/>
        <v>-34</v>
      </c>
      <c r="P28" s="139">
        <f t="shared" si="3"/>
        <v>5778</v>
      </c>
      <c r="Q28" s="150">
        <f t="shared" si="4"/>
        <v>1.4583333333333333</v>
      </c>
      <c r="R28" s="31">
        <f t="shared" si="5"/>
        <v>0.41806497679400212</v>
      </c>
      <c r="S28" s="32">
        <f t="shared" si="6"/>
        <v>0</v>
      </c>
      <c r="T28" s="33">
        <f t="shared" si="6"/>
        <v>0</v>
      </c>
      <c r="U28" s="419">
        <v>38654</v>
      </c>
      <c r="V28" s="153">
        <f t="shared" si="7"/>
        <v>6.9000357015351659</v>
      </c>
      <c r="W28" s="80">
        <v>6.5</v>
      </c>
      <c r="X28" s="85">
        <f t="shared" si="8"/>
        <v>1.0615439540823333</v>
      </c>
      <c r="Y28" s="127">
        <f t="shared" si="1"/>
        <v>0.92668753557199768</v>
      </c>
    </row>
    <row r="29" spans="1:25" ht="13.5" thickBot="1">
      <c r="A29" s="5" t="s">
        <v>29</v>
      </c>
      <c r="B29" s="34"/>
      <c r="C29" s="137">
        <f t="shared" si="2"/>
        <v>17316</v>
      </c>
      <c r="D29" s="59">
        <f>((C29-G29)/600)</f>
        <v>28.86</v>
      </c>
      <c r="E29" s="34">
        <f t="shared" ref="E29:J29" si="14">SUM(E25:E28)</f>
        <v>21645</v>
      </c>
      <c r="F29" s="5">
        <f t="shared" si="14"/>
        <v>60661</v>
      </c>
      <c r="G29" s="195">
        <f t="shared" si="14"/>
        <v>0</v>
      </c>
      <c r="H29" s="195">
        <f t="shared" si="14"/>
        <v>0</v>
      </c>
      <c r="I29" s="197">
        <f t="shared" si="14"/>
        <v>0</v>
      </c>
      <c r="J29" s="197">
        <f t="shared" si="14"/>
        <v>0</v>
      </c>
      <c r="K29" s="47">
        <f>SUM(K25:K28)</f>
        <v>22974</v>
      </c>
      <c r="L29" s="47">
        <f>SUM(L25:L28)</f>
        <v>61649</v>
      </c>
      <c r="M29" s="155">
        <f t="shared" si="0"/>
        <v>1.0613998613998614</v>
      </c>
      <c r="N29" s="155">
        <f t="shared" si="0"/>
        <v>1.0162872356209096</v>
      </c>
      <c r="O29" s="47">
        <f t="shared" si="3"/>
        <v>-1329</v>
      </c>
      <c r="P29" s="47">
        <f t="shared" si="3"/>
        <v>-988</v>
      </c>
      <c r="Q29" s="60">
        <f t="shared" si="4"/>
        <v>2.8025410025410027</v>
      </c>
      <c r="R29" s="61">
        <f t="shared" si="5"/>
        <v>2.6834247410115784</v>
      </c>
      <c r="S29" s="62">
        <f t="shared" si="6"/>
        <v>0</v>
      </c>
      <c r="T29" s="62">
        <f t="shared" si="6"/>
        <v>0</v>
      </c>
      <c r="U29" s="200">
        <f>SUM(U25:U28)</f>
        <v>244104</v>
      </c>
      <c r="V29" s="153">
        <f t="shared" si="7"/>
        <v>10.625228519195613</v>
      </c>
      <c r="W29" s="74">
        <v>10.32</v>
      </c>
      <c r="X29" s="60">
        <f t="shared" si="8"/>
        <v>1.0295764068987996</v>
      </c>
      <c r="Y29" s="127">
        <f t="shared" si="1"/>
        <v>0.69441184904794673</v>
      </c>
    </row>
    <row r="30" spans="1:25" ht="14.25" thickBot="1">
      <c r="A30" s="36" t="s">
        <v>2</v>
      </c>
      <c r="B30" s="37"/>
      <c r="C30" s="137">
        <f t="shared" si="2"/>
        <v>338781.6</v>
      </c>
      <c r="D30" s="59">
        <f>SUM(D29,D24,D19,D12,D10)</f>
        <v>361.01844444444441</v>
      </c>
      <c r="E30" s="36">
        <f>(E10+E12+E19+E24+E29)</f>
        <v>423477</v>
      </c>
      <c r="F30" s="36">
        <f>(F10+F12+F19+F24+F29)</f>
        <v>2669269</v>
      </c>
      <c r="G30" s="204">
        <f>SUM(G29,G24,G19,G12,G10)</f>
        <v>0</v>
      </c>
      <c r="H30" s="204">
        <f>SUM(H29,H24,H19,H12,H10)</f>
        <v>0</v>
      </c>
      <c r="I30" s="204">
        <f>SUM(I29,I24,I19,I12,I10)</f>
        <v>0</v>
      </c>
      <c r="J30" s="204">
        <f>SUM(J29,J24,J19,J12,J10)</f>
        <v>0</v>
      </c>
      <c r="K30" s="47">
        <f>K10+K12+K19+K22+K24+K29</f>
        <v>362247</v>
      </c>
      <c r="L30" s="47">
        <f>L10+L12+L19+L22+L24+L29</f>
        <v>2653878.5592999998</v>
      </c>
      <c r="M30" s="48">
        <f t="shared" si="0"/>
        <v>0.85541127381180093</v>
      </c>
      <c r="N30" s="48">
        <f t="shared" si="0"/>
        <v>0.99423421142642421</v>
      </c>
      <c r="O30" s="47">
        <f>(E30-K30)</f>
        <v>61230</v>
      </c>
      <c r="P30" s="47">
        <f>(F30-L30)</f>
        <v>15390.440700000152</v>
      </c>
      <c r="Q30" s="60">
        <f t="shared" si="4"/>
        <v>6.3032207180082978</v>
      </c>
      <c r="R30" s="61">
        <f t="shared" si="5"/>
        <v>7.3261574541680119</v>
      </c>
      <c r="S30" s="62">
        <f t="shared" si="6"/>
        <v>0</v>
      </c>
      <c r="T30" s="62">
        <f t="shared" si="6"/>
        <v>0</v>
      </c>
      <c r="U30" s="198">
        <f>U10+U12+U19+U22+U24+U29</f>
        <v>9254685.3000000007</v>
      </c>
      <c r="V30" s="153">
        <f t="shared" si="7"/>
        <v>25.54799708486199</v>
      </c>
      <c r="W30" s="74">
        <v>23.57</v>
      </c>
      <c r="X30" s="60">
        <f t="shared" si="8"/>
        <v>1.0839201139101395</v>
      </c>
      <c r="Y30" s="127">
        <f t="shared" si="1"/>
        <v>0.6530197459277195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3"/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/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32" ht="13.5" thickBot="1"/>
    <row r="34" spans="2:32">
      <c r="B34" s="45" t="s">
        <v>36</v>
      </c>
      <c r="C34" s="50"/>
      <c r="D34" s="50"/>
      <c r="E34" s="63"/>
      <c r="F34" s="63"/>
      <c r="G34" s="66"/>
      <c r="H34" s="68"/>
      <c r="I34" s="66"/>
      <c r="J34" s="88"/>
    </row>
    <row r="35" spans="2:32">
      <c r="B35" s="2"/>
      <c r="C35" s="3"/>
      <c r="D35" s="3"/>
      <c r="E35" s="64" t="s">
        <v>37</v>
      </c>
      <c r="F35" s="64"/>
      <c r="G35" s="67"/>
      <c r="H35" s="69"/>
      <c r="I35" s="67"/>
      <c r="J35" s="89"/>
    </row>
    <row r="36" spans="2:32" ht="13.5" thickBot="1">
      <c r="B36" s="4"/>
      <c r="C36" s="51"/>
      <c r="D36" s="51"/>
      <c r="E36" s="65" t="s">
        <v>4</v>
      </c>
      <c r="F36" s="65" t="s">
        <v>38</v>
      </c>
      <c r="G36" s="51" t="s">
        <v>39</v>
      </c>
      <c r="H36" s="65" t="s">
        <v>40</v>
      </c>
      <c r="I36" s="51" t="s">
        <v>41</v>
      </c>
      <c r="J36" s="90" t="s">
        <v>42</v>
      </c>
    </row>
    <row r="37" spans="2:32">
      <c r="B37" s="2" t="s">
        <v>31</v>
      </c>
      <c r="C37" s="3"/>
      <c r="D37" s="3"/>
      <c r="E37" s="64">
        <f>E19</f>
        <v>271176</v>
      </c>
      <c r="F37" s="64">
        <f>G19</f>
        <v>0</v>
      </c>
      <c r="G37" s="3">
        <f>I19</f>
        <v>0</v>
      </c>
      <c r="H37" s="64">
        <f>K19</f>
        <v>216149</v>
      </c>
      <c r="I37" s="86">
        <f>E37/E38</f>
        <v>2.407991830573192</v>
      </c>
      <c r="J37" s="91">
        <f>IF(H38=0,0,H37/H38)</f>
        <v>2.1074548574548575</v>
      </c>
    </row>
    <row r="38" spans="2:32" ht="13.5" thickBot="1">
      <c r="B38" s="4" t="s">
        <v>30</v>
      </c>
      <c r="C38" s="51"/>
      <c r="D38" s="51"/>
      <c r="E38" s="65">
        <f>E10</f>
        <v>112615</v>
      </c>
      <c r="F38" s="65">
        <f>G10</f>
        <v>0</v>
      </c>
      <c r="G38" s="51">
        <f>I10</f>
        <v>0</v>
      </c>
      <c r="H38" s="65">
        <f>K10</f>
        <v>102564</v>
      </c>
      <c r="I38" s="87">
        <f>E38/E38</f>
        <v>1</v>
      </c>
      <c r="J38" s="92">
        <f>IF(H38=0,0,H38/H38)</f>
        <v>1</v>
      </c>
    </row>
    <row r="40" spans="2:32">
      <c r="O40" s="229"/>
      <c r="P40" s="229"/>
      <c r="Q40" s="229"/>
      <c r="R40" s="229"/>
      <c r="S40" s="229"/>
      <c r="T40" s="229"/>
      <c r="U40" s="229"/>
      <c r="V40" s="229"/>
      <c r="W40" s="229"/>
      <c r="X40" s="229"/>
      <c r="Y40" s="229"/>
      <c r="Z40" s="229"/>
      <c r="AA40" s="229"/>
      <c r="AB40" s="229"/>
      <c r="AC40" s="229"/>
      <c r="AD40" s="229"/>
      <c r="AE40" s="229"/>
      <c r="AF40" s="229"/>
    </row>
    <row r="41" spans="2:32">
      <c r="O41" s="229"/>
      <c r="P41" s="229"/>
      <c r="Q41" s="229"/>
      <c r="R41" s="229"/>
      <c r="S41" s="229"/>
      <c r="T41" s="229"/>
      <c r="U41" s="229"/>
      <c r="V41" s="229"/>
      <c r="W41" s="229"/>
      <c r="X41" s="229"/>
      <c r="Y41" s="229"/>
      <c r="Z41" s="229"/>
      <c r="AA41" s="229"/>
      <c r="AB41" s="229"/>
      <c r="AC41" s="229"/>
      <c r="AD41" s="229"/>
      <c r="AE41" s="229"/>
      <c r="AF41" s="229"/>
    </row>
    <row r="42" spans="2:32">
      <c r="O42" s="229"/>
      <c r="P42" s="229"/>
      <c r="Q42" s="229"/>
      <c r="R42" s="229"/>
      <c r="S42" s="229"/>
      <c r="T42" s="229"/>
      <c r="U42" s="229"/>
      <c r="V42" s="229"/>
      <c r="W42" s="229"/>
      <c r="X42" s="229"/>
      <c r="Y42" s="229"/>
      <c r="Z42" s="229"/>
      <c r="AA42" s="229"/>
      <c r="AB42" s="229"/>
      <c r="AC42" s="229"/>
      <c r="AD42" s="229"/>
      <c r="AE42" s="229"/>
      <c r="AF42" s="229"/>
    </row>
    <row r="43" spans="2:32">
      <c r="O43" s="229"/>
      <c r="P43" s="229"/>
      <c r="Q43" s="229"/>
      <c r="R43" s="229"/>
      <c r="S43" s="229"/>
      <c r="T43" s="229"/>
      <c r="U43" s="229"/>
      <c r="V43" s="229"/>
      <c r="W43" s="229"/>
      <c r="X43" s="229"/>
      <c r="Y43" s="229"/>
      <c r="Z43" s="229"/>
      <c r="AA43" s="229"/>
      <c r="AB43" s="229"/>
      <c r="AC43" s="229"/>
      <c r="AD43" s="229"/>
      <c r="AE43" s="229"/>
      <c r="AF43" s="229"/>
    </row>
    <row r="44" spans="2:32">
      <c r="O44" s="229"/>
      <c r="P44" s="229"/>
      <c r="Q44" s="229"/>
      <c r="R44" s="229"/>
      <c r="S44" s="229"/>
      <c r="T44" s="229"/>
      <c r="U44" s="229"/>
      <c r="V44" s="229"/>
      <c r="W44" s="229"/>
      <c r="X44" s="229"/>
      <c r="Y44" s="229"/>
      <c r="Z44" s="229"/>
      <c r="AA44" s="229"/>
      <c r="AB44" s="229"/>
      <c r="AC44" s="229"/>
      <c r="AD44" s="229"/>
      <c r="AE44" s="229"/>
      <c r="AF44" s="229"/>
    </row>
    <row r="45" spans="2:32">
      <c r="O45" s="229"/>
      <c r="P45" s="229"/>
      <c r="Q45" s="229"/>
      <c r="R45" s="229"/>
      <c r="S45" s="229"/>
      <c r="T45" s="229"/>
      <c r="U45" s="229"/>
      <c r="V45" s="229"/>
      <c r="W45" s="229"/>
      <c r="X45" s="229"/>
      <c r="Y45" s="229"/>
      <c r="Z45" s="229"/>
      <c r="AA45" s="229"/>
      <c r="AB45" s="229"/>
      <c r="AC45" s="229"/>
      <c r="AD45" s="229"/>
      <c r="AE45" s="229"/>
      <c r="AF45" s="229"/>
    </row>
    <row r="46" spans="2:32">
      <c r="O46" s="229"/>
      <c r="P46" s="229"/>
      <c r="Q46" s="229"/>
      <c r="R46" s="229"/>
      <c r="S46" s="229"/>
      <c r="T46" s="229"/>
      <c r="U46" s="229"/>
      <c r="V46" s="229"/>
      <c r="W46" s="229"/>
      <c r="X46" s="229"/>
      <c r="Y46" s="229"/>
      <c r="Z46" s="229"/>
      <c r="AA46" s="229"/>
      <c r="AB46" s="229"/>
      <c r="AC46" s="229"/>
      <c r="AD46" s="229"/>
      <c r="AE46" s="229"/>
      <c r="AF46" s="229"/>
    </row>
    <row r="47" spans="2:32">
      <c r="O47" s="229"/>
      <c r="P47" s="229"/>
      <c r="Q47" s="229"/>
      <c r="R47" s="229"/>
      <c r="S47" s="229"/>
      <c r="T47" s="229"/>
      <c r="U47" s="229"/>
      <c r="V47" s="229"/>
      <c r="W47" s="229"/>
      <c r="X47" s="229"/>
      <c r="Y47" s="229"/>
      <c r="Z47" s="229"/>
      <c r="AA47" s="229"/>
      <c r="AB47" s="229"/>
      <c r="AC47" s="229"/>
      <c r="AD47" s="229"/>
      <c r="AE47" s="229"/>
      <c r="AF47" s="229"/>
    </row>
    <row r="48" spans="2:32">
      <c r="J48" s="229"/>
      <c r="K48" s="229"/>
      <c r="L48" s="229"/>
      <c r="M48" s="229"/>
      <c r="N48" s="229"/>
      <c r="O48" s="229"/>
      <c r="P48" s="229"/>
      <c r="Q48" s="229"/>
      <c r="R48" s="229"/>
      <c r="S48" s="229"/>
      <c r="T48" s="229"/>
      <c r="U48" s="229"/>
      <c r="V48" s="229"/>
      <c r="W48" s="229"/>
      <c r="X48" s="229"/>
      <c r="Y48" s="229"/>
      <c r="Z48" s="229"/>
      <c r="AA48" s="229"/>
      <c r="AB48" s="229"/>
      <c r="AC48" s="229"/>
      <c r="AD48" s="229"/>
      <c r="AE48" s="229"/>
      <c r="AF48" s="229"/>
    </row>
    <row r="49" spans="4:32">
      <c r="J49" s="229"/>
      <c r="K49" s="229"/>
      <c r="L49" s="229"/>
      <c r="M49" s="229"/>
      <c r="N49" s="229"/>
      <c r="O49" s="229"/>
      <c r="P49" s="229"/>
      <c r="Q49" s="229"/>
      <c r="R49" s="229"/>
      <c r="S49" s="229"/>
      <c r="T49" s="229"/>
      <c r="U49" s="229"/>
      <c r="V49" s="229"/>
      <c r="W49" s="229"/>
      <c r="X49" s="229"/>
      <c r="Y49" s="229"/>
      <c r="Z49" s="229"/>
      <c r="AA49" s="229"/>
      <c r="AB49" s="229"/>
      <c r="AC49" s="229"/>
      <c r="AD49" s="229"/>
      <c r="AE49" s="229"/>
      <c r="AF49" s="229"/>
    </row>
    <row r="50" spans="4:32">
      <c r="J50" s="229"/>
      <c r="K50" s="229"/>
      <c r="L50" s="229"/>
      <c r="M50" s="229"/>
      <c r="N50" s="229"/>
      <c r="O50" s="229"/>
      <c r="P50" s="229"/>
      <c r="Q50" s="229"/>
      <c r="R50" s="229"/>
      <c r="S50" s="229"/>
      <c r="T50" s="229"/>
      <c r="U50" s="229"/>
      <c r="V50" s="229"/>
      <c r="W50" s="229"/>
      <c r="X50" s="229"/>
      <c r="Y50" s="229"/>
      <c r="Z50" s="229"/>
      <c r="AA50" s="229"/>
      <c r="AB50" s="229"/>
      <c r="AC50" s="229"/>
      <c r="AD50" s="229"/>
      <c r="AE50" s="229"/>
      <c r="AF50" s="229"/>
    </row>
    <row r="51" spans="4:32">
      <c r="J51" s="229"/>
      <c r="K51" s="229"/>
      <c r="L51" s="229"/>
      <c r="M51" s="229"/>
      <c r="N51" s="229"/>
      <c r="O51" s="229"/>
      <c r="P51" s="229"/>
      <c r="Q51" s="229"/>
      <c r="R51" s="229"/>
      <c r="S51" s="229"/>
      <c r="T51" s="229"/>
      <c r="U51" s="229"/>
      <c r="V51" s="229"/>
      <c r="W51" s="229"/>
      <c r="X51" s="229"/>
      <c r="Y51" s="229"/>
      <c r="Z51" s="229"/>
      <c r="AA51" s="229"/>
      <c r="AB51" s="229"/>
      <c r="AC51" s="229"/>
      <c r="AD51" s="229"/>
      <c r="AE51" s="229"/>
      <c r="AF51" s="229"/>
    </row>
    <row r="52" spans="4:32">
      <c r="J52" s="229"/>
      <c r="K52" s="229"/>
      <c r="L52" s="229"/>
      <c r="M52" s="229"/>
      <c r="N52" s="229"/>
      <c r="O52" s="229"/>
      <c r="P52" s="229"/>
      <c r="Q52" s="229"/>
      <c r="R52" s="229"/>
      <c r="S52" s="229"/>
      <c r="T52" s="229"/>
      <c r="U52" s="229"/>
      <c r="V52" s="229"/>
      <c r="W52" s="229"/>
      <c r="X52" s="229"/>
      <c r="Y52" s="229"/>
      <c r="Z52" s="229"/>
      <c r="AA52" s="229"/>
      <c r="AB52" s="229"/>
      <c r="AC52" s="229"/>
      <c r="AD52" s="229"/>
      <c r="AE52" s="229"/>
      <c r="AF52" s="229"/>
    </row>
    <row r="53" spans="4:32">
      <c r="J53" s="229"/>
      <c r="K53" s="229"/>
      <c r="L53" s="229"/>
      <c r="M53" s="229"/>
      <c r="N53" s="229"/>
      <c r="O53" s="229"/>
      <c r="P53" s="229"/>
      <c r="Q53" s="229"/>
      <c r="R53" s="229"/>
      <c r="S53" s="229"/>
      <c r="T53" s="229"/>
      <c r="U53" s="229"/>
      <c r="V53" s="229"/>
      <c r="W53" s="229"/>
      <c r="X53" s="229"/>
      <c r="Y53" s="229"/>
      <c r="Z53" s="229"/>
      <c r="AA53" s="229"/>
      <c r="AB53" s="229"/>
      <c r="AC53" s="229"/>
      <c r="AD53" s="229"/>
      <c r="AE53" s="229"/>
      <c r="AF53" s="229"/>
    </row>
    <row r="54" spans="4:32">
      <c r="J54" s="229"/>
      <c r="K54" s="229"/>
      <c r="L54" s="229"/>
      <c r="M54" s="229"/>
      <c r="N54" s="229"/>
      <c r="O54" s="229"/>
      <c r="P54" s="229"/>
      <c r="Q54" s="229"/>
      <c r="R54" s="229"/>
      <c r="S54" s="229"/>
      <c r="T54" s="229"/>
      <c r="U54" s="229"/>
      <c r="V54" s="229"/>
      <c r="W54" s="229"/>
      <c r="X54" s="229"/>
      <c r="Y54" s="229"/>
      <c r="Z54" s="229"/>
      <c r="AA54" s="229"/>
      <c r="AB54" s="229"/>
      <c r="AC54" s="229"/>
      <c r="AD54" s="229"/>
      <c r="AE54" s="229"/>
      <c r="AF54" s="229"/>
    </row>
    <row r="55" spans="4:32">
      <c r="J55" s="229"/>
      <c r="K55" s="229"/>
      <c r="L55" s="229"/>
      <c r="M55" s="229"/>
      <c r="N55" s="229"/>
      <c r="O55" s="229"/>
      <c r="P55" s="229"/>
      <c r="Q55" s="229"/>
      <c r="R55" s="229"/>
      <c r="S55" s="229"/>
      <c r="T55" s="229"/>
      <c r="U55" s="229"/>
      <c r="V55" s="229"/>
      <c r="W55" s="229"/>
      <c r="X55" s="229"/>
      <c r="Y55" s="229"/>
      <c r="Z55" s="229"/>
      <c r="AA55" s="229"/>
      <c r="AB55" s="229"/>
      <c r="AC55" s="229"/>
      <c r="AD55" s="229"/>
      <c r="AE55" s="229"/>
      <c r="AF55" s="229"/>
    </row>
    <row r="56" spans="4:32">
      <c r="J56" s="229"/>
      <c r="K56" s="229"/>
      <c r="L56" s="229"/>
      <c r="M56" s="229"/>
      <c r="N56" s="229"/>
      <c r="O56" s="229"/>
      <c r="P56" s="229"/>
      <c r="Q56" s="229"/>
      <c r="R56" s="229"/>
      <c r="S56" s="229"/>
      <c r="T56" s="229"/>
      <c r="U56" s="229"/>
      <c r="V56" s="229"/>
      <c r="W56" s="229"/>
      <c r="X56" s="229"/>
      <c r="Y56" s="229"/>
      <c r="Z56" s="229"/>
      <c r="AA56" s="229"/>
      <c r="AB56" s="229"/>
      <c r="AC56" s="229"/>
      <c r="AD56" s="229"/>
      <c r="AE56" s="229"/>
      <c r="AF56" s="229"/>
    </row>
    <row r="57" spans="4:32">
      <c r="J57" s="229"/>
      <c r="K57" s="229"/>
      <c r="L57" s="229"/>
      <c r="M57" s="229"/>
      <c r="N57" s="229"/>
      <c r="O57" s="229"/>
      <c r="P57" s="229"/>
      <c r="Q57" s="229"/>
      <c r="R57" s="229"/>
      <c r="S57" s="229"/>
      <c r="T57" s="229"/>
      <c r="U57" s="229"/>
      <c r="V57" s="229"/>
      <c r="W57" s="229"/>
      <c r="X57" s="229"/>
      <c r="Y57" s="229"/>
      <c r="Z57" s="229"/>
      <c r="AA57" s="229"/>
    </row>
    <row r="58" spans="4:32">
      <c r="J58" s="229"/>
      <c r="K58" s="229"/>
      <c r="L58" s="229"/>
      <c r="M58" s="229"/>
      <c r="N58" s="229"/>
      <c r="O58" s="229"/>
      <c r="P58" s="229"/>
      <c r="Q58" s="229"/>
      <c r="R58" s="229"/>
      <c r="S58" s="229"/>
      <c r="T58" s="229"/>
      <c r="U58" s="229"/>
      <c r="V58" s="229"/>
      <c r="W58" s="229"/>
      <c r="X58" s="229"/>
      <c r="Y58" s="229"/>
      <c r="Z58" s="229"/>
      <c r="AA58" s="229"/>
    </row>
    <row r="59" spans="4:32">
      <c r="J59" s="229"/>
      <c r="K59" s="229"/>
      <c r="L59" s="229"/>
      <c r="M59" s="229"/>
      <c r="N59" s="229"/>
      <c r="O59" s="229"/>
      <c r="P59" s="229"/>
      <c r="Q59" s="229"/>
      <c r="R59" s="229"/>
      <c r="S59" s="229"/>
      <c r="T59" s="229"/>
      <c r="U59" s="229"/>
      <c r="V59" s="229"/>
      <c r="W59" s="229"/>
      <c r="X59" s="229"/>
      <c r="Y59" s="229"/>
      <c r="Z59" s="229"/>
      <c r="AA59" s="229"/>
    </row>
    <row r="60" spans="4:32">
      <c r="J60" s="229"/>
      <c r="K60" s="229"/>
      <c r="L60" s="229"/>
      <c r="M60" s="229"/>
      <c r="N60" s="229"/>
      <c r="O60" s="229"/>
      <c r="P60" s="229"/>
      <c r="Q60" s="229"/>
      <c r="R60" s="229"/>
      <c r="S60" s="229"/>
      <c r="T60" s="229"/>
      <c r="U60" s="229"/>
      <c r="V60" s="229"/>
      <c r="W60" s="229"/>
      <c r="X60" s="229"/>
      <c r="Y60" s="229"/>
      <c r="Z60" s="229"/>
      <c r="AA60" s="229"/>
    </row>
    <row r="61" spans="4:32">
      <c r="J61" s="229"/>
      <c r="K61" s="229"/>
      <c r="L61" s="229"/>
      <c r="M61" s="229"/>
      <c r="N61" s="229"/>
      <c r="O61" s="229"/>
      <c r="P61" s="229"/>
      <c r="Q61" s="229"/>
      <c r="R61" s="229"/>
      <c r="S61" s="229"/>
      <c r="T61" s="229"/>
      <c r="U61" s="229"/>
      <c r="V61" s="229"/>
      <c r="W61" s="229"/>
      <c r="X61" s="229"/>
      <c r="Y61" s="229"/>
      <c r="Z61" s="229"/>
      <c r="AA61" s="229"/>
    </row>
    <row r="62" spans="4:32">
      <c r="J62" s="229"/>
      <c r="K62" s="229"/>
      <c r="L62" s="229"/>
      <c r="M62" s="229"/>
      <c r="N62" s="229"/>
      <c r="O62" s="229"/>
      <c r="P62" s="229"/>
      <c r="Q62" s="229"/>
      <c r="R62" s="229"/>
      <c r="S62" s="229"/>
      <c r="T62" s="229"/>
      <c r="U62" s="229"/>
      <c r="V62" s="229"/>
      <c r="W62" s="229"/>
      <c r="X62" s="229"/>
      <c r="Y62" s="229"/>
      <c r="Z62" s="229"/>
      <c r="AA62" s="229"/>
    </row>
    <row r="63" spans="4:32">
      <c r="J63" s="229"/>
      <c r="K63" s="229"/>
      <c r="L63" s="229"/>
      <c r="M63" s="229"/>
      <c r="N63" s="229"/>
      <c r="O63" s="229"/>
      <c r="P63" s="229"/>
      <c r="Q63" s="229"/>
      <c r="R63" s="229"/>
      <c r="S63" s="229"/>
      <c r="T63" s="229"/>
      <c r="U63" s="229"/>
      <c r="V63" s="229"/>
      <c r="W63" s="229"/>
      <c r="X63" s="229"/>
      <c r="Y63" s="229"/>
      <c r="Z63" s="229"/>
      <c r="AA63" s="229"/>
    </row>
    <row r="64" spans="4:32">
      <c r="D64" s="229"/>
      <c r="E64" s="229"/>
      <c r="F64" s="229"/>
      <c r="G64" s="229"/>
      <c r="H64" s="229"/>
      <c r="I64" s="229"/>
      <c r="J64" s="229"/>
      <c r="K64" s="229"/>
      <c r="L64" s="229"/>
      <c r="M64" s="229"/>
      <c r="N64" s="229"/>
      <c r="O64" s="229"/>
      <c r="P64" s="229"/>
      <c r="Q64" s="229"/>
      <c r="R64" s="229"/>
      <c r="S64" s="229"/>
      <c r="T64" s="229"/>
      <c r="U64" s="229"/>
      <c r="V64" s="229"/>
      <c r="W64" s="229"/>
      <c r="X64" s="229"/>
      <c r="Y64" s="229"/>
      <c r="Z64" s="229"/>
      <c r="AA64" s="229"/>
    </row>
    <row r="65" spans="4:27">
      <c r="D65" s="229"/>
      <c r="E65" s="229"/>
      <c r="F65" s="229"/>
      <c r="G65" s="229"/>
      <c r="H65" s="229"/>
      <c r="I65" s="229"/>
      <c r="J65" s="229"/>
      <c r="K65" s="229"/>
      <c r="L65" s="229"/>
      <c r="M65" s="229"/>
      <c r="N65" s="229"/>
      <c r="O65" s="229"/>
      <c r="P65" s="229"/>
      <c r="Q65" s="229"/>
      <c r="R65" s="229"/>
      <c r="S65" s="229"/>
      <c r="T65" s="229"/>
      <c r="U65" s="229"/>
    </row>
    <row r="66" spans="4:27">
      <c r="D66" s="229"/>
      <c r="E66" s="229"/>
      <c r="F66" s="229"/>
      <c r="G66" s="229"/>
      <c r="H66" s="229"/>
      <c r="I66" s="229"/>
      <c r="J66" s="229"/>
      <c r="K66" s="229"/>
      <c r="L66" s="229"/>
      <c r="M66" s="229"/>
      <c r="N66" s="229"/>
      <c r="O66" s="229"/>
      <c r="P66" s="229"/>
      <c r="Q66" s="229"/>
      <c r="R66" s="229"/>
      <c r="S66" s="229"/>
      <c r="T66" s="229"/>
      <c r="U66" s="229"/>
    </row>
    <row r="67" spans="4:27">
      <c r="D67" s="229"/>
      <c r="E67" s="229"/>
      <c r="F67" s="229"/>
      <c r="G67" s="229"/>
      <c r="H67" s="229"/>
      <c r="I67" s="229"/>
      <c r="J67" s="229"/>
      <c r="K67" s="229"/>
      <c r="L67" s="229"/>
      <c r="M67" s="229"/>
      <c r="N67" s="229"/>
      <c r="O67" s="229"/>
      <c r="P67" s="229"/>
      <c r="Q67" s="229"/>
      <c r="R67" s="229"/>
      <c r="S67" s="229"/>
      <c r="T67" s="229"/>
      <c r="U67" s="229"/>
    </row>
    <row r="68" spans="4:27">
      <c r="D68" s="229"/>
      <c r="E68" s="229"/>
      <c r="F68" s="229"/>
      <c r="G68" s="229"/>
      <c r="H68" s="229"/>
      <c r="I68" s="229"/>
      <c r="J68" s="229"/>
      <c r="K68" s="229"/>
      <c r="L68" s="229"/>
      <c r="M68" s="229"/>
      <c r="N68" s="229"/>
      <c r="O68" s="229"/>
      <c r="P68" s="229"/>
      <c r="Q68" s="229"/>
      <c r="R68" s="229"/>
      <c r="S68" s="229"/>
      <c r="T68" s="229"/>
      <c r="U68" s="229"/>
    </row>
    <row r="69" spans="4:27">
      <c r="D69" s="229"/>
      <c r="E69" s="229"/>
      <c r="F69" s="229"/>
      <c r="G69" s="229"/>
      <c r="H69" s="229"/>
      <c r="I69" s="229"/>
      <c r="J69" s="229"/>
      <c r="K69" s="229"/>
      <c r="L69" s="229"/>
      <c r="M69" s="229"/>
      <c r="N69" s="229"/>
      <c r="O69" s="229"/>
      <c r="P69" s="229"/>
      <c r="Q69" s="229"/>
      <c r="R69" s="229"/>
      <c r="S69" s="229"/>
      <c r="T69" s="229"/>
      <c r="U69" s="229"/>
    </row>
    <row r="70" spans="4:27">
      <c r="D70" s="229"/>
      <c r="E70" s="229"/>
      <c r="F70" s="229"/>
      <c r="G70" s="229"/>
      <c r="H70" s="229"/>
      <c r="I70" s="229"/>
      <c r="J70" s="229"/>
      <c r="K70" s="229"/>
      <c r="L70" s="229"/>
      <c r="M70" s="229"/>
      <c r="N70" s="229"/>
      <c r="O70" s="229"/>
      <c r="P70" s="229"/>
      <c r="Q70" s="229"/>
      <c r="R70" s="229"/>
      <c r="S70" s="229"/>
      <c r="T70" s="229"/>
      <c r="U70" s="229"/>
    </row>
    <row r="71" spans="4:27">
      <c r="D71" s="229"/>
      <c r="E71" s="229"/>
      <c r="F71" s="229"/>
      <c r="G71" s="229"/>
      <c r="H71" s="229"/>
      <c r="I71" s="229"/>
      <c r="J71" s="229"/>
      <c r="K71" s="229"/>
      <c r="L71" s="229"/>
      <c r="M71" s="229"/>
      <c r="N71" s="229"/>
      <c r="O71" s="229"/>
      <c r="P71" s="229"/>
      <c r="Q71" s="229"/>
      <c r="R71" s="229"/>
      <c r="S71" s="229"/>
      <c r="T71" s="229"/>
      <c r="U71" s="229"/>
    </row>
    <row r="72" spans="4:27">
      <c r="D72" s="229"/>
      <c r="E72" s="229"/>
      <c r="F72" s="229"/>
      <c r="G72" s="229"/>
      <c r="H72" s="229"/>
      <c r="I72" s="229"/>
      <c r="J72" s="229"/>
      <c r="K72" s="229"/>
      <c r="L72" s="229"/>
      <c r="M72" s="229"/>
      <c r="N72" s="229"/>
      <c r="O72" s="229"/>
      <c r="P72" s="229"/>
      <c r="Q72" s="229"/>
      <c r="R72" s="229"/>
      <c r="S72" s="229"/>
      <c r="T72" s="229"/>
      <c r="U72" s="229"/>
    </row>
    <row r="73" spans="4:27">
      <c r="D73" s="229"/>
      <c r="E73" s="229"/>
      <c r="F73" s="229"/>
      <c r="G73" s="229"/>
      <c r="H73" s="229"/>
      <c r="I73" s="229"/>
      <c r="J73" s="229"/>
      <c r="K73" s="229"/>
      <c r="L73" s="229"/>
      <c r="M73" s="229"/>
      <c r="N73" s="229"/>
      <c r="O73" s="229"/>
      <c r="P73" s="229"/>
      <c r="Q73" s="229"/>
      <c r="R73" s="229"/>
      <c r="S73" s="229"/>
      <c r="T73" s="229"/>
      <c r="U73" s="229"/>
    </row>
    <row r="74" spans="4:27">
      <c r="D74" s="229"/>
      <c r="E74" s="229"/>
      <c r="F74" s="229"/>
      <c r="G74" s="229"/>
      <c r="H74" s="229"/>
      <c r="I74" s="229"/>
      <c r="J74" s="229"/>
      <c r="K74" s="229"/>
      <c r="L74" s="229"/>
      <c r="M74" s="229"/>
      <c r="N74" s="229"/>
      <c r="O74" s="229"/>
      <c r="P74" s="229"/>
      <c r="Q74" s="229"/>
      <c r="R74" s="229"/>
      <c r="S74" s="229"/>
      <c r="T74" s="229"/>
      <c r="U74" s="229"/>
    </row>
    <row r="75" spans="4:27">
      <c r="D75" s="229"/>
      <c r="E75" s="229"/>
      <c r="F75" s="229"/>
      <c r="G75" s="229"/>
      <c r="H75" s="229"/>
      <c r="I75" s="229"/>
      <c r="J75" s="229"/>
      <c r="K75" s="229"/>
      <c r="L75" s="229"/>
      <c r="M75" s="229"/>
      <c r="N75" s="229"/>
      <c r="O75" s="229"/>
      <c r="P75" s="229"/>
      <c r="Q75" s="229"/>
      <c r="R75" s="229"/>
      <c r="S75" s="229"/>
      <c r="T75" s="229"/>
      <c r="U75" s="229"/>
    </row>
    <row r="76" spans="4:27">
      <c r="D76" s="229"/>
      <c r="E76" s="229"/>
      <c r="F76" s="229"/>
      <c r="G76" s="229"/>
      <c r="H76" s="229"/>
      <c r="I76" s="229"/>
      <c r="J76" s="229"/>
      <c r="K76" s="229"/>
      <c r="L76" s="229"/>
      <c r="M76" s="229"/>
      <c r="N76" s="229"/>
      <c r="O76" s="229"/>
      <c r="P76" s="229"/>
      <c r="Q76" s="229"/>
      <c r="R76" s="229"/>
      <c r="S76" s="229"/>
      <c r="T76" s="229"/>
      <c r="U76" s="229"/>
    </row>
    <row r="77" spans="4:27">
      <c r="D77" s="229"/>
      <c r="E77" s="229"/>
      <c r="F77" s="229"/>
      <c r="G77" s="229"/>
      <c r="H77" s="229"/>
      <c r="I77" s="229"/>
      <c r="J77" s="229"/>
      <c r="K77" s="229"/>
      <c r="L77" s="229"/>
      <c r="M77" s="229"/>
      <c r="N77" s="229"/>
      <c r="O77" s="229"/>
      <c r="P77" s="229"/>
      <c r="Q77" s="229"/>
      <c r="R77" s="229"/>
      <c r="S77" s="229"/>
      <c r="T77" s="229"/>
      <c r="U77" s="229"/>
      <c r="V77" s="229"/>
      <c r="W77" s="229"/>
      <c r="X77" s="229"/>
      <c r="Y77" s="229"/>
      <c r="Z77" s="229"/>
      <c r="AA77" s="229"/>
    </row>
    <row r="78" spans="4:27">
      <c r="D78" s="229"/>
      <c r="E78" s="229"/>
      <c r="F78" s="229"/>
      <c r="G78" s="229"/>
      <c r="H78" s="229"/>
      <c r="I78" s="229"/>
      <c r="J78" s="229"/>
      <c r="K78" s="229"/>
      <c r="L78" s="229"/>
      <c r="M78" s="229"/>
      <c r="N78" s="229"/>
      <c r="O78" s="229"/>
      <c r="P78" s="229"/>
      <c r="Q78" s="229"/>
      <c r="R78" s="229"/>
      <c r="S78" s="229"/>
      <c r="T78" s="229"/>
      <c r="U78" s="229"/>
      <c r="V78" s="229"/>
      <c r="W78" s="229"/>
      <c r="X78" s="229"/>
      <c r="Y78" s="229"/>
      <c r="Z78" s="229"/>
      <c r="AA78" s="229"/>
    </row>
    <row r="79" spans="4:27">
      <c r="D79" s="229"/>
      <c r="E79" s="229"/>
      <c r="F79" s="229"/>
      <c r="G79" s="229"/>
      <c r="H79" s="229"/>
      <c r="I79" s="229"/>
      <c r="J79" s="229"/>
      <c r="K79" s="229"/>
      <c r="L79" s="229"/>
      <c r="M79" s="229"/>
      <c r="N79" s="229"/>
      <c r="O79" s="229"/>
      <c r="P79" s="229"/>
      <c r="Q79" s="229"/>
      <c r="R79" s="229"/>
      <c r="S79" s="229"/>
      <c r="T79" s="229"/>
      <c r="U79" s="229"/>
      <c r="V79" s="229"/>
      <c r="W79" s="229"/>
      <c r="X79" s="229"/>
      <c r="Y79" s="229"/>
      <c r="Z79" s="229"/>
      <c r="AA79" s="229"/>
    </row>
    <row r="80" spans="4:27">
      <c r="D80" s="229"/>
      <c r="E80" s="229"/>
      <c r="F80" s="229"/>
      <c r="G80" s="229"/>
      <c r="H80" s="229"/>
      <c r="I80" s="229"/>
      <c r="J80" s="229"/>
      <c r="K80" s="229"/>
      <c r="L80" s="229"/>
      <c r="M80" s="229"/>
      <c r="N80" s="229"/>
      <c r="O80" s="229"/>
      <c r="P80" s="229"/>
      <c r="Q80" s="229"/>
      <c r="R80" s="229"/>
      <c r="S80" s="229"/>
      <c r="T80" s="229"/>
      <c r="U80" s="229"/>
      <c r="V80" s="229"/>
      <c r="W80" s="229"/>
      <c r="X80" s="229"/>
      <c r="Y80" s="229"/>
      <c r="Z80" s="229"/>
      <c r="AA80" s="229"/>
    </row>
    <row r="81" spans="4:27">
      <c r="D81" s="229"/>
      <c r="E81" s="229"/>
      <c r="F81" s="229"/>
      <c r="G81" s="229"/>
      <c r="H81" s="229"/>
      <c r="I81" s="229"/>
      <c r="J81" s="229"/>
      <c r="K81" s="229"/>
      <c r="L81" s="229"/>
      <c r="M81" s="229"/>
      <c r="N81" s="229"/>
      <c r="O81" s="229"/>
      <c r="P81" s="229"/>
      <c r="Q81" s="229"/>
      <c r="R81" s="229"/>
      <c r="S81" s="229"/>
      <c r="T81" s="229"/>
      <c r="U81" s="229"/>
      <c r="V81" s="229"/>
      <c r="W81" s="229"/>
      <c r="X81" s="229"/>
      <c r="Y81" s="229"/>
      <c r="Z81" s="229"/>
      <c r="AA81" s="229"/>
    </row>
    <row r="82" spans="4:27">
      <c r="J82" s="229"/>
      <c r="K82" s="229"/>
      <c r="L82" s="229"/>
      <c r="M82" s="229"/>
      <c r="N82" s="229"/>
      <c r="O82" s="229"/>
      <c r="P82" s="229"/>
      <c r="Q82" s="229"/>
      <c r="R82" s="229"/>
      <c r="S82" s="229"/>
      <c r="T82" s="229"/>
      <c r="U82" s="229"/>
      <c r="V82" s="229"/>
      <c r="W82" s="229"/>
      <c r="X82" s="229"/>
      <c r="Y82" s="229"/>
      <c r="Z82" s="229"/>
      <c r="AA82" s="229"/>
    </row>
    <row r="83" spans="4:27">
      <c r="J83" s="229"/>
      <c r="K83" s="229"/>
      <c r="L83" s="229"/>
      <c r="M83" s="229"/>
      <c r="N83" s="229"/>
      <c r="O83" s="229"/>
      <c r="P83" s="229"/>
      <c r="Q83" s="229"/>
      <c r="R83" s="229"/>
      <c r="S83" s="229"/>
      <c r="T83" s="229"/>
      <c r="U83" s="229"/>
      <c r="V83" s="229"/>
      <c r="W83" s="229"/>
      <c r="X83" s="229"/>
      <c r="Y83" s="229"/>
      <c r="Z83" s="229"/>
      <c r="AA83" s="229"/>
    </row>
    <row r="84" spans="4:27">
      <c r="J84" s="229"/>
      <c r="K84" s="229"/>
      <c r="L84" s="229"/>
      <c r="M84" s="229"/>
      <c r="N84" s="229"/>
      <c r="O84" s="229"/>
      <c r="P84" s="229"/>
      <c r="Q84" s="229"/>
      <c r="R84" s="229"/>
      <c r="S84" s="229"/>
      <c r="T84" s="229"/>
      <c r="U84" s="229"/>
      <c r="V84" s="229"/>
      <c r="W84" s="229"/>
      <c r="X84" s="229"/>
      <c r="Y84" s="229"/>
      <c r="Z84" s="229"/>
      <c r="AA84" s="229"/>
    </row>
    <row r="85" spans="4:27">
      <c r="J85" s="229"/>
      <c r="K85" s="229"/>
      <c r="L85" s="229"/>
      <c r="M85" s="229"/>
      <c r="N85" s="229"/>
      <c r="O85" s="229"/>
      <c r="P85" s="229"/>
      <c r="Q85" s="229"/>
      <c r="R85" s="229"/>
      <c r="S85" s="229"/>
      <c r="T85" s="229"/>
      <c r="U85" s="229"/>
      <c r="V85" s="229"/>
      <c r="W85" s="229"/>
      <c r="X85" s="229"/>
      <c r="Y85" s="229"/>
      <c r="Z85" s="229"/>
      <c r="AA85" s="229"/>
    </row>
    <row r="86" spans="4:27">
      <c r="J86" s="229"/>
      <c r="K86" s="229"/>
      <c r="L86" s="229"/>
      <c r="M86" s="229"/>
      <c r="N86" s="229"/>
      <c r="O86" s="229"/>
      <c r="P86" s="229"/>
      <c r="Q86" s="229"/>
      <c r="R86" s="229"/>
      <c r="S86" s="229"/>
      <c r="T86" s="229"/>
      <c r="U86" s="229"/>
      <c r="V86" s="229"/>
      <c r="W86" s="229"/>
      <c r="X86" s="229"/>
      <c r="Y86" s="229"/>
      <c r="Z86" s="229"/>
      <c r="AA86" s="229"/>
    </row>
    <row r="87" spans="4:27">
      <c r="J87" s="229"/>
      <c r="K87" s="229"/>
      <c r="L87" s="229"/>
      <c r="M87" s="229"/>
      <c r="N87" s="229"/>
      <c r="O87" s="229"/>
      <c r="P87" s="229"/>
      <c r="Q87" s="229"/>
      <c r="R87" s="229"/>
      <c r="S87" s="229"/>
      <c r="T87" s="229"/>
      <c r="U87" s="229"/>
      <c r="V87" s="229"/>
      <c r="W87" s="229"/>
      <c r="X87" s="229"/>
      <c r="Y87" s="229"/>
      <c r="Z87" s="229"/>
      <c r="AA87" s="229"/>
    </row>
    <row r="88" spans="4:27">
      <c r="J88" s="229"/>
      <c r="K88" s="229"/>
      <c r="L88" s="229"/>
      <c r="M88" s="229"/>
      <c r="N88" s="229"/>
      <c r="O88" s="229"/>
      <c r="P88" s="229"/>
      <c r="Q88" s="229"/>
      <c r="R88" s="229"/>
      <c r="S88" s="229"/>
      <c r="T88" s="229"/>
      <c r="U88" s="229"/>
      <c r="V88" s="229"/>
      <c r="W88" s="229"/>
      <c r="X88" s="229"/>
      <c r="Y88" s="229"/>
      <c r="Z88" s="229"/>
      <c r="AA88" s="229"/>
    </row>
    <row r="89" spans="4:27">
      <c r="J89" s="229"/>
      <c r="K89" s="229"/>
      <c r="L89" s="229"/>
      <c r="M89" s="229"/>
      <c r="N89" s="229"/>
      <c r="O89" s="229"/>
      <c r="P89" s="229"/>
      <c r="Q89" s="229"/>
      <c r="R89" s="229"/>
      <c r="S89" s="229"/>
      <c r="T89" s="229"/>
      <c r="U89" s="229"/>
      <c r="V89" s="229"/>
      <c r="W89" s="229"/>
      <c r="X89" s="229"/>
      <c r="Y89" s="229"/>
      <c r="Z89" s="229"/>
      <c r="AA89" s="229"/>
    </row>
    <row r="90" spans="4:27">
      <c r="J90" s="229"/>
      <c r="K90" s="229"/>
      <c r="L90" s="229"/>
      <c r="M90" s="229"/>
      <c r="N90" s="229"/>
      <c r="O90" s="229"/>
      <c r="P90" s="229"/>
      <c r="Q90" s="229"/>
      <c r="R90" s="229"/>
      <c r="S90" s="229"/>
      <c r="T90" s="229"/>
      <c r="U90" s="229"/>
      <c r="V90" s="229"/>
      <c r="W90" s="229"/>
      <c r="X90" s="229"/>
      <c r="Y90" s="229"/>
      <c r="Z90" s="229"/>
      <c r="AA90" s="229"/>
    </row>
    <row r="91" spans="4:27">
      <c r="J91" s="229"/>
      <c r="K91" s="229"/>
      <c r="L91" s="229"/>
      <c r="M91" s="229"/>
      <c r="N91" s="229"/>
      <c r="O91" s="229"/>
      <c r="P91" s="229"/>
      <c r="Q91" s="229"/>
      <c r="R91" s="229"/>
      <c r="S91" s="229"/>
      <c r="T91" s="229"/>
      <c r="U91" s="229"/>
      <c r="V91" s="229"/>
      <c r="W91" s="229"/>
      <c r="X91" s="229"/>
      <c r="Y91" s="229"/>
      <c r="Z91" s="229"/>
      <c r="AA91" s="229"/>
    </row>
    <row r="92" spans="4:27">
      <c r="J92" s="229"/>
      <c r="K92" s="229"/>
      <c r="L92" s="229"/>
      <c r="M92" s="229"/>
      <c r="N92" s="229"/>
      <c r="O92" s="229"/>
      <c r="P92" s="229"/>
      <c r="Q92" s="229"/>
      <c r="R92" s="229"/>
      <c r="S92" s="229"/>
      <c r="T92" s="229"/>
      <c r="U92" s="229"/>
      <c r="V92" s="229"/>
      <c r="W92" s="229"/>
      <c r="X92" s="229"/>
      <c r="Y92" s="229"/>
      <c r="Z92" s="229"/>
      <c r="AA92" s="229"/>
    </row>
    <row r="93" spans="4:27">
      <c r="J93" s="229"/>
      <c r="K93" s="229"/>
      <c r="L93" s="229"/>
      <c r="M93" s="229"/>
      <c r="N93" s="229"/>
      <c r="O93" s="229"/>
      <c r="P93" s="229"/>
      <c r="Q93" s="229"/>
      <c r="R93" s="229"/>
      <c r="S93" s="229"/>
      <c r="T93" s="229"/>
      <c r="U93" s="229"/>
      <c r="V93" s="229"/>
      <c r="W93" s="229"/>
      <c r="X93" s="229"/>
      <c r="Y93" s="229"/>
      <c r="Z93" s="229"/>
      <c r="AA93" s="229"/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Blad3"/>
  <dimension ref="A1:Z38"/>
  <sheetViews>
    <sheetView zoomScale="85" workbookViewId="0">
      <selection activeCell="G21" sqref="G21"/>
    </sheetView>
  </sheetViews>
  <sheetFormatPr baseColWidth="10" defaultColWidth="9.140625" defaultRowHeight="12.75"/>
  <cols>
    <col min="1" max="1" width="5" customWidth="1"/>
    <col min="2" max="2" width="9.42578125" customWidth="1"/>
    <col min="3" max="3" width="9.28515625" customWidth="1"/>
    <col min="4" max="4" width="11.5703125" customWidth="1"/>
    <col min="5" max="5" width="8.28515625" customWidth="1"/>
    <col min="6" max="6" width="9.42578125" customWidth="1"/>
    <col min="7" max="7" width="9.28515625" customWidth="1"/>
    <col min="8" max="8" width="9.42578125" customWidth="1"/>
    <col min="9" max="9" width="9.28515625" customWidth="1"/>
    <col min="10" max="10" width="8.85546875" customWidth="1"/>
    <col min="11" max="11" width="9.28515625" customWidth="1"/>
    <col min="12" max="12" width="11.140625" customWidth="1"/>
    <col min="13" max="14" width="9.85546875" customWidth="1"/>
    <col min="15" max="15" width="9.28515625" customWidth="1"/>
    <col min="16" max="17" width="9.85546875" customWidth="1"/>
    <col min="21" max="21" width="9.42578125" customWidth="1"/>
    <col min="25" max="25" width="8.5703125" customWidth="1"/>
    <col min="26" max="26" width="10.7109375" bestFit="1" customWidth="1"/>
  </cols>
  <sheetData>
    <row r="1" spans="1:26" ht="15.75">
      <c r="A1" s="49"/>
    </row>
    <row r="2" spans="1:26" ht="18">
      <c r="I2" s="128"/>
    </row>
    <row r="3" spans="1:26" ht="22.5">
      <c r="A3" s="273" t="s">
        <v>79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40560.950314814814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  <c r="Z4" s="125"/>
    </row>
    <row r="5" spans="1:26">
      <c r="A5" s="13"/>
      <c r="B5" s="14"/>
      <c r="C5" s="55">
        <v>0.8</v>
      </c>
      <c r="D5" s="52" t="s">
        <v>44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184" t="s">
        <v>32</v>
      </c>
      <c r="V5" s="75" t="s">
        <v>57</v>
      </c>
      <c r="W5" s="157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156" t="s">
        <v>14</v>
      </c>
      <c r="Q6" s="164" t="s">
        <v>4</v>
      </c>
      <c r="R6" s="26" t="s">
        <v>15</v>
      </c>
      <c r="S6" s="27" t="s">
        <v>3</v>
      </c>
      <c r="T6" s="28" t="s">
        <v>14</v>
      </c>
      <c r="U6" s="188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43</v>
      </c>
      <c r="C7" s="57">
        <f>((E7*80)/100)</f>
        <v>33836.800000000003</v>
      </c>
      <c r="D7" s="54">
        <f>((C7-G7)/1200)</f>
        <v>28.197333333333336</v>
      </c>
      <c r="E7" s="3">
        <v>42296</v>
      </c>
      <c r="F7" s="29">
        <v>494573</v>
      </c>
      <c r="G7" s="192">
        <v>0</v>
      </c>
      <c r="H7" s="194">
        <v>0</v>
      </c>
      <c r="I7" s="193">
        <v>0</v>
      </c>
      <c r="J7" s="202">
        <v>0</v>
      </c>
      <c r="K7" s="413">
        <v>37044</v>
      </c>
      <c r="L7" s="412">
        <v>449454</v>
      </c>
      <c r="M7" s="30">
        <f t="shared" ref="M7:N30" si="0">(K7/E7)</f>
        <v>0.87582750141857391</v>
      </c>
      <c r="N7" s="143">
        <f t="shared" si="0"/>
        <v>0.90877180921724399</v>
      </c>
      <c r="O7" s="2">
        <f>(E7-K7)</f>
        <v>5252</v>
      </c>
      <c r="P7" s="147">
        <f>(F7-L7)</f>
        <v>45119</v>
      </c>
      <c r="Q7" s="150">
        <f>(F7/E7)</f>
        <v>11.693138831095139</v>
      </c>
      <c r="R7" s="31">
        <f>(L7/K7)</f>
        <v>12.132977000323939</v>
      </c>
      <c r="S7" s="32">
        <f>(I7/E7)</f>
        <v>0</v>
      </c>
      <c r="T7" s="33">
        <f>(J7/F7)</f>
        <v>0</v>
      </c>
      <c r="U7" s="419">
        <v>1483026</v>
      </c>
      <c r="V7" s="77">
        <f>(U7/K7)</f>
        <v>40.034175574991899</v>
      </c>
      <c r="W7" s="80">
        <v>40.53</v>
      </c>
      <c r="X7" s="85">
        <f>(V7/W7)</f>
        <v>0.98776648346883533</v>
      </c>
      <c r="Y7" s="207">
        <f t="shared" ref="Y7:Y30" si="1">((U7/1.21)-L7)/(U7/1.21)</f>
        <v>0.63329075822001768</v>
      </c>
    </row>
    <row r="8" spans="1:26">
      <c r="A8" s="2" t="s">
        <v>35</v>
      </c>
      <c r="B8" s="3" t="s">
        <v>43</v>
      </c>
      <c r="C8" s="57">
        <f>((E8*90)/100)</f>
        <v>21315.599999999999</v>
      </c>
      <c r="D8" s="54">
        <f>((C8-G8)/1200)</f>
        <v>17.762999999999998</v>
      </c>
      <c r="E8" s="3">
        <v>23684</v>
      </c>
      <c r="F8" s="29">
        <v>207765</v>
      </c>
      <c r="G8" s="192">
        <v>0</v>
      </c>
      <c r="H8" s="194">
        <v>0</v>
      </c>
      <c r="I8" s="193">
        <v>0</v>
      </c>
      <c r="J8" s="202">
        <v>0</v>
      </c>
      <c r="K8" s="413">
        <v>17417</v>
      </c>
      <c r="L8" s="414">
        <v>173766</v>
      </c>
      <c r="M8" s="30">
        <f t="shared" si="0"/>
        <v>0.73539098125316671</v>
      </c>
      <c r="N8" s="144">
        <f t="shared" si="0"/>
        <v>0.83635838567612442</v>
      </c>
      <c r="O8" s="2">
        <f t="shared" ref="O8:P29" si="2">(E8-K8)</f>
        <v>6267</v>
      </c>
      <c r="P8" s="139">
        <f t="shared" si="2"/>
        <v>33999</v>
      </c>
      <c r="Q8" s="150">
        <f t="shared" ref="Q8:Q30" si="3">(F8/E8)</f>
        <v>8.7723779766931269</v>
      </c>
      <c r="R8" s="31">
        <f t="shared" ref="R8:R30" si="4">(L8/K8)</f>
        <v>9.9768042716885805</v>
      </c>
      <c r="S8" s="32">
        <f t="shared" ref="S8:S30" si="5">(I8/E8)</f>
        <v>0</v>
      </c>
      <c r="T8" s="33">
        <f t="shared" ref="T8:T30" si="6">(J8/F8)</f>
        <v>0</v>
      </c>
      <c r="U8" s="419">
        <v>694938</v>
      </c>
      <c r="V8" s="77">
        <f t="shared" ref="V8:V30" si="7">(U8/K8)</f>
        <v>39.899982775449274</v>
      </c>
      <c r="W8" s="80">
        <f>368636/9239</f>
        <v>39.899989176317781</v>
      </c>
      <c r="X8" s="85">
        <f t="shared" ref="X8:X30" si="8">(V8/W8)</f>
        <v>0.99999983957718686</v>
      </c>
      <c r="Y8" s="127">
        <f t="shared" si="1"/>
        <v>0.69744515338058932</v>
      </c>
    </row>
    <row r="9" spans="1:26" ht="13.5" thickBot="1">
      <c r="A9" s="2" t="s">
        <v>17</v>
      </c>
      <c r="B9" s="3" t="s">
        <v>43</v>
      </c>
      <c r="C9" s="57">
        <f>((E9*90)/100)</f>
        <v>15334.2</v>
      </c>
      <c r="D9" s="54">
        <f>((C9-G9)/1200)</f>
        <v>12.778500000000001</v>
      </c>
      <c r="E9" s="3">
        <v>17038</v>
      </c>
      <c r="F9" s="29">
        <v>122999</v>
      </c>
      <c r="G9" s="192">
        <v>0</v>
      </c>
      <c r="H9" s="194">
        <v>0</v>
      </c>
      <c r="I9" s="193">
        <v>0</v>
      </c>
      <c r="J9" s="202">
        <v>0</v>
      </c>
      <c r="K9" s="413">
        <v>11797</v>
      </c>
      <c r="L9" s="414">
        <v>95136</v>
      </c>
      <c r="M9" s="30">
        <f t="shared" si="0"/>
        <v>0.69239347341237234</v>
      </c>
      <c r="N9" s="144">
        <f t="shared" si="0"/>
        <v>0.77346970300571549</v>
      </c>
      <c r="O9" s="2">
        <f t="shared" si="2"/>
        <v>5241</v>
      </c>
      <c r="P9" s="139">
        <f t="shared" si="2"/>
        <v>27863</v>
      </c>
      <c r="Q9" s="150">
        <f t="shared" si="3"/>
        <v>7.2190984857377627</v>
      </c>
      <c r="R9" s="31">
        <f t="shared" si="4"/>
        <v>8.0644231584301096</v>
      </c>
      <c r="S9" s="32">
        <f t="shared" si="5"/>
        <v>0</v>
      </c>
      <c r="T9" s="33">
        <f t="shared" si="6"/>
        <v>0</v>
      </c>
      <c r="U9" s="419">
        <v>358395</v>
      </c>
      <c r="V9" s="77">
        <f t="shared" si="7"/>
        <v>30.38018140205137</v>
      </c>
      <c r="W9" s="80">
        <f>218928/7322</f>
        <v>29.900027314941273</v>
      </c>
      <c r="X9" s="85">
        <f t="shared" si="8"/>
        <v>1.0160586504504683</v>
      </c>
      <c r="Y9" s="127">
        <f t="shared" si="1"/>
        <v>0.67880534047629015</v>
      </c>
    </row>
    <row r="10" spans="1:26" ht="13.5" thickBot="1">
      <c r="A10" s="5" t="s">
        <v>18</v>
      </c>
      <c r="B10" s="34"/>
      <c r="C10" s="58">
        <f t="shared" ref="C10:C30" si="9">((E10*80)/100)</f>
        <v>66414.399999999994</v>
      </c>
      <c r="D10" s="59">
        <f>((C10-G10)/1200)</f>
        <v>55.345333333333329</v>
      </c>
      <c r="E10" s="34">
        <f t="shared" ref="E10:J10" si="10">SUM(E7:E9)</f>
        <v>83018</v>
      </c>
      <c r="F10" s="35">
        <f t="shared" si="10"/>
        <v>825337</v>
      </c>
      <c r="G10" s="195">
        <f t="shared" si="10"/>
        <v>0</v>
      </c>
      <c r="H10" s="195">
        <f t="shared" si="10"/>
        <v>0</v>
      </c>
      <c r="I10" s="195">
        <f t="shared" si="10"/>
        <v>0</v>
      </c>
      <c r="J10" s="195">
        <f t="shared" si="10"/>
        <v>0</v>
      </c>
      <c r="K10" s="5">
        <f>SUM(K7:K9)</f>
        <v>66258</v>
      </c>
      <c r="L10" s="35">
        <f>SUM(L7:L9)</f>
        <v>718356</v>
      </c>
      <c r="M10" s="155">
        <f t="shared" si="0"/>
        <v>0.79811607121347172</v>
      </c>
      <c r="N10" s="145">
        <f t="shared" si="0"/>
        <v>0.87037900881700447</v>
      </c>
      <c r="O10" s="5">
        <f t="shared" si="2"/>
        <v>16760</v>
      </c>
      <c r="P10" s="35">
        <f t="shared" si="2"/>
        <v>106981</v>
      </c>
      <c r="Q10" s="61">
        <f t="shared" si="3"/>
        <v>9.9416632537521981</v>
      </c>
      <c r="R10" s="151">
        <f t="shared" si="4"/>
        <v>10.841800235443268</v>
      </c>
      <c r="S10" s="62">
        <f t="shared" si="5"/>
        <v>0</v>
      </c>
      <c r="T10" s="62">
        <f t="shared" si="6"/>
        <v>0</v>
      </c>
      <c r="U10" s="200">
        <f>SUM(U7:U9)</f>
        <v>2536359</v>
      </c>
      <c r="V10" s="153">
        <f t="shared" si="7"/>
        <v>38.280041655347276</v>
      </c>
      <c r="W10" s="74">
        <v>38.479999999999997</v>
      </c>
      <c r="X10" s="60">
        <f t="shared" si="8"/>
        <v>0.99480357732191471</v>
      </c>
      <c r="Y10" s="127">
        <f t="shared" si="1"/>
        <v>0.65729979076305844</v>
      </c>
    </row>
    <row r="11" spans="1:26" ht="13.5" thickBot="1">
      <c r="A11" s="2" t="s">
        <v>19</v>
      </c>
      <c r="B11" s="3" t="s">
        <v>43</v>
      </c>
      <c r="C11" s="57">
        <f t="shared" si="9"/>
        <v>3520</v>
      </c>
      <c r="D11" s="54">
        <f t="shared" ref="D11:D24" si="11">((C11-G11)/900)</f>
        <v>3.911111111111111</v>
      </c>
      <c r="E11" s="3">
        <v>4400</v>
      </c>
      <c r="F11" s="29">
        <v>82626</v>
      </c>
      <c r="G11" s="192">
        <v>0</v>
      </c>
      <c r="H11" s="194">
        <v>0</v>
      </c>
      <c r="I11" s="193">
        <v>0</v>
      </c>
      <c r="J11" s="202">
        <v>0</v>
      </c>
      <c r="K11" s="413">
        <v>3684</v>
      </c>
      <c r="L11" s="414">
        <v>80837</v>
      </c>
      <c r="M11" s="30">
        <f t="shared" si="0"/>
        <v>0.83727272727272728</v>
      </c>
      <c r="N11" s="144">
        <f t="shared" si="0"/>
        <v>0.97834821968871788</v>
      </c>
      <c r="O11" s="2">
        <f t="shared" si="2"/>
        <v>716</v>
      </c>
      <c r="P11" s="139">
        <f t="shared" si="2"/>
        <v>1789</v>
      </c>
      <c r="Q11" s="150">
        <f t="shared" si="3"/>
        <v>18.778636363636362</v>
      </c>
      <c r="R11" s="31">
        <f t="shared" si="4"/>
        <v>21.942725298588492</v>
      </c>
      <c r="S11" s="32">
        <f t="shared" si="5"/>
        <v>0</v>
      </c>
      <c r="T11" s="33">
        <f t="shared" si="6"/>
        <v>0</v>
      </c>
      <c r="U11" s="419">
        <v>280962</v>
      </c>
      <c r="V11" s="77">
        <f t="shared" si="7"/>
        <v>76.265472312703579</v>
      </c>
      <c r="W11" s="80">
        <v>73.540000000000006</v>
      </c>
      <c r="X11" s="85">
        <f t="shared" si="8"/>
        <v>1.0370610866562902</v>
      </c>
      <c r="Y11" s="127">
        <f t="shared" si="1"/>
        <v>0.65186477174849267</v>
      </c>
    </row>
    <row r="12" spans="1:26" ht="13.5" thickBot="1">
      <c r="A12" s="5" t="s">
        <v>20</v>
      </c>
      <c r="B12" s="34"/>
      <c r="C12" s="58">
        <f t="shared" si="9"/>
        <v>3520</v>
      </c>
      <c r="D12" s="59">
        <f t="shared" si="11"/>
        <v>3.911111111111111</v>
      </c>
      <c r="E12" s="34">
        <f t="shared" ref="E12:J12" si="12">SUM(E11)</f>
        <v>4400</v>
      </c>
      <c r="F12" s="35">
        <f t="shared" si="12"/>
        <v>82626</v>
      </c>
      <c r="G12" s="195">
        <f t="shared" si="12"/>
        <v>0</v>
      </c>
      <c r="H12" s="195">
        <f t="shared" si="12"/>
        <v>0</v>
      </c>
      <c r="I12" s="195">
        <f t="shared" si="12"/>
        <v>0</v>
      </c>
      <c r="J12" s="195">
        <f t="shared" si="12"/>
        <v>0</v>
      </c>
      <c r="K12" s="5">
        <f>SUM(K11)</f>
        <v>3684</v>
      </c>
      <c r="L12" s="35">
        <f>SUM(L11)</f>
        <v>80837</v>
      </c>
      <c r="M12" s="155">
        <f t="shared" si="0"/>
        <v>0.83727272727272728</v>
      </c>
      <c r="N12" s="145">
        <f t="shared" si="0"/>
        <v>0.97834821968871788</v>
      </c>
      <c r="O12" s="5">
        <f t="shared" si="2"/>
        <v>716</v>
      </c>
      <c r="P12" s="35">
        <f t="shared" si="2"/>
        <v>1789</v>
      </c>
      <c r="Q12" s="61">
        <f t="shared" si="3"/>
        <v>18.778636363636362</v>
      </c>
      <c r="R12" s="151">
        <f t="shared" si="4"/>
        <v>21.942725298588492</v>
      </c>
      <c r="S12" s="62">
        <f t="shared" si="5"/>
        <v>0</v>
      </c>
      <c r="T12" s="62">
        <f t="shared" si="6"/>
        <v>0</v>
      </c>
      <c r="U12" s="200">
        <f>SUM(U11)</f>
        <v>280962</v>
      </c>
      <c r="V12" s="153">
        <f t="shared" si="7"/>
        <v>76.265472312703579</v>
      </c>
      <c r="W12" s="74">
        <v>73.540000000000006</v>
      </c>
      <c r="X12" s="60">
        <f t="shared" si="8"/>
        <v>1.0370610866562902</v>
      </c>
      <c r="Y12" s="127">
        <f t="shared" si="1"/>
        <v>0.65186477174849267</v>
      </c>
    </row>
    <row r="13" spans="1:26">
      <c r="A13" s="2" t="s">
        <v>21</v>
      </c>
      <c r="B13" s="3" t="s">
        <v>43</v>
      </c>
      <c r="C13" s="57">
        <f t="shared" si="9"/>
        <v>44078.400000000001</v>
      </c>
      <c r="D13" s="54">
        <f t="shared" si="11"/>
        <v>48.975999999999999</v>
      </c>
      <c r="E13" s="3">
        <v>55098</v>
      </c>
      <c r="F13" s="29">
        <v>208652</v>
      </c>
      <c r="G13" s="192">
        <v>0</v>
      </c>
      <c r="H13" s="194">
        <v>0</v>
      </c>
      <c r="I13" s="193">
        <v>0</v>
      </c>
      <c r="J13" s="202">
        <v>0</v>
      </c>
      <c r="K13" s="413">
        <v>29048</v>
      </c>
      <c r="L13" s="414">
        <v>98810</v>
      </c>
      <c r="M13" s="30">
        <f t="shared" si="0"/>
        <v>0.52720606918581436</v>
      </c>
      <c r="N13" s="144">
        <f t="shared" si="0"/>
        <v>0.47356363706075189</v>
      </c>
      <c r="O13" s="2">
        <f t="shared" si="2"/>
        <v>26050</v>
      </c>
      <c r="P13" s="139">
        <f t="shared" si="2"/>
        <v>109842</v>
      </c>
      <c r="Q13" s="150">
        <f t="shared" si="3"/>
        <v>3.7869251152491925</v>
      </c>
      <c r="R13" s="31">
        <f t="shared" si="4"/>
        <v>3.4016111264114568</v>
      </c>
      <c r="S13" s="32">
        <f t="shared" si="5"/>
        <v>0</v>
      </c>
      <c r="T13" s="33">
        <f t="shared" si="6"/>
        <v>0</v>
      </c>
      <c r="U13" s="419">
        <v>363765</v>
      </c>
      <c r="V13" s="77">
        <f t="shared" si="7"/>
        <v>12.522893142385017</v>
      </c>
      <c r="W13" s="80">
        <v>14.48</v>
      </c>
      <c r="X13" s="85">
        <f t="shared" si="8"/>
        <v>0.86484068662879954</v>
      </c>
      <c r="Y13" s="127">
        <f t="shared" si="1"/>
        <v>0.67132599342982424</v>
      </c>
    </row>
    <row r="14" spans="1:26">
      <c r="A14" s="2" t="s">
        <v>22</v>
      </c>
      <c r="B14" s="3" t="s">
        <v>43</v>
      </c>
      <c r="C14" s="57">
        <f t="shared" si="9"/>
        <v>92143.2</v>
      </c>
      <c r="D14" s="54">
        <f t="shared" si="11"/>
        <v>102.38133333333333</v>
      </c>
      <c r="E14" s="3">
        <v>115179</v>
      </c>
      <c r="F14" s="29">
        <v>702421</v>
      </c>
      <c r="G14" s="192">
        <v>0</v>
      </c>
      <c r="H14" s="194">
        <v>0</v>
      </c>
      <c r="I14" s="193">
        <v>0</v>
      </c>
      <c r="J14" s="202">
        <v>0</v>
      </c>
      <c r="K14" s="413">
        <v>95644</v>
      </c>
      <c r="L14" s="414">
        <v>669595</v>
      </c>
      <c r="M14" s="30">
        <f t="shared" ref="M14:N21" si="13">(K14/E14)</f>
        <v>0.83039442954010712</v>
      </c>
      <c r="N14" s="144">
        <f t="shared" si="13"/>
        <v>0.95326734251965706</v>
      </c>
      <c r="O14" s="2">
        <f t="shared" si="2"/>
        <v>19535</v>
      </c>
      <c r="P14" s="139">
        <f t="shared" si="2"/>
        <v>32826</v>
      </c>
      <c r="Q14" s="150">
        <f t="shared" si="3"/>
        <v>6.098516222575296</v>
      </c>
      <c r="R14" s="31">
        <f t="shared" si="4"/>
        <v>7.0009096231859811</v>
      </c>
      <c r="S14" s="32">
        <f t="shared" si="5"/>
        <v>0</v>
      </c>
      <c r="T14" s="33">
        <f t="shared" si="6"/>
        <v>0</v>
      </c>
      <c r="U14" s="419">
        <v>2458066</v>
      </c>
      <c r="V14" s="77">
        <f t="shared" si="7"/>
        <v>25.700158922671573</v>
      </c>
      <c r="W14" s="80">
        <v>26.65</v>
      </c>
      <c r="X14" s="85">
        <f t="shared" si="8"/>
        <v>0.96435868377754497</v>
      </c>
      <c r="Y14" s="127">
        <f t="shared" si="1"/>
        <v>0.6703872271940623</v>
      </c>
    </row>
    <row r="15" spans="1:26">
      <c r="A15" s="2" t="s">
        <v>56</v>
      </c>
      <c r="B15" s="3" t="s">
        <v>43</v>
      </c>
      <c r="C15" s="57">
        <f t="shared" si="9"/>
        <v>0</v>
      </c>
      <c r="D15" s="54">
        <f t="shared" si="11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413">
        <v>17085</v>
      </c>
      <c r="L15" s="414">
        <v>101609</v>
      </c>
      <c r="M15" s="30" t="e">
        <f t="shared" si="13"/>
        <v>#DIV/0!</v>
      </c>
      <c r="N15" s="144" t="e">
        <f t="shared" si="13"/>
        <v>#DIV/0!</v>
      </c>
      <c r="O15" s="2">
        <f t="shared" si="2"/>
        <v>-17085</v>
      </c>
      <c r="P15" s="139">
        <f t="shared" si="2"/>
        <v>-101609</v>
      </c>
      <c r="Q15" s="150" t="e">
        <f t="shared" si="3"/>
        <v>#DIV/0!</v>
      </c>
      <c r="R15" s="31">
        <f t="shared" si="4"/>
        <v>5.9472636815920401</v>
      </c>
      <c r="S15" s="32" t="e">
        <f t="shared" si="5"/>
        <v>#DIV/0!</v>
      </c>
      <c r="T15" s="33" t="e">
        <f t="shared" si="6"/>
        <v>#DIV/0!</v>
      </c>
      <c r="U15" s="419">
        <v>334856</v>
      </c>
      <c r="V15" s="77">
        <f t="shared" si="7"/>
        <v>19.599414691249635</v>
      </c>
      <c r="W15" s="80"/>
      <c r="X15" s="85" t="e">
        <f t="shared" si="8"/>
        <v>#DIV/0!</v>
      </c>
      <c r="Y15" s="127">
        <f t="shared" si="1"/>
        <v>0.63283653271854168</v>
      </c>
    </row>
    <row r="16" spans="1:26">
      <c r="A16" s="2" t="s">
        <v>23</v>
      </c>
      <c r="B16" s="3" t="s">
        <v>43</v>
      </c>
      <c r="C16" s="57">
        <f t="shared" si="9"/>
        <v>47345.599999999999</v>
      </c>
      <c r="D16" s="54">
        <f t="shared" si="11"/>
        <v>52.606222222222222</v>
      </c>
      <c r="E16" s="3">
        <v>59182</v>
      </c>
      <c r="F16" s="29">
        <v>418171</v>
      </c>
      <c r="G16" s="192">
        <v>0</v>
      </c>
      <c r="H16" s="194">
        <v>0</v>
      </c>
      <c r="I16" s="193">
        <v>0</v>
      </c>
      <c r="J16" s="202">
        <v>0</v>
      </c>
      <c r="K16" s="413">
        <v>48030</v>
      </c>
      <c r="L16" s="414">
        <v>348246</v>
      </c>
      <c r="M16" s="30">
        <f t="shared" si="13"/>
        <v>0.81156432699131498</v>
      </c>
      <c r="N16" s="144">
        <f t="shared" si="13"/>
        <v>0.83278371766573966</v>
      </c>
      <c r="O16" s="2">
        <f t="shared" si="2"/>
        <v>11152</v>
      </c>
      <c r="P16" s="139">
        <f t="shared" si="2"/>
        <v>69925</v>
      </c>
      <c r="Q16" s="150">
        <f t="shared" si="3"/>
        <v>7.0658477239701263</v>
      </c>
      <c r="R16" s="31">
        <f t="shared" si="4"/>
        <v>7.2505933791380386</v>
      </c>
      <c r="S16" s="32">
        <f t="shared" si="5"/>
        <v>0</v>
      </c>
      <c r="T16" s="33">
        <f t="shared" si="6"/>
        <v>0</v>
      </c>
      <c r="U16" s="419">
        <v>1303117</v>
      </c>
      <c r="V16" s="77">
        <f t="shared" si="7"/>
        <v>27.131313762231937</v>
      </c>
      <c r="W16" s="80">
        <v>29.28</v>
      </c>
      <c r="X16" s="85">
        <f t="shared" si="8"/>
        <v>0.92661590718005249</v>
      </c>
      <c r="Y16" s="127">
        <f t="shared" si="1"/>
        <v>0.67663865946035551</v>
      </c>
    </row>
    <row r="17" spans="1:25">
      <c r="A17" s="2" t="s">
        <v>24</v>
      </c>
      <c r="B17" s="3" t="s">
        <v>43</v>
      </c>
      <c r="C17" s="57">
        <f t="shared" si="9"/>
        <v>8055.2</v>
      </c>
      <c r="D17" s="54">
        <f t="shared" si="11"/>
        <v>8.9502222222222212</v>
      </c>
      <c r="E17" s="3">
        <v>10069</v>
      </c>
      <c r="F17" s="29">
        <v>70150</v>
      </c>
      <c r="G17" s="192">
        <v>0</v>
      </c>
      <c r="H17" s="194">
        <v>0</v>
      </c>
      <c r="I17" s="193">
        <v>0</v>
      </c>
      <c r="J17" s="202">
        <v>0</v>
      </c>
      <c r="K17" s="413">
        <v>6384</v>
      </c>
      <c r="L17" s="414">
        <v>56138</v>
      </c>
      <c r="M17" s="30">
        <f t="shared" si="13"/>
        <v>0.63402522594100708</v>
      </c>
      <c r="N17" s="144">
        <f t="shared" si="13"/>
        <v>0.80025659301496788</v>
      </c>
      <c r="O17" s="2">
        <f t="shared" si="2"/>
        <v>3685</v>
      </c>
      <c r="P17" s="139">
        <f t="shared" si="2"/>
        <v>14012</v>
      </c>
      <c r="Q17" s="150">
        <f t="shared" si="3"/>
        <v>6.9669281954513851</v>
      </c>
      <c r="R17" s="31">
        <f t="shared" si="4"/>
        <v>8.7935463659147874</v>
      </c>
      <c r="S17" s="32">
        <f t="shared" si="5"/>
        <v>0</v>
      </c>
      <c r="T17" s="33">
        <f t="shared" si="6"/>
        <v>0</v>
      </c>
      <c r="U17" s="419">
        <v>212497</v>
      </c>
      <c r="V17" s="77">
        <f t="shared" si="7"/>
        <v>33.285870927318292</v>
      </c>
      <c r="W17" s="80">
        <v>29.58</v>
      </c>
      <c r="X17" s="85">
        <f t="shared" si="8"/>
        <v>1.125282992809949</v>
      </c>
      <c r="Y17" s="127">
        <f t="shared" si="1"/>
        <v>0.68033911066979769</v>
      </c>
    </row>
    <row r="18" spans="1:25" ht="13.5" thickBot="1">
      <c r="A18" s="2" t="s">
        <v>25</v>
      </c>
      <c r="B18" s="3" t="s">
        <v>43</v>
      </c>
      <c r="C18" s="57">
        <f t="shared" si="9"/>
        <v>0</v>
      </c>
      <c r="D18" s="54">
        <f t="shared" si="11"/>
        <v>0</v>
      </c>
      <c r="E18" s="3">
        <v>0</v>
      </c>
      <c r="F18" s="29">
        <v>0</v>
      </c>
      <c r="G18" s="192">
        <v>0</v>
      </c>
      <c r="H18" s="194">
        <v>0</v>
      </c>
      <c r="I18" s="193">
        <v>0</v>
      </c>
      <c r="J18" s="202">
        <v>0</v>
      </c>
      <c r="K18" s="413">
        <v>0</v>
      </c>
      <c r="L18" s="414">
        <v>0</v>
      </c>
      <c r="M18" s="30" t="e">
        <f t="shared" si="13"/>
        <v>#DIV/0!</v>
      </c>
      <c r="N18" s="144" t="e">
        <f t="shared" si="13"/>
        <v>#DIV/0!</v>
      </c>
      <c r="O18" s="2">
        <f t="shared" si="2"/>
        <v>0</v>
      </c>
      <c r="P18" s="139">
        <f t="shared" si="2"/>
        <v>0</v>
      </c>
      <c r="Q18" s="150" t="e">
        <f t="shared" si="3"/>
        <v>#DIV/0!</v>
      </c>
      <c r="R18" s="31" t="e">
        <f t="shared" si="4"/>
        <v>#DIV/0!</v>
      </c>
      <c r="S18" s="32" t="e">
        <f t="shared" si="5"/>
        <v>#DIV/0!</v>
      </c>
      <c r="T18" s="33" t="e">
        <f t="shared" si="6"/>
        <v>#DIV/0!</v>
      </c>
      <c r="U18" s="419">
        <v>0</v>
      </c>
      <c r="V18" s="77" t="e">
        <f t="shared" si="7"/>
        <v>#DIV/0!</v>
      </c>
      <c r="W18" s="80">
        <v>0</v>
      </c>
      <c r="X18" s="85" t="e">
        <f t="shared" si="8"/>
        <v>#DIV/0!</v>
      </c>
      <c r="Y18" s="127" t="e">
        <f t="shared" si="1"/>
        <v>#DIV/0!</v>
      </c>
    </row>
    <row r="19" spans="1:25" ht="13.5" thickBot="1">
      <c r="A19" s="5" t="s">
        <v>26</v>
      </c>
      <c r="B19" s="34"/>
      <c r="C19" s="58">
        <f t="shared" si="9"/>
        <v>191622.39999999999</v>
      </c>
      <c r="D19" s="59">
        <f t="shared" si="11"/>
        <v>212.91377777777777</v>
      </c>
      <c r="E19" s="34">
        <f t="shared" ref="E19:J19" si="14">SUM(E13:E18)</f>
        <v>239528</v>
      </c>
      <c r="F19" s="35">
        <f t="shared" si="14"/>
        <v>1399394</v>
      </c>
      <c r="G19" s="195">
        <f t="shared" si="14"/>
        <v>0</v>
      </c>
      <c r="H19" s="195">
        <f>SUM(H13:H18)</f>
        <v>0</v>
      </c>
      <c r="I19" s="195">
        <f t="shared" si="14"/>
        <v>0</v>
      </c>
      <c r="J19" s="195">
        <f t="shared" si="14"/>
        <v>0</v>
      </c>
      <c r="K19" s="5">
        <f>SUM(K13:K18)</f>
        <v>196191</v>
      </c>
      <c r="L19" s="35">
        <f>SUM(L13:L18)</f>
        <v>1274398</v>
      </c>
      <c r="M19" s="155">
        <f t="shared" si="0"/>
        <v>0.81907334424367928</v>
      </c>
      <c r="N19" s="145">
        <f t="shared" si="0"/>
        <v>0.91067847939893987</v>
      </c>
      <c r="O19" s="5">
        <f t="shared" si="2"/>
        <v>43337</v>
      </c>
      <c r="P19" s="35">
        <f t="shared" si="2"/>
        <v>124996</v>
      </c>
      <c r="Q19" s="61">
        <f t="shared" si="3"/>
        <v>5.842298186433319</v>
      </c>
      <c r="R19" s="151">
        <f t="shared" si="4"/>
        <v>6.4957006182750483</v>
      </c>
      <c r="S19" s="62">
        <f t="shared" si="5"/>
        <v>0</v>
      </c>
      <c r="T19" s="62">
        <f t="shared" si="6"/>
        <v>0</v>
      </c>
      <c r="U19" s="200">
        <f>SUM(U13:U18)</f>
        <v>4672301</v>
      </c>
      <c r="V19" s="153">
        <f t="shared" si="7"/>
        <v>23.815062872404951</v>
      </c>
      <c r="W19" s="74">
        <v>24.12</v>
      </c>
      <c r="X19" s="60">
        <f t="shared" si="8"/>
        <v>0.98735749885592661</v>
      </c>
      <c r="Y19" s="127">
        <f t="shared" si="1"/>
        <v>0.66996527406945738</v>
      </c>
    </row>
    <row r="20" spans="1:25">
      <c r="A20" s="2" t="s">
        <v>60</v>
      </c>
      <c r="B20" s="3"/>
      <c r="C20" s="57">
        <f t="shared" si="9"/>
        <v>0</v>
      </c>
      <c r="D20" s="54">
        <f t="shared" si="11"/>
        <v>0</v>
      </c>
      <c r="E20" s="3"/>
      <c r="F20" s="29"/>
      <c r="G20" s="192"/>
      <c r="H20" s="194"/>
      <c r="I20" s="193"/>
      <c r="J20" s="202"/>
      <c r="K20" s="413"/>
      <c r="L20" s="414"/>
      <c r="M20" s="30" t="e">
        <f t="shared" si="13"/>
        <v>#DIV/0!</v>
      </c>
      <c r="N20" s="144" t="e">
        <f t="shared" si="13"/>
        <v>#DIV/0!</v>
      </c>
      <c r="O20" s="2">
        <f t="shared" si="2"/>
        <v>0</v>
      </c>
      <c r="P20" s="139">
        <f t="shared" si="2"/>
        <v>0</v>
      </c>
      <c r="Q20" s="150" t="e">
        <f t="shared" si="3"/>
        <v>#DIV/0!</v>
      </c>
      <c r="R20" s="31" t="e">
        <f t="shared" si="4"/>
        <v>#DIV/0!</v>
      </c>
      <c r="S20" s="32" t="e">
        <f t="shared" si="5"/>
        <v>#DIV/0!</v>
      </c>
      <c r="T20" s="33" t="e">
        <f t="shared" si="6"/>
        <v>#DIV/0!</v>
      </c>
      <c r="U20" s="419"/>
      <c r="V20" s="77" t="e">
        <f t="shared" si="7"/>
        <v>#DIV/0!</v>
      </c>
      <c r="W20" s="80"/>
      <c r="X20" s="85" t="e">
        <f t="shared" si="8"/>
        <v>#DIV/0!</v>
      </c>
      <c r="Y20" s="127" t="e">
        <f t="shared" si="1"/>
        <v>#DIV/0!</v>
      </c>
    </row>
    <row r="21" spans="1:25" ht="13.5" thickBot="1">
      <c r="A21" s="2" t="s">
        <v>61</v>
      </c>
      <c r="B21" s="3"/>
      <c r="C21" s="57">
        <f t="shared" si="9"/>
        <v>0</v>
      </c>
      <c r="D21" s="54">
        <f t="shared" si="11"/>
        <v>0</v>
      </c>
      <c r="E21" s="3"/>
      <c r="F21" s="29"/>
      <c r="G21" s="192"/>
      <c r="H21" s="194"/>
      <c r="I21" s="193"/>
      <c r="J21" s="202"/>
      <c r="K21" s="413"/>
      <c r="L21" s="414"/>
      <c r="M21" s="30" t="e">
        <f t="shared" si="13"/>
        <v>#DIV/0!</v>
      </c>
      <c r="N21" s="144" t="e">
        <f t="shared" si="13"/>
        <v>#DIV/0!</v>
      </c>
      <c r="O21" s="2">
        <f t="shared" si="2"/>
        <v>0</v>
      </c>
      <c r="P21" s="139">
        <f t="shared" si="2"/>
        <v>0</v>
      </c>
      <c r="Q21" s="150" t="e">
        <f t="shared" si="3"/>
        <v>#DIV/0!</v>
      </c>
      <c r="R21" s="31" t="e">
        <f t="shared" si="4"/>
        <v>#DIV/0!</v>
      </c>
      <c r="S21" s="32" t="e">
        <f t="shared" si="5"/>
        <v>#DIV/0!</v>
      </c>
      <c r="T21" s="33" t="e">
        <f t="shared" si="6"/>
        <v>#DIV/0!</v>
      </c>
      <c r="U21" s="419"/>
      <c r="V21" s="77" t="e">
        <f t="shared" si="7"/>
        <v>#DIV/0!</v>
      </c>
      <c r="W21" s="80"/>
      <c r="X21" s="85" t="e">
        <f t="shared" si="8"/>
        <v>#DIV/0!</v>
      </c>
      <c r="Y21" s="127" t="e">
        <f t="shared" si="1"/>
        <v>#DIV/0!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5"/>
      <c r="I22" s="195"/>
      <c r="J22" s="195"/>
      <c r="K22" s="5">
        <f>SUM(K20:K21)</f>
        <v>0</v>
      </c>
      <c r="L22" s="5">
        <f>SUM(L20:L21)</f>
        <v>0</v>
      </c>
      <c r="M22" s="17"/>
      <c r="N22" s="160"/>
      <c r="O22" s="5"/>
      <c r="P22" s="35"/>
      <c r="Q22" s="61"/>
      <c r="R22" s="151"/>
      <c r="S22" s="62"/>
      <c r="T22" s="62"/>
      <c r="U22" s="200">
        <f>SUM(U20:U21)</f>
        <v>0</v>
      </c>
      <c r="V22" s="153"/>
      <c r="W22" s="74"/>
      <c r="X22" s="60"/>
      <c r="Y22" s="127"/>
    </row>
    <row r="23" spans="1:25" ht="13.5" thickBot="1">
      <c r="A23" s="2" t="s">
        <v>27</v>
      </c>
      <c r="B23" s="3" t="s">
        <v>43</v>
      </c>
      <c r="C23" s="57">
        <f t="shared" si="9"/>
        <v>6345.6</v>
      </c>
      <c r="D23" s="54">
        <f t="shared" si="11"/>
        <v>7.0506666666666673</v>
      </c>
      <c r="E23" s="3">
        <v>7932</v>
      </c>
      <c r="F23" s="29">
        <v>229015</v>
      </c>
      <c r="G23" s="192">
        <v>0</v>
      </c>
      <c r="H23" s="194">
        <v>0</v>
      </c>
      <c r="I23" s="193">
        <v>0</v>
      </c>
      <c r="J23" s="202">
        <v>0</v>
      </c>
      <c r="K23" s="413">
        <v>6016</v>
      </c>
      <c r="L23" s="414">
        <v>169268</v>
      </c>
      <c r="M23" s="158">
        <f t="shared" si="0"/>
        <v>0.75844679778113966</v>
      </c>
      <c r="N23" s="159">
        <f t="shared" si="0"/>
        <v>0.73911315852673409</v>
      </c>
      <c r="O23" s="2">
        <f t="shared" si="2"/>
        <v>1916</v>
      </c>
      <c r="P23" s="139">
        <f t="shared" si="2"/>
        <v>59747</v>
      </c>
      <c r="Q23" s="150">
        <f t="shared" si="3"/>
        <v>28.872289460413516</v>
      </c>
      <c r="R23" s="31">
        <f t="shared" si="4"/>
        <v>28.136303191489361</v>
      </c>
      <c r="S23" s="32">
        <f t="shared" si="5"/>
        <v>0</v>
      </c>
      <c r="T23" s="33">
        <f t="shared" si="6"/>
        <v>0</v>
      </c>
      <c r="U23" s="419">
        <v>546681</v>
      </c>
      <c r="V23" s="77">
        <f t="shared" si="7"/>
        <v>90.871176861702125</v>
      </c>
      <c r="W23" s="80">
        <v>84.99</v>
      </c>
      <c r="X23" s="85">
        <f t="shared" si="8"/>
        <v>1.069198457014968</v>
      </c>
      <c r="Y23" s="127">
        <f t="shared" si="1"/>
        <v>0.62534955485923238</v>
      </c>
    </row>
    <row r="24" spans="1:25" ht="13.5" thickBot="1">
      <c r="A24" s="5" t="s">
        <v>28</v>
      </c>
      <c r="B24" s="34"/>
      <c r="C24" s="58">
        <f t="shared" si="9"/>
        <v>6345.6</v>
      </c>
      <c r="D24" s="59">
        <f t="shared" si="11"/>
        <v>7.0506666666666673</v>
      </c>
      <c r="E24" s="34">
        <f t="shared" ref="E24:J24" si="15">SUM(E23)</f>
        <v>7932</v>
      </c>
      <c r="F24" s="5">
        <f t="shared" si="15"/>
        <v>229015</v>
      </c>
      <c r="G24" s="195">
        <f t="shared" si="15"/>
        <v>0</v>
      </c>
      <c r="H24" s="195">
        <f t="shared" si="15"/>
        <v>0</v>
      </c>
      <c r="I24" s="195">
        <f t="shared" si="15"/>
        <v>0</v>
      </c>
      <c r="J24" s="195">
        <f t="shared" si="15"/>
        <v>0</v>
      </c>
      <c r="K24" s="5">
        <f>SUM(K23)</f>
        <v>6016</v>
      </c>
      <c r="L24" s="35">
        <f>SUM(L23)</f>
        <v>169268</v>
      </c>
      <c r="M24" s="17">
        <f t="shared" si="0"/>
        <v>0.75844679778113966</v>
      </c>
      <c r="N24" s="160">
        <f t="shared" si="0"/>
        <v>0.73911315852673409</v>
      </c>
      <c r="O24" s="5">
        <f t="shared" si="2"/>
        <v>1916</v>
      </c>
      <c r="P24" s="35">
        <f t="shared" si="2"/>
        <v>59747</v>
      </c>
      <c r="Q24" s="61">
        <f t="shared" si="3"/>
        <v>28.872289460413516</v>
      </c>
      <c r="R24" s="151">
        <f t="shared" si="4"/>
        <v>28.136303191489361</v>
      </c>
      <c r="S24" s="62">
        <f t="shared" si="5"/>
        <v>0</v>
      </c>
      <c r="T24" s="62">
        <f t="shared" si="6"/>
        <v>0</v>
      </c>
      <c r="U24" s="200">
        <f>SUM(U23)</f>
        <v>546681</v>
      </c>
      <c r="V24" s="153">
        <f t="shared" si="7"/>
        <v>90.871176861702125</v>
      </c>
      <c r="W24" s="74">
        <v>84.99</v>
      </c>
      <c r="X24" s="60">
        <f t="shared" si="8"/>
        <v>1.069198457014968</v>
      </c>
      <c r="Y24" s="127">
        <f t="shared" si="1"/>
        <v>0.62534955485923238</v>
      </c>
    </row>
    <row r="25" spans="1:25">
      <c r="A25" s="2" t="s">
        <v>47</v>
      </c>
      <c r="B25" s="3" t="s">
        <v>43</v>
      </c>
      <c r="C25" s="57">
        <f t="shared" si="9"/>
        <v>9629.6</v>
      </c>
      <c r="D25" s="54">
        <f>((C25-G25)/600)</f>
        <v>16.049333333333333</v>
      </c>
      <c r="E25" s="3">
        <v>12037</v>
      </c>
      <c r="F25" s="29">
        <v>42945</v>
      </c>
      <c r="G25" s="192">
        <v>0</v>
      </c>
      <c r="H25" s="194">
        <v>0</v>
      </c>
      <c r="I25" s="193">
        <v>0</v>
      </c>
      <c r="J25" s="202">
        <v>0</v>
      </c>
      <c r="K25" s="413">
        <v>11200</v>
      </c>
      <c r="L25" s="414">
        <v>43480</v>
      </c>
      <c r="M25" s="134">
        <f t="shared" si="0"/>
        <v>0.9304644014289275</v>
      </c>
      <c r="N25" s="161">
        <f t="shared" si="0"/>
        <v>1.0124577948538829</v>
      </c>
      <c r="O25" s="3">
        <f t="shared" si="2"/>
        <v>837</v>
      </c>
      <c r="P25" s="139">
        <f t="shared" si="2"/>
        <v>-535</v>
      </c>
      <c r="Q25" s="150">
        <f t="shared" si="3"/>
        <v>3.5677494392290439</v>
      </c>
      <c r="R25" s="31">
        <f t="shared" si="4"/>
        <v>3.8821428571428571</v>
      </c>
      <c r="S25" s="32">
        <f t="shared" si="5"/>
        <v>0</v>
      </c>
      <c r="T25" s="33">
        <f t="shared" si="6"/>
        <v>0</v>
      </c>
      <c r="U25" s="419">
        <v>166880</v>
      </c>
      <c r="V25" s="77">
        <f t="shared" si="7"/>
        <v>14.9</v>
      </c>
      <c r="W25" s="80">
        <f>102885/6905</f>
        <v>14.900072411296161</v>
      </c>
      <c r="X25" s="85">
        <f t="shared" si="8"/>
        <v>0.9999951402050834</v>
      </c>
      <c r="Y25" s="127">
        <f t="shared" si="1"/>
        <v>0.68473873441994249</v>
      </c>
    </row>
    <row r="26" spans="1:25">
      <c r="A26" s="2" t="s">
        <v>48</v>
      </c>
      <c r="B26" s="3" t="s">
        <v>43</v>
      </c>
      <c r="C26" s="57">
        <f t="shared" si="9"/>
        <v>3341.6</v>
      </c>
      <c r="D26" s="54">
        <f>((C26-G26)/600)</f>
        <v>5.5693333333333328</v>
      </c>
      <c r="E26" s="3">
        <v>4177</v>
      </c>
      <c r="F26" s="29">
        <v>10857</v>
      </c>
      <c r="G26" s="192">
        <v>0</v>
      </c>
      <c r="H26" s="194">
        <v>0</v>
      </c>
      <c r="I26" s="193">
        <v>0</v>
      </c>
      <c r="J26" s="202">
        <v>0</v>
      </c>
      <c r="K26" s="413">
        <v>3000</v>
      </c>
      <c r="L26" s="414">
        <v>9025</v>
      </c>
      <c r="M26" s="135">
        <f t="shared" si="0"/>
        <v>0.71821881733301407</v>
      </c>
      <c r="N26" s="162">
        <f t="shared" si="0"/>
        <v>0.8312609376439164</v>
      </c>
      <c r="O26" s="3">
        <f t="shared" si="2"/>
        <v>1177</v>
      </c>
      <c r="P26" s="139">
        <f t="shared" si="2"/>
        <v>1832</v>
      </c>
      <c r="Q26" s="150">
        <f t="shared" si="3"/>
        <v>2.5992338999281781</v>
      </c>
      <c r="R26" s="31">
        <f t="shared" si="4"/>
        <v>3.0083333333333333</v>
      </c>
      <c r="S26" s="32">
        <f t="shared" si="5"/>
        <v>0</v>
      </c>
      <c r="T26" s="33">
        <f t="shared" si="6"/>
        <v>0</v>
      </c>
      <c r="U26" s="419">
        <v>38940</v>
      </c>
      <c r="V26" s="77">
        <f t="shared" si="7"/>
        <v>12.98</v>
      </c>
      <c r="W26" s="80">
        <v>10.73</v>
      </c>
      <c r="X26" s="85">
        <f t="shared" si="8"/>
        <v>1.2096924510717615</v>
      </c>
      <c r="Y26" s="127">
        <f t="shared" si="1"/>
        <v>0.71956214689265541</v>
      </c>
    </row>
    <row r="27" spans="1:25">
      <c r="A27" s="2" t="s">
        <v>49</v>
      </c>
      <c r="B27" s="3" t="s">
        <v>43</v>
      </c>
      <c r="C27" s="57">
        <f t="shared" si="9"/>
        <v>2809.6</v>
      </c>
      <c r="D27" s="54">
        <f>((C27-G27)/600)</f>
        <v>4.6826666666666661</v>
      </c>
      <c r="E27" s="3">
        <v>3512</v>
      </c>
      <c r="F27" s="29">
        <v>13647</v>
      </c>
      <c r="G27" s="192">
        <v>0</v>
      </c>
      <c r="H27" s="194">
        <v>0</v>
      </c>
      <c r="I27" s="193">
        <v>0</v>
      </c>
      <c r="J27" s="202">
        <v>0</v>
      </c>
      <c r="K27" s="413">
        <v>4000</v>
      </c>
      <c r="L27" s="414">
        <v>17120</v>
      </c>
      <c r="M27" s="135">
        <f t="shared" si="0"/>
        <v>1.1389521640091116</v>
      </c>
      <c r="N27" s="162">
        <f t="shared" si="0"/>
        <v>1.2544881658972669</v>
      </c>
      <c r="O27" s="3">
        <f t="shared" si="2"/>
        <v>-488</v>
      </c>
      <c r="P27" s="139">
        <f t="shared" si="2"/>
        <v>-3473</v>
      </c>
      <c r="Q27" s="150">
        <f t="shared" si="3"/>
        <v>3.8858200455580865</v>
      </c>
      <c r="R27" s="31">
        <f t="shared" si="4"/>
        <v>4.28</v>
      </c>
      <c r="S27" s="32">
        <f t="shared" si="5"/>
        <v>0</v>
      </c>
      <c r="T27" s="33">
        <f t="shared" si="6"/>
        <v>0</v>
      </c>
      <c r="U27" s="419">
        <v>58640</v>
      </c>
      <c r="V27" s="77">
        <f t="shared" si="7"/>
        <v>14.66</v>
      </c>
      <c r="W27" s="80">
        <v>13.7</v>
      </c>
      <c r="X27" s="85">
        <f t="shared" si="8"/>
        <v>1.07007299270073</v>
      </c>
      <c r="Y27" s="127">
        <f t="shared" si="1"/>
        <v>0.64673942701227827</v>
      </c>
    </row>
    <row r="28" spans="1:25" ht="13.5" thickBot="1">
      <c r="A28" s="2" t="s">
        <v>50</v>
      </c>
      <c r="B28" s="3" t="s">
        <v>43</v>
      </c>
      <c r="C28" s="57">
        <f t="shared" si="9"/>
        <v>0</v>
      </c>
      <c r="D28" s="54">
        <f>((C28-G28)/600)</f>
        <v>0</v>
      </c>
      <c r="E28" s="3">
        <v>0</v>
      </c>
      <c r="F28" s="29">
        <v>0</v>
      </c>
      <c r="G28" s="192">
        <v>0</v>
      </c>
      <c r="H28" s="194">
        <v>0</v>
      </c>
      <c r="I28" s="193">
        <v>0</v>
      </c>
      <c r="J28" s="202">
        <v>0</v>
      </c>
      <c r="K28" s="413">
        <f>(I28+G28)</f>
        <v>0</v>
      </c>
      <c r="L28" s="416">
        <f>(J28+H28)</f>
        <v>0</v>
      </c>
      <c r="M28" s="136" t="e">
        <f t="shared" si="0"/>
        <v>#DIV/0!</v>
      </c>
      <c r="N28" s="163" t="e">
        <f t="shared" si="0"/>
        <v>#DIV/0!</v>
      </c>
      <c r="O28" s="3">
        <f t="shared" si="2"/>
        <v>0</v>
      </c>
      <c r="P28" s="148">
        <f t="shared" si="2"/>
        <v>0</v>
      </c>
      <c r="Q28" s="150" t="e">
        <f t="shared" si="3"/>
        <v>#DIV/0!</v>
      </c>
      <c r="R28" s="152" t="e">
        <f t="shared" si="4"/>
        <v>#DIV/0!</v>
      </c>
      <c r="S28" s="32" t="e">
        <f t="shared" si="5"/>
        <v>#DIV/0!</v>
      </c>
      <c r="T28" s="33" t="e">
        <f t="shared" si="6"/>
        <v>#DIV/0!</v>
      </c>
      <c r="U28" s="419">
        <v>0</v>
      </c>
      <c r="V28" s="76" t="e">
        <f t="shared" si="7"/>
        <v>#DIV/0!</v>
      </c>
      <c r="W28" s="80"/>
      <c r="X28" s="85" t="e">
        <f t="shared" si="8"/>
        <v>#DIV/0!</v>
      </c>
      <c r="Y28" s="127" t="e">
        <f t="shared" si="1"/>
        <v>#DIV/0!</v>
      </c>
    </row>
    <row r="29" spans="1:25" ht="13.5" thickBot="1">
      <c r="A29" s="5" t="s">
        <v>29</v>
      </c>
      <c r="B29" s="34"/>
      <c r="C29" s="58">
        <f t="shared" si="9"/>
        <v>15780.8</v>
      </c>
      <c r="D29" s="59">
        <f>((C29-G29)/600)</f>
        <v>26.301333333333332</v>
      </c>
      <c r="E29" s="34">
        <f t="shared" ref="E29:J29" si="16">SUM(E25:E28)</f>
        <v>19726</v>
      </c>
      <c r="F29" s="5">
        <f t="shared" si="16"/>
        <v>67449</v>
      </c>
      <c r="G29" s="195">
        <f t="shared" si="16"/>
        <v>0</v>
      </c>
      <c r="H29" s="195">
        <f t="shared" si="16"/>
        <v>0</v>
      </c>
      <c r="I29" s="195">
        <f t="shared" si="16"/>
        <v>0</v>
      </c>
      <c r="J29" s="195">
        <f t="shared" si="16"/>
        <v>0</v>
      </c>
      <c r="K29" s="47">
        <f>SUM(K25:K28)</f>
        <v>18200</v>
      </c>
      <c r="L29" s="47">
        <f>SUM(L25:L28)</f>
        <v>69625</v>
      </c>
      <c r="M29" s="133">
        <f t="shared" si="0"/>
        <v>0.92264017033356993</v>
      </c>
      <c r="N29" s="133">
        <f t="shared" si="0"/>
        <v>1.0322614123263503</v>
      </c>
      <c r="O29" s="47">
        <f t="shared" si="2"/>
        <v>1526</v>
      </c>
      <c r="P29" s="47">
        <f t="shared" si="2"/>
        <v>-2176</v>
      </c>
      <c r="Q29" s="60">
        <f t="shared" si="3"/>
        <v>3.4192943323532394</v>
      </c>
      <c r="R29" s="61">
        <f t="shared" si="4"/>
        <v>3.8255494505494507</v>
      </c>
      <c r="S29" s="62">
        <f t="shared" si="5"/>
        <v>0</v>
      </c>
      <c r="T29" s="62">
        <f t="shared" si="6"/>
        <v>0</v>
      </c>
      <c r="U29" s="200">
        <f>SUM(U25:U28)</f>
        <v>264460</v>
      </c>
      <c r="V29" s="79">
        <f t="shared" si="7"/>
        <v>14.530769230769231</v>
      </c>
      <c r="W29" s="74">
        <v>13.85</v>
      </c>
      <c r="X29" s="60">
        <f t="shared" si="8"/>
        <v>1.04915301305193</v>
      </c>
      <c r="Y29" s="127">
        <f t="shared" si="1"/>
        <v>0.68144048249262645</v>
      </c>
    </row>
    <row r="30" spans="1:25" ht="14.25" thickBot="1">
      <c r="A30" s="36" t="s">
        <v>2</v>
      </c>
      <c r="B30" s="37"/>
      <c r="C30" s="58">
        <f t="shared" si="9"/>
        <v>283683.20000000001</v>
      </c>
      <c r="D30" s="59">
        <f t="shared" ref="D30:J30" si="17">(D10+D12+D19+D24+D29)</f>
        <v>305.52222222222218</v>
      </c>
      <c r="E30" s="36">
        <f t="shared" si="17"/>
        <v>354604</v>
      </c>
      <c r="F30" s="36">
        <f t="shared" si="17"/>
        <v>2603821</v>
      </c>
      <c r="G30" s="204">
        <f t="shared" si="17"/>
        <v>0</v>
      </c>
      <c r="H30" s="204">
        <f t="shared" si="17"/>
        <v>0</v>
      </c>
      <c r="I30" s="204">
        <f t="shared" si="17"/>
        <v>0</v>
      </c>
      <c r="J30" s="204">
        <f t="shared" si="17"/>
        <v>0</v>
      </c>
      <c r="K30" s="47">
        <f>K10+K12+K19+K22+K24+K29</f>
        <v>290349</v>
      </c>
      <c r="L30" s="47">
        <f>L10+L12+L19+L22+L24+L29</f>
        <v>2312484</v>
      </c>
      <c r="M30" s="48">
        <f t="shared" si="0"/>
        <v>0.81879787030039142</v>
      </c>
      <c r="N30" s="48">
        <f t="shared" si="0"/>
        <v>0.88811174039997376</v>
      </c>
      <c r="O30" s="47">
        <f>(E30-K30)</f>
        <v>64255</v>
      </c>
      <c r="P30" s="47">
        <f>(F30-L30)</f>
        <v>291337</v>
      </c>
      <c r="Q30" s="60">
        <f t="shared" si="3"/>
        <v>7.3428979932544474</v>
      </c>
      <c r="R30" s="61">
        <f t="shared" si="4"/>
        <v>7.9644978973580072</v>
      </c>
      <c r="S30" s="62">
        <f t="shared" si="5"/>
        <v>0</v>
      </c>
      <c r="T30" s="62">
        <f t="shared" si="6"/>
        <v>0</v>
      </c>
      <c r="U30" s="198">
        <f>U10+U12+U19+U22+U24+U29</f>
        <v>8300763</v>
      </c>
      <c r="V30" s="78">
        <f t="shared" si="7"/>
        <v>28.588915408697808</v>
      </c>
      <c r="W30" s="74">
        <v>29.2</v>
      </c>
      <c r="X30" s="60">
        <f t="shared" si="8"/>
        <v>0.9790724455033496</v>
      </c>
      <c r="Y30" s="127">
        <f t="shared" si="1"/>
        <v>0.66290982648221619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63"/>
      <c r="G34" s="66"/>
      <c r="H34" s="68"/>
      <c r="I34" s="66"/>
      <c r="J34" s="88"/>
    </row>
    <row r="35" spans="2:10">
      <c r="B35" s="2"/>
      <c r="C35" s="3"/>
      <c r="D35" s="3"/>
      <c r="E35" s="64" t="s">
        <v>37</v>
      </c>
      <c r="F35" s="64"/>
      <c r="G35" s="67"/>
      <c r="H35" s="69"/>
      <c r="I35" s="67"/>
      <c r="J35" s="89"/>
    </row>
    <row r="36" spans="2:10" ht="13.5" thickBot="1">
      <c r="B36" s="4"/>
      <c r="C36" s="51"/>
      <c r="D36" s="51"/>
      <c r="E36" s="65" t="s">
        <v>4</v>
      </c>
      <c r="F36" s="65" t="s">
        <v>38</v>
      </c>
      <c r="G36" s="51" t="s">
        <v>39</v>
      </c>
      <c r="H36" s="65" t="s">
        <v>40</v>
      </c>
      <c r="I36" s="51" t="s">
        <v>41</v>
      </c>
      <c r="J36" s="90" t="s">
        <v>42</v>
      </c>
    </row>
    <row r="37" spans="2:10">
      <c r="B37" s="2" t="s">
        <v>31</v>
      </c>
      <c r="C37" s="3"/>
      <c r="D37" s="3"/>
      <c r="E37" s="64">
        <f>E19</f>
        <v>239528</v>
      </c>
      <c r="F37" s="64">
        <f>G19</f>
        <v>0</v>
      </c>
      <c r="G37" s="3">
        <f>I19</f>
        <v>0</v>
      </c>
      <c r="H37" s="64">
        <f>K19</f>
        <v>196191</v>
      </c>
      <c r="I37" s="86">
        <f>E37/E38</f>
        <v>2.8852538003806405</v>
      </c>
      <c r="J37" s="91">
        <f>IF(H38=0,0,H37/H38)</f>
        <v>2.9610160282531921</v>
      </c>
    </row>
    <row r="38" spans="2:10" ht="13.5" thickBot="1">
      <c r="B38" s="4" t="s">
        <v>30</v>
      </c>
      <c r="C38" s="51"/>
      <c r="D38" s="51"/>
      <c r="E38" s="65">
        <f>E10</f>
        <v>83018</v>
      </c>
      <c r="F38" s="65">
        <f>G10</f>
        <v>0</v>
      </c>
      <c r="G38" s="51">
        <f>I10</f>
        <v>0</v>
      </c>
      <c r="H38" s="65">
        <f>K10</f>
        <v>66258</v>
      </c>
      <c r="I38" s="87">
        <f>E38/E38</f>
        <v>1</v>
      </c>
      <c r="J38" s="92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Blad4"/>
  <dimension ref="A1:Z38"/>
  <sheetViews>
    <sheetView zoomScale="85" workbookViewId="0">
      <selection activeCell="L23" sqref="L23"/>
    </sheetView>
  </sheetViews>
  <sheetFormatPr baseColWidth="10" defaultColWidth="9.140625" defaultRowHeight="12.75"/>
  <cols>
    <col min="1" max="1" width="5" customWidth="1"/>
    <col min="2" max="2" width="8.140625" customWidth="1"/>
    <col min="3" max="3" width="9.28515625" customWidth="1"/>
    <col min="4" max="4" width="11.7109375" customWidth="1"/>
    <col min="5" max="5" width="9.28515625" customWidth="1"/>
    <col min="6" max="6" width="10" customWidth="1"/>
    <col min="7" max="7" width="9.28515625" style="111" customWidth="1"/>
    <col min="8" max="8" width="7.42578125" style="111" customWidth="1"/>
    <col min="9" max="9" width="7.5703125" customWidth="1"/>
    <col min="10" max="10" width="8.140625" customWidth="1"/>
    <col min="11" max="11" width="10.42578125" customWidth="1"/>
    <col min="12" max="12" width="9.5703125" customWidth="1"/>
    <col min="13" max="13" width="9.85546875" customWidth="1"/>
    <col min="14" max="14" width="10.7109375" customWidth="1"/>
    <col min="15" max="15" width="10.85546875" customWidth="1"/>
    <col min="16" max="16" width="10.7109375" customWidth="1"/>
    <col min="18" max="18" width="10" customWidth="1"/>
    <col min="21" max="21" width="9.42578125" style="111" customWidth="1"/>
    <col min="22" max="22" width="9.28515625" style="111" customWidth="1"/>
    <col min="24" max="24" width="9" customWidth="1"/>
    <col min="25" max="25" width="8.42578125" customWidth="1"/>
    <col min="26" max="26" width="10.7109375" bestFit="1" customWidth="1"/>
  </cols>
  <sheetData>
    <row r="1" spans="1:26" ht="15.75">
      <c r="A1" s="49"/>
    </row>
    <row r="2" spans="1:26" ht="18">
      <c r="I2" s="128"/>
    </row>
    <row r="3" spans="1:26" ht="22.5">
      <c r="A3" s="273" t="s">
        <v>80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40560.950314814814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5" t="s">
        <v>57</v>
      </c>
      <c r="H4" s="215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5" t="s">
        <v>57</v>
      </c>
      <c r="V4" s="216" t="s">
        <v>57</v>
      </c>
      <c r="W4" s="44" t="s">
        <v>54</v>
      </c>
      <c r="X4" s="44"/>
      <c r="Y4" s="214" t="s">
        <v>57</v>
      </c>
    </row>
    <row r="5" spans="1:26">
      <c r="A5" s="13"/>
      <c r="B5" s="14"/>
      <c r="C5" s="55">
        <v>0.8</v>
      </c>
      <c r="D5" s="52" t="s">
        <v>45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201" t="s">
        <v>32</v>
      </c>
      <c r="V5" s="165" t="s">
        <v>57</v>
      </c>
      <c r="W5" s="81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8" t="s">
        <v>14</v>
      </c>
      <c r="U6" s="205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1</v>
      </c>
      <c r="C7" s="57">
        <f t="shared" ref="C7:C30" si="0">((E7*80)/100)</f>
        <v>9662.4</v>
      </c>
      <c r="D7" s="54">
        <f>((C7-G7)/2000)</f>
        <v>4.8311999999999999</v>
      </c>
      <c r="E7" s="3">
        <v>12078</v>
      </c>
      <c r="F7" s="29">
        <v>99978</v>
      </c>
      <c r="G7" s="192">
        <v>0</v>
      </c>
      <c r="H7" s="194">
        <v>0</v>
      </c>
      <c r="I7" s="193">
        <v>0</v>
      </c>
      <c r="J7" s="202">
        <v>0</v>
      </c>
      <c r="K7" s="413">
        <v>7901</v>
      </c>
      <c r="L7" s="413">
        <v>81506</v>
      </c>
      <c r="M7" s="30">
        <f t="shared" ref="M7:N30" si="1">(K7/E7)</f>
        <v>0.65416459678754757</v>
      </c>
      <c r="N7" s="143">
        <f t="shared" si="1"/>
        <v>0.81523935265758463</v>
      </c>
      <c r="O7" s="2">
        <f>(E7-K7)</f>
        <v>4177</v>
      </c>
      <c r="P7" s="147">
        <f>(F7-L7)</f>
        <v>18472</v>
      </c>
      <c r="Q7" s="150">
        <f>(F7/E7)</f>
        <v>8.2776949826130153</v>
      </c>
      <c r="R7" s="31">
        <f>(L7/K7)</f>
        <v>10.315909378559676</v>
      </c>
      <c r="S7" s="32">
        <f>(I7/E7)</f>
        <v>0</v>
      </c>
      <c r="T7" s="33">
        <f>(J7/F7)</f>
        <v>0</v>
      </c>
      <c r="U7" s="419">
        <v>284080</v>
      </c>
      <c r="V7" s="77">
        <f>(U7/K7)</f>
        <v>35.954942412352864</v>
      </c>
      <c r="W7" s="80">
        <v>30.79</v>
      </c>
      <c r="X7" s="85">
        <f>(V7/W7)</f>
        <v>1.1677473989072058</v>
      </c>
      <c r="Y7" s="207">
        <f t="shared" ref="Y7:Y30" si="2">((U7/1.21)-L7)/(U7/1.21)</f>
        <v>0.65283631371444661</v>
      </c>
    </row>
    <row r="8" spans="1:26">
      <c r="A8" s="2" t="s">
        <v>35</v>
      </c>
      <c r="B8" s="3" t="s">
        <v>1</v>
      </c>
      <c r="C8" s="57">
        <f t="shared" si="0"/>
        <v>81724.800000000003</v>
      </c>
      <c r="D8" s="54">
        <f>((C8-G8)/2000)</f>
        <v>40.862400000000001</v>
      </c>
      <c r="E8" s="3">
        <v>102156</v>
      </c>
      <c r="F8" s="29">
        <v>879028</v>
      </c>
      <c r="G8" s="192">
        <v>0</v>
      </c>
      <c r="H8" s="194">
        <v>0</v>
      </c>
      <c r="I8" s="193">
        <v>0</v>
      </c>
      <c r="J8" s="202">
        <v>0</v>
      </c>
      <c r="K8" s="413">
        <v>87231</v>
      </c>
      <c r="L8" s="413">
        <v>839591</v>
      </c>
      <c r="M8" s="30">
        <f>(K8/E8)</f>
        <v>0.85389991777281804</v>
      </c>
      <c r="N8" s="144">
        <f>(L8/F8)</f>
        <v>0.95513567258380849</v>
      </c>
      <c r="O8" s="2">
        <f t="shared" ref="O8:P30" si="3">(E8-K8)</f>
        <v>14925</v>
      </c>
      <c r="P8" s="139">
        <f t="shared" si="3"/>
        <v>39437</v>
      </c>
      <c r="Q8" s="150">
        <f t="shared" ref="Q8:Q29" si="4">(F8/E8)</f>
        <v>8.6047613453933192</v>
      </c>
      <c r="R8" s="31">
        <f t="shared" ref="R8:R30" si="5">(L8/K8)</f>
        <v>9.6249154543682867</v>
      </c>
      <c r="S8" s="32">
        <f t="shared" ref="S8:S30" si="6">(I8/E8)</f>
        <v>0</v>
      </c>
      <c r="T8" s="33">
        <f t="shared" ref="T8:T30" si="7">(J8/F8)</f>
        <v>0</v>
      </c>
      <c r="U8" s="419">
        <v>2771982</v>
      </c>
      <c r="V8" s="77">
        <f t="shared" ref="V8:V30" si="8">(U8/K8)</f>
        <v>31.777487361144548</v>
      </c>
      <c r="W8" s="80">
        <v>31.91</v>
      </c>
      <c r="X8" s="85">
        <f t="shared" ref="X8:X30" si="9">(V8/W8)</f>
        <v>0.99584730056861637</v>
      </c>
      <c r="Y8" s="127">
        <f t="shared" si="2"/>
        <v>0.63350948527082784</v>
      </c>
    </row>
    <row r="9" spans="1:26" ht="13.5" thickBot="1">
      <c r="A9" s="2" t="s">
        <v>17</v>
      </c>
      <c r="B9" s="3" t="s">
        <v>1</v>
      </c>
      <c r="C9" s="57">
        <f t="shared" si="0"/>
        <v>37851.199999999997</v>
      </c>
      <c r="D9" s="54">
        <f>((C9-G9)/1200)</f>
        <v>31.542666666666666</v>
      </c>
      <c r="E9" s="3">
        <v>47314</v>
      </c>
      <c r="F9" s="29">
        <v>403297</v>
      </c>
      <c r="G9" s="192">
        <v>0</v>
      </c>
      <c r="H9" s="194">
        <v>0</v>
      </c>
      <c r="I9" s="193">
        <v>0</v>
      </c>
      <c r="J9" s="202">
        <v>0</v>
      </c>
      <c r="K9" s="413">
        <v>40253</v>
      </c>
      <c r="L9" s="413">
        <v>432524</v>
      </c>
      <c r="M9" s="30">
        <f>(K9/E9)</f>
        <v>0.85076298769920111</v>
      </c>
      <c r="N9" s="144">
        <f>(L9/F9)</f>
        <v>1.0724701646677262</v>
      </c>
      <c r="O9" s="2">
        <f t="shared" si="3"/>
        <v>7061</v>
      </c>
      <c r="P9" s="139">
        <f t="shared" si="3"/>
        <v>-29227</v>
      </c>
      <c r="Q9" s="150">
        <f t="shared" si="4"/>
        <v>8.5238407236758675</v>
      </c>
      <c r="R9" s="31">
        <f t="shared" si="5"/>
        <v>10.745137008421732</v>
      </c>
      <c r="S9" s="32">
        <f t="shared" si="6"/>
        <v>0</v>
      </c>
      <c r="T9" s="33">
        <f t="shared" si="7"/>
        <v>0</v>
      </c>
      <c r="U9" s="419">
        <v>1441260</v>
      </c>
      <c r="V9" s="77">
        <f t="shared" si="8"/>
        <v>35.805033165229922</v>
      </c>
      <c r="W9" s="80">
        <v>29.31</v>
      </c>
      <c r="X9" s="85">
        <f t="shared" si="9"/>
        <v>1.2215978562002703</v>
      </c>
      <c r="Y9" s="127">
        <f t="shared" si="2"/>
        <v>0.63687742669608538</v>
      </c>
    </row>
    <row r="10" spans="1:26" ht="13.5" thickBot="1">
      <c r="A10" s="5" t="s">
        <v>18</v>
      </c>
      <c r="B10" s="34"/>
      <c r="C10" s="58">
        <f t="shared" si="0"/>
        <v>129238.39999999999</v>
      </c>
      <c r="D10" s="59">
        <f>((C10-G10)/1200)</f>
        <v>107.69866666666667</v>
      </c>
      <c r="E10" s="34">
        <f t="shared" ref="E10:J10" si="10">SUM(E7:E9)</f>
        <v>161548</v>
      </c>
      <c r="F10" s="35">
        <f t="shared" si="10"/>
        <v>1382303</v>
      </c>
      <c r="G10" s="195">
        <f t="shared" si="10"/>
        <v>0</v>
      </c>
      <c r="H10" s="196">
        <f t="shared" si="10"/>
        <v>0</v>
      </c>
      <c r="I10" s="196">
        <f t="shared" si="10"/>
        <v>0</v>
      </c>
      <c r="J10" s="196">
        <f t="shared" si="10"/>
        <v>0</v>
      </c>
      <c r="K10" s="5">
        <f>SUM(K7:K9)</f>
        <v>135385</v>
      </c>
      <c r="L10" s="5">
        <f>SUM(L7:L9)</f>
        <v>1353621</v>
      </c>
      <c r="M10" s="155">
        <f t="shared" si="1"/>
        <v>0.83804813430064129</v>
      </c>
      <c r="N10" s="145">
        <f t="shared" si="1"/>
        <v>0.97925056952057543</v>
      </c>
      <c r="O10" s="5">
        <f t="shared" si="3"/>
        <v>26163</v>
      </c>
      <c r="P10" s="35">
        <f t="shared" si="3"/>
        <v>28682</v>
      </c>
      <c r="Q10" s="61">
        <f t="shared" si="4"/>
        <v>8.5566085621610917</v>
      </c>
      <c r="R10" s="151">
        <f t="shared" si="5"/>
        <v>9.9983085275325916</v>
      </c>
      <c r="S10" s="62">
        <f t="shared" si="6"/>
        <v>0</v>
      </c>
      <c r="T10" s="62">
        <f t="shared" si="7"/>
        <v>0</v>
      </c>
      <c r="U10" s="200">
        <f>SUM(U7:U9)</f>
        <v>4497322</v>
      </c>
      <c r="V10" s="153">
        <f t="shared" si="8"/>
        <v>33.218761310337186</v>
      </c>
      <c r="W10" s="74">
        <v>31.05</v>
      </c>
      <c r="X10" s="60">
        <f t="shared" si="9"/>
        <v>1.0698473851960446</v>
      </c>
      <c r="Y10" s="127">
        <f t="shared" si="2"/>
        <v>0.63580961959139237</v>
      </c>
    </row>
    <row r="11" spans="1:26" ht="13.5" thickBot="1">
      <c r="A11" s="2" t="s">
        <v>19</v>
      </c>
      <c r="B11" s="3" t="s">
        <v>1</v>
      </c>
      <c r="C11" s="57">
        <f t="shared" si="0"/>
        <v>4860</v>
      </c>
      <c r="D11" s="54">
        <f>((C11-G11)/900)</f>
        <v>5.4</v>
      </c>
      <c r="E11" s="3">
        <v>6075</v>
      </c>
      <c r="F11" s="29">
        <v>120307</v>
      </c>
      <c r="G11" s="192">
        <v>0</v>
      </c>
      <c r="H11" s="194">
        <v>0</v>
      </c>
      <c r="I11" s="193">
        <v>0</v>
      </c>
      <c r="J11" s="202">
        <v>0</v>
      </c>
      <c r="K11" s="413">
        <v>6600</v>
      </c>
      <c r="L11" s="413">
        <v>159040</v>
      </c>
      <c r="M11" s="30">
        <f t="shared" si="1"/>
        <v>1.0864197530864197</v>
      </c>
      <c r="N11" s="144">
        <f t="shared" si="1"/>
        <v>1.321951341152219</v>
      </c>
      <c r="O11" s="2">
        <f t="shared" si="3"/>
        <v>-525</v>
      </c>
      <c r="P11" s="139">
        <f t="shared" si="3"/>
        <v>-38733</v>
      </c>
      <c r="Q11" s="150">
        <f t="shared" si="4"/>
        <v>19.803621399176954</v>
      </c>
      <c r="R11" s="31">
        <f t="shared" si="5"/>
        <v>24.096969696969698</v>
      </c>
      <c r="S11" s="32">
        <f t="shared" si="6"/>
        <v>0</v>
      </c>
      <c r="T11" s="33">
        <f t="shared" si="7"/>
        <v>0</v>
      </c>
      <c r="U11" s="419">
        <v>544440</v>
      </c>
      <c r="V11" s="77">
        <f t="shared" si="8"/>
        <v>82.490909090909085</v>
      </c>
      <c r="W11" s="80">
        <v>69.319999999999993</v>
      </c>
      <c r="X11" s="85">
        <f t="shared" si="9"/>
        <v>1.1900015737292138</v>
      </c>
      <c r="Y11" s="127">
        <f t="shared" si="2"/>
        <v>0.64653882888839909</v>
      </c>
    </row>
    <row r="12" spans="1:26" ht="13.5" thickBot="1">
      <c r="A12" s="5" t="s">
        <v>20</v>
      </c>
      <c r="B12" s="34"/>
      <c r="C12" s="58">
        <f t="shared" si="0"/>
        <v>4860</v>
      </c>
      <c r="D12" s="59">
        <f>((C12-G12)/900)</f>
        <v>5.4</v>
      </c>
      <c r="E12" s="34">
        <f t="shared" ref="E12:J12" si="11">SUM(E11)</f>
        <v>6075</v>
      </c>
      <c r="F12" s="35">
        <f t="shared" si="11"/>
        <v>120307</v>
      </c>
      <c r="G12" s="195">
        <f t="shared" si="11"/>
        <v>0</v>
      </c>
      <c r="H12" s="196">
        <f t="shared" si="11"/>
        <v>0</v>
      </c>
      <c r="I12" s="196">
        <f t="shared" si="11"/>
        <v>0</v>
      </c>
      <c r="J12" s="196">
        <f t="shared" si="11"/>
        <v>0</v>
      </c>
      <c r="K12" s="5">
        <f>SUM(K11)</f>
        <v>6600</v>
      </c>
      <c r="L12" s="5">
        <f>SUM(L11)</f>
        <v>159040</v>
      </c>
      <c r="M12" s="155">
        <f t="shared" si="1"/>
        <v>1.0864197530864197</v>
      </c>
      <c r="N12" s="145">
        <f t="shared" si="1"/>
        <v>1.321951341152219</v>
      </c>
      <c r="O12" s="5">
        <f t="shared" si="3"/>
        <v>-525</v>
      </c>
      <c r="P12" s="35">
        <f t="shared" si="3"/>
        <v>-38733</v>
      </c>
      <c r="Q12" s="61">
        <f t="shared" si="4"/>
        <v>19.803621399176954</v>
      </c>
      <c r="R12" s="151">
        <f t="shared" si="5"/>
        <v>24.096969696969698</v>
      </c>
      <c r="S12" s="62">
        <f t="shared" si="6"/>
        <v>0</v>
      </c>
      <c r="T12" s="62">
        <f t="shared" si="7"/>
        <v>0</v>
      </c>
      <c r="U12" s="200">
        <f>SUM(U11)</f>
        <v>544440</v>
      </c>
      <c r="V12" s="153">
        <f t="shared" si="8"/>
        <v>82.490909090909085</v>
      </c>
      <c r="W12" s="74">
        <v>69.319999999999993</v>
      </c>
      <c r="X12" s="60">
        <f t="shared" si="9"/>
        <v>1.1900015737292138</v>
      </c>
      <c r="Y12" s="127">
        <f t="shared" si="2"/>
        <v>0.64653882888839909</v>
      </c>
    </row>
    <row r="13" spans="1:26">
      <c r="A13" s="2" t="s">
        <v>21</v>
      </c>
      <c r="B13" s="3" t="s">
        <v>1</v>
      </c>
      <c r="C13" s="57">
        <f t="shared" si="0"/>
        <v>112729.60000000001</v>
      </c>
      <c r="D13" s="54">
        <f t="shared" ref="D13:D21" si="12">((C13-G13)/1200)</f>
        <v>93.941333333333333</v>
      </c>
      <c r="E13" s="3">
        <v>140912</v>
      </c>
      <c r="F13" s="29">
        <v>439244</v>
      </c>
      <c r="G13" s="192">
        <v>0</v>
      </c>
      <c r="H13" s="194">
        <v>0</v>
      </c>
      <c r="I13" s="193">
        <v>0</v>
      </c>
      <c r="J13" s="202">
        <v>0</v>
      </c>
      <c r="K13" s="413">
        <v>69070</v>
      </c>
      <c r="L13" s="413">
        <v>191772</v>
      </c>
      <c r="M13" s="30">
        <f t="shared" si="1"/>
        <v>0.49016407403202</v>
      </c>
      <c r="N13" s="144">
        <f t="shared" si="1"/>
        <v>0.4365956051761663</v>
      </c>
      <c r="O13" s="2">
        <f t="shared" si="3"/>
        <v>71842</v>
      </c>
      <c r="P13" s="139">
        <f t="shared" si="3"/>
        <v>247472</v>
      </c>
      <c r="Q13" s="150">
        <f t="shared" si="4"/>
        <v>3.1171511297831271</v>
      </c>
      <c r="R13" s="31">
        <f t="shared" si="5"/>
        <v>2.7764876212538003</v>
      </c>
      <c r="S13" s="32">
        <f t="shared" si="6"/>
        <v>0</v>
      </c>
      <c r="T13" s="33">
        <f t="shared" si="7"/>
        <v>0</v>
      </c>
      <c r="U13" s="419">
        <v>644646</v>
      </c>
      <c r="V13" s="77">
        <f t="shared" si="8"/>
        <v>9.33322716085131</v>
      </c>
      <c r="W13" s="80">
        <v>12</v>
      </c>
      <c r="X13" s="85">
        <f t="shared" si="9"/>
        <v>0.7777689300709425</v>
      </c>
      <c r="Y13" s="127">
        <f t="shared" si="2"/>
        <v>0.64004411723643673</v>
      </c>
    </row>
    <row r="14" spans="1:26">
      <c r="A14" s="2" t="s">
        <v>22</v>
      </c>
      <c r="B14" s="3" t="s">
        <v>1</v>
      </c>
      <c r="C14" s="57">
        <f t="shared" si="0"/>
        <v>52050.400000000001</v>
      </c>
      <c r="D14" s="54">
        <f t="shared" si="12"/>
        <v>43.375333333333337</v>
      </c>
      <c r="E14" s="3">
        <v>65063</v>
      </c>
      <c r="F14" s="29">
        <v>443039</v>
      </c>
      <c r="G14" s="192">
        <v>0</v>
      </c>
      <c r="H14" s="194">
        <v>0</v>
      </c>
      <c r="I14" s="193">
        <v>0</v>
      </c>
      <c r="J14" s="202">
        <v>0</v>
      </c>
      <c r="K14" s="413">
        <v>49118</v>
      </c>
      <c r="L14" s="413">
        <v>413954</v>
      </c>
      <c r="M14" s="30">
        <f t="shared" ref="M14:N21" si="13">(K14/E14)</f>
        <v>0.75492983723468021</v>
      </c>
      <c r="N14" s="144">
        <f t="shared" si="13"/>
        <v>0.93435115193019125</v>
      </c>
      <c r="O14" s="2">
        <f t="shared" si="3"/>
        <v>15945</v>
      </c>
      <c r="P14" s="139">
        <f t="shared" si="3"/>
        <v>29085</v>
      </c>
      <c r="Q14" s="150">
        <f t="shared" si="4"/>
        <v>6.8093847501652247</v>
      </c>
      <c r="R14" s="31">
        <f t="shared" si="5"/>
        <v>8.4277454293741609</v>
      </c>
      <c r="S14" s="32">
        <f t="shared" si="6"/>
        <v>0</v>
      </c>
      <c r="T14" s="33">
        <f t="shared" si="7"/>
        <v>0</v>
      </c>
      <c r="U14" s="419">
        <v>1474668</v>
      </c>
      <c r="V14" s="77">
        <f t="shared" si="8"/>
        <v>30.022965104442363</v>
      </c>
      <c r="W14" s="80">
        <v>24.48</v>
      </c>
      <c r="X14" s="85">
        <f t="shared" si="9"/>
        <v>1.2264283130899658</v>
      </c>
      <c r="Y14" s="127">
        <f t="shared" si="2"/>
        <v>0.66034094453802483</v>
      </c>
    </row>
    <row r="15" spans="1:26">
      <c r="A15" s="2" t="s">
        <v>56</v>
      </c>
      <c r="B15" s="3" t="s">
        <v>1</v>
      </c>
      <c r="C15" s="57">
        <f t="shared" si="0"/>
        <v>0</v>
      </c>
      <c r="D15" s="54">
        <f t="shared" si="12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413">
        <v>35960</v>
      </c>
      <c r="L15" s="413">
        <v>216574</v>
      </c>
      <c r="M15" s="30" t="e">
        <f t="shared" si="13"/>
        <v>#DIV/0!</v>
      </c>
      <c r="N15" s="144" t="e">
        <f t="shared" si="13"/>
        <v>#DIV/0!</v>
      </c>
      <c r="O15" s="2">
        <f t="shared" si="3"/>
        <v>-35960</v>
      </c>
      <c r="P15" s="139">
        <f t="shared" si="3"/>
        <v>-216574</v>
      </c>
      <c r="Q15" s="150" t="e">
        <f t="shared" si="4"/>
        <v>#DIV/0!</v>
      </c>
      <c r="R15" s="31">
        <f t="shared" si="5"/>
        <v>6.0226362625139043</v>
      </c>
      <c r="S15" s="32" t="e">
        <f t="shared" si="6"/>
        <v>#DIV/0!</v>
      </c>
      <c r="T15" s="33" t="e">
        <f t="shared" si="7"/>
        <v>#DIV/0!</v>
      </c>
      <c r="U15" s="419">
        <v>769924</v>
      </c>
      <c r="V15" s="77">
        <f t="shared" si="8"/>
        <v>21.410567296996664</v>
      </c>
      <c r="W15" s="80"/>
      <c r="X15" s="85" t="e">
        <f t="shared" si="9"/>
        <v>#DIV/0!</v>
      </c>
      <c r="Y15" s="127">
        <f t="shared" si="2"/>
        <v>0.6596358341862314</v>
      </c>
    </row>
    <row r="16" spans="1:26">
      <c r="A16" s="2" t="s">
        <v>23</v>
      </c>
      <c r="B16" s="3" t="s">
        <v>1</v>
      </c>
      <c r="C16" s="57">
        <f t="shared" si="0"/>
        <v>16441.599999999999</v>
      </c>
      <c r="D16" s="54">
        <f t="shared" si="12"/>
        <v>13.701333333333332</v>
      </c>
      <c r="E16" s="3">
        <v>20552</v>
      </c>
      <c r="F16" s="29">
        <v>151315</v>
      </c>
      <c r="G16" s="192">
        <v>0</v>
      </c>
      <c r="H16" s="194">
        <v>0</v>
      </c>
      <c r="I16" s="193">
        <v>0</v>
      </c>
      <c r="J16" s="202">
        <v>0</v>
      </c>
      <c r="K16" s="413">
        <v>13513</v>
      </c>
      <c r="L16" s="413">
        <v>126560</v>
      </c>
      <c r="M16" s="30">
        <f t="shared" si="13"/>
        <v>0.65750291942390038</v>
      </c>
      <c r="N16" s="144">
        <f t="shared" si="13"/>
        <v>0.83640088556983772</v>
      </c>
      <c r="O16" s="2">
        <f t="shared" si="3"/>
        <v>7039</v>
      </c>
      <c r="P16" s="139">
        <f t="shared" si="3"/>
        <v>24755</v>
      </c>
      <c r="Q16" s="150">
        <f t="shared" si="4"/>
        <v>7.3625437913585055</v>
      </c>
      <c r="R16" s="31">
        <f t="shared" si="5"/>
        <v>9.3657959002442102</v>
      </c>
      <c r="S16" s="32">
        <f t="shared" si="6"/>
        <v>0</v>
      </c>
      <c r="T16" s="33">
        <f t="shared" si="7"/>
        <v>0</v>
      </c>
      <c r="U16" s="419">
        <v>476769</v>
      </c>
      <c r="V16" s="77">
        <f t="shared" si="8"/>
        <v>35.282246725375565</v>
      </c>
      <c r="W16" s="80">
        <v>30.02</v>
      </c>
      <c r="X16" s="85">
        <f t="shared" si="9"/>
        <v>1.1752913632703386</v>
      </c>
      <c r="Y16" s="127">
        <f t="shared" si="2"/>
        <v>0.6788012643439485</v>
      </c>
    </row>
    <row r="17" spans="1:25">
      <c r="A17" s="2" t="s">
        <v>24</v>
      </c>
      <c r="B17" s="3" t="s">
        <v>1</v>
      </c>
      <c r="C17" s="57">
        <f t="shared" si="0"/>
        <v>11778.4</v>
      </c>
      <c r="D17" s="54">
        <f t="shared" si="12"/>
        <v>9.8153333333333332</v>
      </c>
      <c r="E17" s="3">
        <v>14723</v>
      </c>
      <c r="F17" s="29">
        <v>146888</v>
      </c>
      <c r="G17" s="192">
        <v>0</v>
      </c>
      <c r="H17" s="194">
        <v>0</v>
      </c>
      <c r="I17" s="193">
        <v>0</v>
      </c>
      <c r="J17" s="202">
        <v>0</v>
      </c>
      <c r="K17" s="413">
        <v>11338</v>
      </c>
      <c r="L17" s="413">
        <v>142046</v>
      </c>
      <c r="M17" s="30">
        <f t="shared" si="13"/>
        <v>0.77008761801263326</v>
      </c>
      <c r="N17" s="144">
        <f t="shared" si="13"/>
        <v>0.96703610914438209</v>
      </c>
      <c r="O17" s="2">
        <f t="shared" si="3"/>
        <v>3385</v>
      </c>
      <c r="P17" s="139">
        <f t="shared" si="3"/>
        <v>4842</v>
      </c>
      <c r="Q17" s="150">
        <f t="shared" si="4"/>
        <v>9.9767710385111723</v>
      </c>
      <c r="R17" s="31">
        <f t="shared" si="5"/>
        <v>12.528311871582289</v>
      </c>
      <c r="S17" s="32">
        <f t="shared" si="6"/>
        <v>0</v>
      </c>
      <c r="T17" s="33">
        <f t="shared" si="7"/>
        <v>0</v>
      </c>
      <c r="U17" s="419">
        <v>479436</v>
      </c>
      <c r="V17" s="77">
        <f t="shared" si="8"/>
        <v>42.285764685129649</v>
      </c>
      <c r="W17" s="80">
        <v>35.07</v>
      </c>
      <c r="X17" s="85">
        <f t="shared" si="9"/>
        <v>1.2057531988916352</v>
      </c>
      <c r="Y17" s="127">
        <f t="shared" si="2"/>
        <v>0.6415044760927423</v>
      </c>
    </row>
    <row r="18" spans="1:25" ht="13.5" thickBot="1">
      <c r="A18" s="2" t="s">
        <v>25</v>
      </c>
      <c r="B18" s="3" t="s">
        <v>1</v>
      </c>
      <c r="C18" s="57">
        <f t="shared" si="0"/>
        <v>4894.3999999999996</v>
      </c>
      <c r="D18" s="54">
        <f t="shared" si="12"/>
        <v>4.078666666666666</v>
      </c>
      <c r="E18" s="3">
        <v>6118</v>
      </c>
      <c r="F18" s="29">
        <v>59071</v>
      </c>
      <c r="G18" s="192">
        <v>0</v>
      </c>
      <c r="H18" s="194">
        <v>0</v>
      </c>
      <c r="I18" s="193">
        <v>0</v>
      </c>
      <c r="J18" s="202">
        <v>0</v>
      </c>
      <c r="K18" s="413">
        <v>2081</v>
      </c>
      <c r="L18" s="413">
        <v>24189</v>
      </c>
      <c r="M18" s="30">
        <f t="shared" si="13"/>
        <v>0.34014383785550834</v>
      </c>
      <c r="N18" s="144">
        <f t="shared" si="13"/>
        <v>0.40949027441553387</v>
      </c>
      <c r="O18" s="2">
        <f t="shared" si="3"/>
        <v>4037</v>
      </c>
      <c r="P18" s="139">
        <f t="shared" si="3"/>
        <v>34882</v>
      </c>
      <c r="Q18" s="150">
        <f t="shared" si="4"/>
        <v>9.6552795031055894</v>
      </c>
      <c r="R18" s="31">
        <f t="shared" si="5"/>
        <v>11.623738587217684</v>
      </c>
      <c r="S18" s="32">
        <f t="shared" si="6"/>
        <v>0</v>
      </c>
      <c r="T18" s="33">
        <f t="shared" si="7"/>
        <v>0</v>
      </c>
      <c r="U18" s="419">
        <v>77822</v>
      </c>
      <c r="V18" s="77">
        <f t="shared" si="8"/>
        <v>37.396444017299373</v>
      </c>
      <c r="W18" s="80">
        <v>33.21</v>
      </c>
      <c r="X18" s="85">
        <f t="shared" si="9"/>
        <v>1.1260597415627633</v>
      </c>
      <c r="Y18" s="127">
        <f t="shared" si="2"/>
        <v>0.62390210994320372</v>
      </c>
    </row>
    <row r="19" spans="1:25" ht="13.5" thickBot="1">
      <c r="A19" s="5" t="s">
        <v>26</v>
      </c>
      <c r="B19" s="34"/>
      <c r="C19" s="58">
        <f t="shared" si="0"/>
        <v>197894.39999999999</v>
      </c>
      <c r="D19" s="59">
        <f t="shared" si="12"/>
        <v>164.91200000000001</v>
      </c>
      <c r="E19" s="34">
        <f t="shared" ref="E19:J19" si="14">SUM(E13:E18)</f>
        <v>247368</v>
      </c>
      <c r="F19" s="35">
        <f t="shared" si="14"/>
        <v>1239557</v>
      </c>
      <c r="G19" s="195">
        <f t="shared" si="14"/>
        <v>0</v>
      </c>
      <c r="H19" s="196">
        <f t="shared" si="14"/>
        <v>0</v>
      </c>
      <c r="I19" s="196">
        <f>SUM(I13:I18)</f>
        <v>0</v>
      </c>
      <c r="J19" s="196">
        <f t="shared" si="14"/>
        <v>0</v>
      </c>
      <c r="K19" s="5">
        <f>SUM(K13:K18)</f>
        <v>181080</v>
      </c>
      <c r="L19" s="5">
        <f>SUM(L13:L18)</f>
        <v>1115095</v>
      </c>
      <c r="M19" s="155">
        <f t="shared" si="1"/>
        <v>0.73202677791791981</v>
      </c>
      <c r="N19" s="145">
        <f t="shared" si="1"/>
        <v>0.89959154762548232</v>
      </c>
      <c r="O19" s="5">
        <f t="shared" si="3"/>
        <v>66288</v>
      </c>
      <c r="P19" s="35">
        <f t="shared" si="3"/>
        <v>124462</v>
      </c>
      <c r="Q19" s="61">
        <f t="shared" si="4"/>
        <v>5.0109836357168271</v>
      </c>
      <c r="R19" s="151">
        <f t="shared" si="5"/>
        <v>6.1580240777556883</v>
      </c>
      <c r="S19" s="62">
        <f t="shared" si="6"/>
        <v>0</v>
      </c>
      <c r="T19" s="62">
        <f t="shared" si="7"/>
        <v>0</v>
      </c>
      <c r="U19" s="200">
        <f>SUM(U13:U18)</f>
        <v>3923265</v>
      </c>
      <c r="V19" s="153">
        <f t="shared" si="8"/>
        <v>21.665921139827699</v>
      </c>
      <c r="W19" s="74">
        <v>19.03</v>
      </c>
      <c r="X19" s="60">
        <f t="shared" si="9"/>
        <v>1.1385139852773356</v>
      </c>
      <c r="Y19" s="127">
        <f t="shared" si="2"/>
        <v>0.65608620625932734</v>
      </c>
    </row>
    <row r="20" spans="1:25">
      <c r="A20" s="2" t="s">
        <v>60</v>
      </c>
      <c r="B20" s="3"/>
      <c r="C20" s="57">
        <f t="shared" si="0"/>
        <v>0</v>
      </c>
      <c r="D20" s="54">
        <f t="shared" si="12"/>
        <v>0</v>
      </c>
      <c r="E20" s="3"/>
      <c r="F20" s="29"/>
      <c r="G20" s="192"/>
      <c r="H20" s="194"/>
      <c r="I20" s="193"/>
      <c r="J20" s="202"/>
      <c r="K20" s="413"/>
      <c r="L20" s="413"/>
      <c r="M20" s="30" t="e">
        <f t="shared" si="13"/>
        <v>#DIV/0!</v>
      </c>
      <c r="N20" s="144" t="e">
        <f t="shared" si="13"/>
        <v>#DIV/0!</v>
      </c>
      <c r="O20" s="2">
        <f t="shared" si="3"/>
        <v>0</v>
      </c>
      <c r="P20" s="139">
        <f t="shared" si="3"/>
        <v>0</v>
      </c>
      <c r="Q20" s="150" t="e">
        <f t="shared" si="4"/>
        <v>#DIV/0!</v>
      </c>
      <c r="R20" s="31" t="e">
        <f t="shared" si="5"/>
        <v>#DIV/0!</v>
      </c>
      <c r="S20" s="32" t="e">
        <f t="shared" si="6"/>
        <v>#DIV/0!</v>
      </c>
      <c r="T20" s="33" t="e">
        <f t="shared" si="7"/>
        <v>#DIV/0!</v>
      </c>
      <c r="U20" s="419"/>
      <c r="V20" s="77" t="e">
        <f t="shared" si="8"/>
        <v>#DIV/0!</v>
      </c>
      <c r="W20" s="80"/>
      <c r="X20" s="85" t="e">
        <f t="shared" si="9"/>
        <v>#DIV/0!</v>
      </c>
      <c r="Y20" s="127" t="e">
        <f t="shared" si="2"/>
        <v>#DIV/0!</v>
      </c>
    </row>
    <row r="21" spans="1:25" ht="13.5" thickBot="1">
      <c r="A21" s="2" t="s">
        <v>61</v>
      </c>
      <c r="B21" s="3"/>
      <c r="C21" s="57">
        <f t="shared" si="0"/>
        <v>0</v>
      </c>
      <c r="D21" s="54">
        <f t="shared" si="12"/>
        <v>0</v>
      </c>
      <c r="E21" s="3"/>
      <c r="F21" s="29"/>
      <c r="G21" s="192"/>
      <c r="H21" s="194"/>
      <c r="I21" s="193"/>
      <c r="J21" s="202"/>
      <c r="K21" s="413"/>
      <c r="L21" s="413"/>
      <c r="M21" s="30" t="e">
        <f t="shared" si="13"/>
        <v>#DIV/0!</v>
      </c>
      <c r="N21" s="144" t="e">
        <f t="shared" si="13"/>
        <v>#DIV/0!</v>
      </c>
      <c r="O21" s="2">
        <f t="shared" si="3"/>
        <v>0</v>
      </c>
      <c r="P21" s="139">
        <f t="shared" si="3"/>
        <v>0</v>
      </c>
      <c r="Q21" s="150" t="e">
        <f t="shared" si="4"/>
        <v>#DIV/0!</v>
      </c>
      <c r="R21" s="31" t="e">
        <f t="shared" si="5"/>
        <v>#DIV/0!</v>
      </c>
      <c r="S21" s="32" t="e">
        <f t="shared" si="6"/>
        <v>#DIV/0!</v>
      </c>
      <c r="T21" s="33" t="e">
        <f t="shared" si="7"/>
        <v>#DIV/0!</v>
      </c>
      <c r="U21" s="419"/>
      <c r="V21" s="77" t="e">
        <f t="shared" si="8"/>
        <v>#DIV/0!</v>
      </c>
      <c r="W21" s="80"/>
      <c r="X21" s="85" t="e">
        <f t="shared" si="9"/>
        <v>#DIV/0!</v>
      </c>
      <c r="Y21" s="127" t="e">
        <f t="shared" si="2"/>
        <v>#DIV/0!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5"/>
      <c r="I22" s="195"/>
      <c r="J22" s="195"/>
      <c r="K22" s="5">
        <f>SUM(K20:K21)</f>
        <v>0</v>
      </c>
      <c r="L22" s="5">
        <f>SUM(L20:L21)</f>
        <v>0</v>
      </c>
      <c r="M22" s="155"/>
      <c r="N22" s="145"/>
      <c r="O22" s="5"/>
      <c r="P22" s="35"/>
      <c r="Q22" s="61"/>
      <c r="R22" s="151"/>
      <c r="S22" s="62"/>
      <c r="T22" s="62"/>
      <c r="U22" s="200">
        <f>SUM(U20:U21)</f>
        <v>0</v>
      </c>
      <c r="V22" s="153"/>
      <c r="W22" s="74"/>
      <c r="X22" s="60"/>
      <c r="Y22" s="127"/>
    </row>
    <row r="23" spans="1:25" ht="13.5" thickBot="1">
      <c r="A23" s="2" t="s">
        <v>27</v>
      </c>
      <c r="B23" s="3" t="s">
        <v>1</v>
      </c>
      <c r="C23" s="57">
        <f t="shared" si="0"/>
        <v>0</v>
      </c>
      <c r="D23" s="54">
        <f>((C23-G23)/900)</f>
        <v>0</v>
      </c>
      <c r="E23" s="3">
        <v>0</v>
      </c>
      <c r="F23" s="29">
        <v>0</v>
      </c>
      <c r="G23" s="192">
        <v>0</v>
      </c>
      <c r="H23" s="194">
        <v>0</v>
      </c>
      <c r="I23" s="193">
        <v>0</v>
      </c>
      <c r="J23" s="202">
        <v>0</v>
      </c>
      <c r="K23" s="413">
        <f t="shared" ref="K23:L25" si="15">G23+I23</f>
        <v>0</v>
      </c>
      <c r="L23" s="413">
        <f t="shared" si="15"/>
        <v>0</v>
      </c>
      <c r="M23" s="30" t="e">
        <f t="shared" si="1"/>
        <v>#DIV/0!</v>
      </c>
      <c r="N23" s="144" t="e">
        <f t="shared" si="1"/>
        <v>#DIV/0!</v>
      </c>
      <c r="O23" s="2">
        <f t="shared" si="3"/>
        <v>0</v>
      </c>
      <c r="P23" s="139">
        <f t="shared" si="3"/>
        <v>0</v>
      </c>
      <c r="Q23" s="150" t="e">
        <f t="shared" si="4"/>
        <v>#DIV/0!</v>
      </c>
      <c r="R23" s="31" t="e">
        <f t="shared" si="5"/>
        <v>#DIV/0!</v>
      </c>
      <c r="S23" s="32" t="e">
        <f t="shared" si="6"/>
        <v>#DIV/0!</v>
      </c>
      <c r="T23" s="33" t="e">
        <f t="shared" si="7"/>
        <v>#DIV/0!</v>
      </c>
      <c r="U23" s="419"/>
      <c r="V23" s="77" t="e">
        <f t="shared" si="8"/>
        <v>#DIV/0!</v>
      </c>
      <c r="W23" s="80"/>
      <c r="X23" s="85" t="e">
        <f t="shared" si="9"/>
        <v>#DIV/0!</v>
      </c>
      <c r="Y23" s="127" t="e">
        <f t="shared" si="2"/>
        <v>#DIV/0!</v>
      </c>
    </row>
    <row r="24" spans="1:25" ht="13.5" thickBot="1">
      <c r="A24" s="5" t="s">
        <v>28</v>
      </c>
      <c r="B24" s="34"/>
      <c r="C24" s="58">
        <f t="shared" si="0"/>
        <v>0</v>
      </c>
      <c r="D24" s="59">
        <f t="shared" ref="D24:D29" si="16">((C24-G24)/600)</f>
        <v>0</v>
      </c>
      <c r="E24" s="34">
        <f>SUM(E23)</f>
        <v>0</v>
      </c>
      <c r="F24" s="5">
        <f>SUM(F23)</f>
        <v>0</v>
      </c>
      <c r="G24" s="195">
        <f>SUM(G23)</f>
        <v>0</v>
      </c>
      <c r="H24" s="195">
        <f>SUM(H23)</f>
        <v>0</v>
      </c>
      <c r="I24" s="195">
        <f>SUM(I23)</f>
        <v>0</v>
      </c>
      <c r="J24" s="195">
        <f>J23</f>
        <v>0</v>
      </c>
      <c r="K24" s="5">
        <f>SUM(K23)</f>
        <v>0</v>
      </c>
      <c r="L24" s="5">
        <f>SUM(L23)</f>
        <v>0</v>
      </c>
      <c r="M24" s="155" t="e">
        <f t="shared" si="1"/>
        <v>#DIV/0!</v>
      </c>
      <c r="N24" s="145" t="e">
        <f t="shared" si="1"/>
        <v>#DIV/0!</v>
      </c>
      <c r="O24" s="5">
        <f t="shared" si="3"/>
        <v>0</v>
      </c>
      <c r="P24" s="35">
        <f t="shared" si="3"/>
        <v>0</v>
      </c>
      <c r="Q24" s="61" t="e">
        <f t="shared" si="4"/>
        <v>#DIV/0!</v>
      </c>
      <c r="R24" s="151" t="e">
        <f t="shared" si="5"/>
        <v>#DIV/0!</v>
      </c>
      <c r="S24" s="62" t="e">
        <f t="shared" si="6"/>
        <v>#DIV/0!</v>
      </c>
      <c r="T24" s="62" t="e">
        <f t="shared" si="7"/>
        <v>#DIV/0!</v>
      </c>
      <c r="U24" s="200">
        <f>SUM(U23)</f>
        <v>0</v>
      </c>
      <c r="V24" s="153" t="e">
        <f t="shared" si="8"/>
        <v>#DIV/0!</v>
      </c>
      <c r="W24" s="74"/>
      <c r="X24" s="60" t="e">
        <f t="shared" si="9"/>
        <v>#DIV/0!</v>
      </c>
      <c r="Y24" s="127" t="e">
        <f t="shared" si="2"/>
        <v>#DIV/0!</v>
      </c>
    </row>
    <row r="25" spans="1:25">
      <c r="A25" s="2" t="s">
        <v>47</v>
      </c>
      <c r="B25" s="3" t="s">
        <v>1</v>
      </c>
      <c r="C25" s="57">
        <f t="shared" si="0"/>
        <v>0</v>
      </c>
      <c r="D25" s="54">
        <f t="shared" si="16"/>
        <v>0</v>
      </c>
      <c r="E25" s="3">
        <v>0</v>
      </c>
      <c r="F25" s="29">
        <v>0</v>
      </c>
      <c r="G25" s="192">
        <v>0</v>
      </c>
      <c r="H25" s="194">
        <v>0</v>
      </c>
      <c r="I25" s="193">
        <v>0</v>
      </c>
      <c r="J25" s="202">
        <v>0</v>
      </c>
      <c r="K25" s="413">
        <f t="shared" si="15"/>
        <v>0</v>
      </c>
      <c r="L25" s="413">
        <f t="shared" si="15"/>
        <v>0</v>
      </c>
      <c r="M25" s="30" t="e">
        <f t="shared" si="1"/>
        <v>#DIV/0!</v>
      </c>
      <c r="N25" s="144" t="e">
        <f t="shared" si="1"/>
        <v>#DIV/0!</v>
      </c>
      <c r="O25" s="2">
        <f t="shared" si="3"/>
        <v>0</v>
      </c>
      <c r="P25" s="139">
        <f t="shared" si="3"/>
        <v>0</v>
      </c>
      <c r="Q25" s="150" t="e">
        <f t="shared" si="4"/>
        <v>#DIV/0!</v>
      </c>
      <c r="R25" s="31" t="e">
        <f t="shared" si="5"/>
        <v>#DIV/0!</v>
      </c>
      <c r="S25" s="32" t="e">
        <f t="shared" si="6"/>
        <v>#DIV/0!</v>
      </c>
      <c r="T25" s="33" t="e">
        <f t="shared" si="7"/>
        <v>#DIV/0!</v>
      </c>
      <c r="U25" s="419">
        <v>0</v>
      </c>
      <c r="V25" s="77" t="e">
        <f t="shared" si="8"/>
        <v>#DIV/0!</v>
      </c>
      <c r="W25" s="80"/>
      <c r="X25" s="85" t="e">
        <f t="shared" si="9"/>
        <v>#DIV/0!</v>
      </c>
      <c r="Y25" s="127" t="e">
        <f t="shared" si="2"/>
        <v>#DIV/0!</v>
      </c>
    </row>
    <row r="26" spans="1:25">
      <c r="A26" s="2" t="s">
        <v>48</v>
      </c>
      <c r="B26" s="3" t="s">
        <v>1</v>
      </c>
      <c r="C26" s="57">
        <f t="shared" si="0"/>
        <v>801.6</v>
      </c>
      <c r="D26" s="54">
        <f t="shared" si="16"/>
        <v>1.3360000000000001</v>
      </c>
      <c r="E26" s="3">
        <v>1002</v>
      </c>
      <c r="F26" s="29">
        <v>2805</v>
      </c>
      <c r="G26" s="192">
        <v>0</v>
      </c>
      <c r="H26" s="194">
        <v>0</v>
      </c>
      <c r="I26" s="193">
        <v>0</v>
      </c>
      <c r="J26" s="202">
        <v>0</v>
      </c>
      <c r="K26" s="413">
        <v>1200</v>
      </c>
      <c r="L26" s="413">
        <v>2580</v>
      </c>
      <c r="M26" s="30">
        <f t="shared" si="1"/>
        <v>1.1976047904191616</v>
      </c>
      <c r="N26" s="144">
        <f t="shared" si="1"/>
        <v>0.9197860962566845</v>
      </c>
      <c r="O26" s="2">
        <f t="shared" si="3"/>
        <v>-198</v>
      </c>
      <c r="P26" s="139">
        <f t="shared" si="3"/>
        <v>225</v>
      </c>
      <c r="Q26" s="150">
        <f t="shared" si="4"/>
        <v>2.7994011976047903</v>
      </c>
      <c r="R26" s="31">
        <f t="shared" si="5"/>
        <v>2.15</v>
      </c>
      <c r="S26" s="32">
        <f t="shared" si="6"/>
        <v>0</v>
      </c>
      <c r="T26" s="33">
        <f t="shared" si="7"/>
        <v>0</v>
      </c>
      <c r="U26" s="419">
        <v>15000</v>
      </c>
      <c r="V26" s="77">
        <f t="shared" si="8"/>
        <v>12.5</v>
      </c>
      <c r="W26" s="80">
        <v>12.5</v>
      </c>
      <c r="X26" s="85"/>
      <c r="Y26" s="127">
        <f t="shared" si="2"/>
        <v>0.79188000000000003</v>
      </c>
    </row>
    <row r="27" spans="1:25">
      <c r="A27" s="2" t="s">
        <v>49</v>
      </c>
      <c r="B27" s="3" t="s">
        <v>1</v>
      </c>
      <c r="C27" s="57">
        <f t="shared" si="0"/>
        <v>0</v>
      </c>
      <c r="D27" s="54">
        <f t="shared" si="16"/>
        <v>0</v>
      </c>
      <c r="E27" s="3">
        <v>0</v>
      </c>
      <c r="F27" s="29">
        <v>0</v>
      </c>
      <c r="G27" s="192">
        <v>0</v>
      </c>
      <c r="H27" s="194">
        <v>0</v>
      </c>
      <c r="I27" s="193">
        <v>0</v>
      </c>
      <c r="J27" s="202">
        <v>0</v>
      </c>
      <c r="K27" s="413">
        <f>G27+I27</f>
        <v>0</v>
      </c>
      <c r="L27" s="413">
        <f>H27+J27</f>
        <v>0</v>
      </c>
      <c r="M27" s="30" t="e">
        <f t="shared" si="1"/>
        <v>#DIV/0!</v>
      </c>
      <c r="N27" s="144" t="e">
        <f t="shared" si="1"/>
        <v>#DIV/0!</v>
      </c>
      <c r="O27" s="2">
        <f t="shared" si="3"/>
        <v>0</v>
      </c>
      <c r="P27" s="139">
        <f t="shared" si="3"/>
        <v>0</v>
      </c>
      <c r="Q27" s="150" t="e">
        <f t="shared" si="4"/>
        <v>#DIV/0!</v>
      </c>
      <c r="R27" s="31" t="e">
        <f t="shared" si="5"/>
        <v>#DIV/0!</v>
      </c>
      <c r="S27" s="32" t="e">
        <f t="shared" si="6"/>
        <v>#DIV/0!</v>
      </c>
      <c r="T27" s="33" t="e">
        <f t="shared" si="7"/>
        <v>#DIV/0!</v>
      </c>
      <c r="U27" s="419">
        <v>0</v>
      </c>
      <c r="V27" s="77" t="e">
        <f t="shared" si="8"/>
        <v>#DIV/0!</v>
      </c>
      <c r="W27" s="80"/>
      <c r="X27" s="85"/>
      <c r="Y27" s="127" t="e">
        <f t="shared" si="2"/>
        <v>#DIV/0!</v>
      </c>
    </row>
    <row r="28" spans="1:25" ht="13.5" thickBot="1">
      <c r="A28" s="2" t="s">
        <v>50</v>
      </c>
      <c r="B28" s="3" t="s">
        <v>1</v>
      </c>
      <c r="C28" s="57">
        <f t="shared" si="0"/>
        <v>0</v>
      </c>
      <c r="D28" s="54">
        <f t="shared" si="16"/>
        <v>0</v>
      </c>
      <c r="E28" s="3">
        <v>0</v>
      </c>
      <c r="F28" s="29">
        <v>0</v>
      </c>
      <c r="G28" s="192">
        <v>0</v>
      </c>
      <c r="H28" s="194">
        <v>0</v>
      </c>
      <c r="I28" s="193">
        <v>0</v>
      </c>
      <c r="J28" s="202">
        <v>0</v>
      </c>
      <c r="K28" s="413">
        <f>G28+I28</f>
        <v>0</v>
      </c>
      <c r="L28" s="413">
        <f>H28+J28</f>
        <v>0</v>
      </c>
      <c r="M28" s="30" t="e">
        <f t="shared" si="1"/>
        <v>#DIV/0!</v>
      </c>
      <c r="N28" s="146" t="e">
        <f t="shared" si="1"/>
        <v>#DIV/0!</v>
      </c>
      <c r="O28" s="2">
        <f t="shared" si="3"/>
        <v>0</v>
      </c>
      <c r="P28" s="148">
        <f t="shared" si="3"/>
        <v>0</v>
      </c>
      <c r="Q28" s="150" t="e">
        <f t="shared" si="4"/>
        <v>#DIV/0!</v>
      </c>
      <c r="R28" s="152" t="e">
        <f t="shared" si="5"/>
        <v>#DIV/0!</v>
      </c>
      <c r="S28" s="32" t="e">
        <f t="shared" si="6"/>
        <v>#DIV/0!</v>
      </c>
      <c r="T28" s="33" t="e">
        <f t="shared" si="7"/>
        <v>#DIV/0!</v>
      </c>
      <c r="U28" s="419">
        <v>0</v>
      </c>
      <c r="V28" s="76" t="e">
        <f t="shared" si="8"/>
        <v>#DIV/0!</v>
      </c>
      <c r="W28" s="80"/>
      <c r="X28" s="85" t="e">
        <f t="shared" si="9"/>
        <v>#DIV/0!</v>
      </c>
      <c r="Y28" s="127" t="e">
        <f t="shared" si="2"/>
        <v>#DIV/0!</v>
      </c>
    </row>
    <row r="29" spans="1:25" ht="13.5" thickBot="1">
      <c r="A29" s="5" t="s">
        <v>29</v>
      </c>
      <c r="B29" s="34"/>
      <c r="C29" s="58">
        <f t="shared" si="0"/>
        <v>801.6</v>
      </c>
      <c r="D29" s="59">
        <f t="shared" si="16"/>
        <v>1.3360000000000001</v>
      </c>
      <c r="E29" s="34">
        <f t="shared" ref="E29:J29" si="17">SUM(E25:E28)</f>
        <v>1002</v>
      </c>
      <c r="F29" s="5">
        <f t="shared" si="17"/>
        <v>2805</v>
      </c>
      <c r="G29" s="195">
        <f t="shared" si="17"/>
        <v>0</v>
      </c>
      <c r="H29" s="196">
        <f t="shared" si="17"/>
        <v>0</v>
      </c>
      <c r="I29" s="196">
        <f t="shared" si="17"/>
        <v>0</v>
      </c>
      <c r="J29" s="196">
        <f t="shared" si="17"/>
        <v>0</v>
      </c>
      <c r="K29" s="47">
        <f>SUM(K25:K28)</f>
        <v>1200</v>
      </c>
      <c r="L29" s="47">
        <f>SUM(L25:L28)</f>
        <v>2580</v>
      </c>
      <c r="M29" s="48">
        <f t="shared" si="1"/>
        <v>1.1976047904191616</v>
      </c>
      <c r="N29" s="48">
        <f t="shared" si="1"/>
        <v>0.9197860962566845</v>
      </c>
      <c r="O29" s="47">
        <f t="shared" si="3"/>
        <v>-198</v>
      </c>
      <c r="P29" s="47">
        <f t="shared" si="3"/>
        <v>225</v>
      </c>
      <c r="Q29" s="60">
        <f t="shared" si="4"/>
        <v>2.7994011976047903</v>
      </c>
      <c r="R29" s="61">
        <f t="shared" si="5"/>
        <v>2.15</v>
      </c>
      <c r="S29" s="62">
        <f t="shared" si="6"/>
        <v>0</v>
      </c>
      <c r="T29" s="62">
        <f t="shared" si="7"/>
        <v>0</v>
      </c>
      <c r="U29" s="200">
        <f>SUM(U25:U28)</f>
        <v>15000</v>
      </c>
      <c r="V29" s="78">
        <f t="shared" si="8"/>
        <v>12.5</v>
      </c>
      <c r="W29" s="74"/>
      <c r="X29" s="60" t="e">
        <f t="shared" si="9"/>
        <v>#DIV/0!</v>
      </c>
      <c r="Y29" s="127">
        <f t="shared" si="2"/>
        <v>0.79188000000000003</v>
      </c>
    </row>
    <row r="30" spans="1:25" ht="14.25" thickBot="1">
      <c r="A30" s="36" t="s">
        <v>2</v>
      </c>
      <c r="B30" s="37"/>
      <c r="C30" s="58">
        <f t="shared" si="0"/>
        <v>332794.40000000002</v>
      </c>
      <c r="D30" s="59">
        <f>D29+D24+D19+D12+D10</f>
        <v>279.34666666666669</v>
      </c>
      <c r="E30" s="36">
        <f>(E10+E12+E19+E24+E29)</f>
        <v>415993</v>
      </c>
      <c r="F30" s="36">
        <f>(F10+F12+F19+F24+F29)</f>
        <v>2744972</v>
      </c>
      <c r="G30" s="204">
        <f>SUM(G29,G24,G19,G12,G10)</f>
        <v>0</v>
      </c>
      <c r="H30" s="204">
        <f>SUM(H29,H24,H19,H12,H10)</f>
        <v>0</v>
      </c>
      <c r="I30" s="204">
        <f>SUM(I29,I24,I19,I12,I10)</f>
        <v>0</v>
      </c>
      <c r="J30" s="204">
        <f>SUM(J29,J24,J19,J12,J10)</f>
        <v>0</v>
      </c>
      <c r="K30" s="47">
        <f>K10+K12+K19+K22+K24+K29</f>
        <v>324265</v>
      </c>
      <c r="L30" s="47">
        <f>L10+L12+L19+L22+L24+L29</f>
        <v>2630336</v>
      </c>
      <c r="M30" s="48">
        <f t="shared" si="1"/>
        <v>0.7794962896010269</v>
      </c>
      <c r="N30" s="48">
        <f t="shared" si="1"/>
        <v>0.95823782537672519</v>
      </c>
      <c r="O30" s="47">
        <f t="shared" si="3"/>
        <v>91728</v>
      </c>
      <c r="P30" s="47">
        <f t="shared" si="3"/>
        <v>114636</v>
      </c>
      <c r="Q30" s="60">
        <f>(F30/E30)</f>
        <v>6.5986014187738737</v>
      </c>
      <c r="R30" s="61">
        <f t="shared" si="5"/>
        <v>8.111686429309362</v>
      </c>
      <c r="S30" s="62">
        <f t="shared" si="6"/>
        <v>0</v>
      </c>
      <c r="T30" s="62">
        <f t="shared" si="7"/>
        <v>0</v>
      </c>
      <c r="U30" s="198">
        <f>(U29+U24+U22+U19+U12+U10)</f>
        <v>8980027</v>
      </c>
      <c r="V30" s="78">
        <f t="shared" si="8"/>
        <v>27.693482182782599</v>
      </c>
      <c r="W30" s="74">
        <v>24.38</v>
      </c>
      <c r="X30" s="60">
        <f t="shared" si="9"/>
        <v>1.135909851631772</v>
      </c>
      <c r="Y30" s="127">
        <f t="shared" si="2"/>
        <v>0.64557939970559108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126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50"/>
      <c r="G34" s="129"/>
      <c r="H34" s="132"/>
      <c r="I34" s="93"/>
      <c r="J34" s="97"/>
    </row>
    <row r="35" spans="2:10">
      <c r="B35" s="2"/>
      <c r="C35" s="3"/>
      <c r="D35" s="3"/>
      <c r="E35" s="64" t="s">
        <v>37</v>
      </c>
      <c r="F35" s="3"/>
      <c r="G35" s="130"/>
      <c r="H35" s="103"/>
      <c r="I35" s="64"/>
      <c r="J35" s="98"/>
    </row>
    <row r="36" spans="2:10" ht="13.5" thickBot="1">
      <c r="B36" s="4"/>
      <c r="C36" s="51"/>
      <c r="D36" s="51"/>
      <c r="E36" s="65" t="s">
        <v>4</v>
      </c>
      <c r="F36" s="51" t="s">
        <v>38</v>
      </c>
      <c r="G36" s="131" t="s">
        <v>39</v>
      </c>
      <c r="H36" s="6" t="s">
        <v>40</v>
      </c>
      <c r="I36" s="65" t="s">
        <v>41</v>
      </c>
      <c r="J36" s="99" t="s">
        <v>42</v>
      </c>
    </row>
    <row r="37" spans="2:10">
      <c r="B37" s="2" t="s">
        <v>31</v>
      </c>
      <c r="C37" s="3"/>
      <c r="D37" s="3"/>
      <c r="E37" s="64">
        <f>E19</f>
        <v>247368</v>
      </c>
      <c r="F37" s="3">
        <f>G19</f>
        <v>0</v>
      </c>
      <c r="G37" s="130">
        <f>I19</f>
        <v>0</v>
      </c>
      <c r="H37" s="103">
        <f>K19</f>
        <v>181080</v>
      </c>
      <c r="I37" s="95">
        <f>E37/E38</f>
        <v>1.5312352984871369</v>
      </c>
      <c r="J37" s="100">
        <f>IF(H38=0,0,H37/H38)</f>
        <v>1.3375189275030468</v>
      </c>
    </row>
    <row r="38" spans="2:10" ht="13.5" thickBot="1">
      <c r="B38" s="4" t="s">
        <v>30</v>
      </c>
      <c r="C38" s="51"/>
      <c r="D38" s="51"/>
      <c r="E38" s="65">
        <f>E10</f>
        <v>161548</v>
      </c>
      <c r="F38" s="51">
        <f>G10</f>
        <v>0</v>
      </c>
      <c r="G38" s="131">
        <f>I10</f>
        <v>0</v>
      </c>
      <c r="H38" s="6">
        <f>K10</f>
        <v>135385</v>
      </c>
      <c r="I38" s="96">
        <f>E38/E38</f>
        <v>1</v>
      </c>
      <c r="J38" s="101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Blad5"/>
  <dimension ref="A1:Z38"/>
  <sheetViews>
    <sheetView zoomScale="85" workbookViewId="0">
      <selection activeCell="E9" sqref="E9"/>
    </sheetView>
  </sheetViews>
  <sheetFormatPr baseColWidth="10" defaultColWidth="9.140625" defaultRowHeight="12.75"/>
  <cols>
    <col min="1" max="1" width="5" customWidth="1"/>
    <col min="2" max="2" width="9.42578125" customWidth="1"/>
    <col min="4" max="4" width="11.5703125" customWidth="1"/>
    <col min="6" max="6" width="9.42578125" customWidth="1"/>
    <col min="8" max="8" width="9.42578125" customWidth="1"/>
    <col min="10" max="10" width="9.28515625" customWidth="1"/>
    <col min="12" max="12" width="11.140625" customWidth="1"/>
    <col min="21" max="21" width="9.85546875" bestFit="1" customWidth="1"/>
    <col min="25" max="26" width="8.85546875" bestFit="1" customWidth="1"/>
  </cols>
  <sheetData>
    <row r="1" spans="1:26" ht="15.75">
      <c r="A1" s="49"/>
    </row>
    <row r="2" spans="1:26" ht="18">
      <c r="I2" s="128"/>
    </row>
    <row r="3" spans="1:26" ht="22.5">
      <c r="A3" s="273" t="s">
        <v>81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40560.950314814814</v>
      </c>
      <c r="M3" s="9"/>
      <c r="N3" s="10"/>
      <c r="O3" s="7"/>
      <c r="P3" s="7"/>
      <c r="Q3" s="11"/>
      <c r="R3" s="11"/>
      <c r="S3" s="12"/>
      <c r="T3" s="12"/>
      <c r="U3" s="40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  <c r="Z4" s="125"/>
    </row>
    <row r="5" spans="1:26">
      <c r="A5" s="13"/>
      <c r="B5" s="14"/>
      <c r="C5" s="55">
        <v>0.8</v>
      </c>
      <c r="D5" s="52" t="s">
        <v>45</v>
      </c>
      <c r="E5" s="16" t="s">
        <v>6</v>
      </c>
      <c r="F5" s="15"/>
      <c r="G5" s="184" t="s">
        <v>7</v>
      </c>
      <c r="H5" s="185"/>
      <c r="I5" s="186" t="s">
        <v>8</v>
      </c>
      <c r="J5" s="187"/>
      <c r="K5" s="16" t="s">
        <v>9</v>
      </c>
      <c r="L5" s="16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1"/>
      <c r="U5" s="201" t="s">
        <v>32</v>
      </c>
      <c r="V5" s="165" t="s">
        <v>57</v>
      </c>
      <c r="W5" s="81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6" t="s">
        <v>3</v>
      </c>
      <c r="F6" s="23" t="s">
        <v>14</v>
      </c>
      <c r="G6" s="188" t="s">
        <v>3</v>
      </c>
      <c r="H6" s="189" t="s">
        <v>14</v>
      </c>
      <c r="I6" s="190" t="s">
        <v>3</v>
      </c>
      <c r="J6" s="191" t="s">
        <v>14</v>
      </c>
      <c r="K6" s="2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26" t="s">
        <v>4</v>
      </c>
      <c r="R6" s="26" t="s">
        <v>15</v>
      </c>
      <c r="S6" s="27" t="s">
        <v>3</v>
      </c>
      <c r="T6" s="28" t="s">
        <v>14</v>
      </c>
      <c r="U6" s="205" t="s">
        <v>0</v>
      </c>
      <c r="V6" s="76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 t="s">
        <v>43</v>
      </c>
      <c r="C7" s="57">
        <f>((E7893)/100)</f>
        <v>0</v>
      </c>
      <c r="D7" s="54">
        <f>((C7-G7)/1200)</f>
        <v>0</v>
      </c>
      <c r="E7" s="3"/>
      <c r="F7" s="29"/>
      <c r="G7" s="192">
        <v>0</v>
      </c>
      <c r="H7" s="194">
        <v>0</v>
      </c>
      <c r="I7" s="193">
        <v>0</v>
      </c>
      <c r="J7" s="202">
        <v>0</v>
      </c>
      <c r="K7" s="2">
        <f t="shared" ref="K7:L30" si="0">(I7+G7)</f>
        <v>0</v>
      </c>
      <c r="L7" s="141">
        <f t="shared" si="0"/>
        <v>0</v>
      </c>
      <c r="M7" s="30" t="e">
        <f t="shared" ref="M7:N30" si="1">(K7/E7)</f>
        <v>#DIV/0!</v>
      </c>
      <c r="N7" s="143" t="e">
        <f t="shared" si="1"/>
        <v>#DIV/0!</v>
      </c>
      <c r="O7" s="2">
        <f t="shared" ref="O7:P30" si="2">(E7-K7)</f>
        <v>0</v>
      </c>
      <c r="P7" s="147">
        <f>(F7-L7)</f>
        <v>0</v>
      </c>
      <c r="Q7" s="150" t="e">
        <f t="shared" ref="Q7:Q30" si="3">(F7/E7)</f>
        <v>#DIV/0!</v>
      </c>
      <c r="R7" s="154" t="e">
        <f>(L7/K7)</f>
        <v>#DIV/0!</v>
      </c>
      <c r="S7" s="32" t="e">
        <f t="shared" ref="S7:S30" si="4">(I7/E7)</f>
        <v>#DIV/0!</v>
      </c>
      <c r="T7" s="33" t="e">
        <f>(J7/F7)</f>
        <v>#DIV/0!</v>
      </c>
      <c r="U7" s="199">
        <v>0</v>
      </c>
      <c r="V7" s="77" t="e">
        <f>(U7/K7)</f>
        <v>#DIV/0!</v>
      </c>
      <c r="W7" s="80">
        <f>1392322/35784</f>
        <v>38.909065504135924</v>
      </c>
      <c r="X7" s="85" t="e">
        <f>(V7/W7)</f>
        <v>#DIV/0!</v>
      </c>
      <c r="Y7" s="207" t="e">
        <f t="shared" ref="Y7:Y30" si="5">((U7/1.21)-L7)/(U7/1.21)</f>
        <v>#DIV/0!</v>
      </c>
    </row>
    <row r="8" spans="1:26">
      <c r="A8" s="2" t="s">
        <v>35</v>
      </c>
      <c r="B8" s="3" t="s">
        <v>43</v>
      </c>
      <c r="C8" s="57">
        <f>((E7894)/100)</f>
        <v>0</v>
      </c>
      <c r="D8" s="54">
        <f>((C8-G8)/1200)</f>
        <v>0</v>
      </c>
      <c r="E8" s="3"/>
      <c r="F8" s="29"/>
      <c r="G8" s="192">
        <v>0</v>
      </c>
      <c r="H8" s="194">
        <v>0</v>
      </c>
      <c r="I8" s="193">
        <v>0</v>
      </c>
      <c r="J8" s="202">
        <v>0</v>
      </c>
      <c r="K8" s="2">
        <f t="shared" si="0"/>
        <v>0</v>
      </c>
      <c r="L8" s="29">
        <f t="shared" si="0"/>
        <v>0</v>
      </c>
      <c r="M8" s="30" t="e">
        <f t="shared" si="1"/>
        <v>#DIV/0!</v>
      </c>
      <c r="N8" s="144" t="e">
        <f t="shared" si="1"/>
        <v>#DIV/0!</v>
      </c>
      <c r="O8" s="2">
        <f t="shared" si="2"/>
        <v>0</v>
      </c>
      <c r="P8" s="139">
        <f t="shared" si="2"/>
        <v>0</v>
      </c>
      <c r="Q8" s="150" t="e">
        <f t="shared" si="3"/>
        <v>#DIV/0!</v>
      </c>
      <c r="R8" s="31" t="e">
        <f t="shared" ref="R8:R30" si="6">(L8/K8)</f>
        <v>#DIV/0!</v>
      </c>
      <c r="S8" s="32" t="e">
        <f t="shared" si="4"/>
        <v>#DIV/0!</v>
      </c>
      <c r="T8" s="33" t="e">
        <f t="shared" ref="T8:T30" si="7">(J8/F8)</f>
        <v>#DIV/0!</v>
      </c>
      <c r="U8" s="199">
        <v>0</v>
      </c>
      <c r="V8" s="77" t="e">
        <f t="shared" ref="V8:V30" si="8">(U8/K8)</f>
        <v>#DIV/0!</v>
      </c>
      <c r="W8" s="80">
        <f>75587/2528</f>
        <v>29.89992088607595</v>
      </c>
      <c r="X8" s="85" t="e">
        <f t="shared" ref="X8:X30" si="9">(V8/W8)</f>
        <v>#DIV/0!</v>
      </c>
      <c r="Y8" s="127" t="e">
        <f t="shared" si="5"/>
        <v>#DIV/0!</v>
      </c>
    </row>
    <row r="9" spans="1:26" ht="13.5" thickBot="1">
      <c r="A9" s="2" t="s">
        <v>17</v>
      </c>
      <c r="B9" s="3" t="s">
        <v>43</v>
      </c>
      <c r="C9" s="57">
        <f>((E7895)/100)</f>
        <v>0</v>
      </c>
      <c r="D9" s="54">
        <f>((C9-G9)/1200)</f>
        <v>0</v>
      </c>
      <c r="E9" s="3"/>
      <c r="F9" s="29"/>
      <c r="G9" s="192">
        <v>0</v>
      </c>
      <c r="H9" s="194">
        <v>0</v>
      </c>
      <c r="I9" s="193">
        <v>0</v>
      </c>
      <c r="J9" s="202">
        <v>0</v>
      </c>
      <c r="K9" s="2">
        <f t="shared" si="0"/>
        <v>0</v>
      </c>
      <c r="L9" s="29">
        <f t="shared" si="0"/>
        <v>0</v>
      </c>
      <c r="M9" s="30" t="e">
        <f t="shared" si="1"/>
        <v>#DIV/0!</v>
      </c>
      <c r="N9" s="144" t="e">
        <f t="shared" si="1"/>
        <v>#DIV/0!</v>
      </c>
      <c r="O9" s="2">
        <f t="shared" si="2"/>
        <v>0</v>
      </c>
      <c r="P9" s="139">
        <f t="shared" si="2"/>
        <v>0</v>
      </c>
      <c r="Q9" s="150" t="e">
        <f t="shared" si="3"/>
        <v>#DIV/0!</v>
      </c>
      <c r="R9" s="31" t="e">
        <f t="shared" si="6"/>
        <v>#DIV/0!</v>
      </c>
      <c r="S9" s="32" t="e">
        <f t="shared" si="4"/>
        <v>#DIV/0!</v>
      </c>
      <c r="T9" s="33" t="e">
        <f t="shared" si="7"/>
        <v>#DIV/0!</v>
      </c>
      <c r="U9" s="199">
        <v>0</v>
      </c>
      <c r="V9" s="77" t="e">
        <f t="shared" si="8"/>
        <v>#DIV/0!</v>
      </c>
      <c r="W9" s="80">
        <f>148656/5143</f>
        <v>28.904530429710285</v>
      </c>
      <c r="X9" s="85" t="e">
        <f t="shared" si="9"/>
        <v>#DIV/0!</v>
      </c>
      <c r="Y9" s="127" t="e">
        <f t="shared" si="5"/>
        <v>#DIV/0!</v>
      </c>
    </row>
    <row r="10" spans="1:26" ht="13.5" thickBot="1">
      <c r="A10" s="5" t="s">
        <v>18</v>
      </c>
      <c r="B10" s="34"/>
      <c r="C10" s="58">
        <f t="shared" ref="C10:C28" si="10">((E10*80)/100)</f>
        <v>0</v>
      </c>
      <c r="D10" s="59">
        <f>((C10-G10)/1200)</f>
        <v>0</v>
      </c>
      <c r="E10" s="34"/>
      <c r="F10" s="35"/>
      <c r="G10" s="195">
        <f>SUM(G7:G9)</f>
        <v>0</v>
      </c>
      <c r="H10" s="196">
        <f>SUM(H7:H9)</f>
        <v>0</v>
      </c>
      <c r="I10" s="196">
        <f>SUM(I7:I9)</f>
        <v>0</v>
      </c>
      <c r="J10" s="196">
        <f>SUM(J7:J9)</f>
        <v>0</v>
      </c>
      <c r="K10" s="5">
        <f t="shared" si="0"/>
        <v>0</v>
      </c>
      <c r="L10" s="35">
        <f t="shared" si="0"/>
        <v>0</v>
      </c>
      <c r="M10" s="155" t="e">
        <f t="shared" si="1"/>
        <v>#DIV/0!</v>
      </c>
      <c r="N10" s="145" t="e">
        <f t="shared" si="1"/>
        <v>#DIV/0!</v>
      </c>
      <c r="O10" s="5">
        <f t="shared" si="2"/>
        <v>0</v>
      </c>
      <c r="P10" s="35">
        <f t="shared" si="2"/>
        <v>0</v>
      </c>
      <c r="Q10" s="61" t="e">
        <f t="shared" si="3"/>
        <v>#DIV/0!</v>
      </c>
      <c r="R10" s="151" t="e">
        <f t="shared" si="6"/>
        <v>#DIV/0!</v>
      </c>
      <c r="S10" s="62" t="e">
        <f t="shared" si="4"/>
        <v>#DIV/0!</v>
      </c>
      <c r="T10" s="62" t="e">
        <f t="shared" si="7"/>
        <v>#DIV/0!</v>
      </c>
      <c r="U10" s="200">
        <f>SUM(U7:U9)</f>
        <v>0</v>
      </c>
      <c r="V10" s="153" t="e">
        <f t="shared" si="8"/>
        <v>#DIV/0!</v>
      </c>
      <c r="W10" s="74">
        <f>1616656/43455</f>
        <v>37.202991600506273</v>
      </c>
      <c r="X10" s="60" t="e">
        <f t="shared" si="9"/>
        <v>#DIV/0!</v>
      </c>
      <c r="Y10" s="127" t="e">
        <f t="shared" si="5"/>
        <v>#DIV/0!</v>
      </c>
    </row>
    <row r="11" spans="1:26" ht="13.5" thickBot="1">
      <c r="A11" s="2" t="s">
        <v>19</v>
      </c>
      <c r="B11" s="3" t="s">
        <v>43</v>
      </c>
      <c r="C11" s="57">
        <f t="shared" si="10"/>
        <v>0</v>
      </c>
      <c r="D11" s="54">
        <f t="shared" ref="D11:D24" si="11">((C11-G11)/900)</f>
        <v>0</v>
      </c>
      <c r="E11" s="3"/>
      <c r="F11" s="29"/>
      <c r="G11" s="192">
        <v>0</v>
      </c>
      <c r="H11" s="194">
        <v>0</v>
      </c>
      <c r="I11" s="193">
        <v>0</v>
      </c>
      <c r="J11" s="202">
        <v>0</v>
      </c>
      <c r="K11" s="2">
        <f t="shared" si="0"/>
        <v>0</v>
      </c>
      <c r="L11" s="29">
        <f t="shared" si="0"/>
        <v>0</v>
      </c>
      <c r="M11" s="30" t="e">
        <f t="shared" si="1"/>
        <v>#DIV/0!</v>
      </c>
      <c r="N11" s="144" t="e">
        <f t="shared" si="1"/>
        <v>#DIV/0!</v>
      </c>
      <c r="O11" s="2">
        <f t="shared" si="2"/>
        <v>0</v>
      </c>
      <c r="P11" s="139">
        <f t="shared" si="2"/>
        <v>0</v>
      </c>
      <c r="Q11" s="150" t="e">
        <f t="shared" si="3"/>
        <v>#DIV/0!</v>
      </c>
      <c r="R11" s="31" t="e">
        <f t="shared" si="6"/>
        <v>#DIV/0!</v>
      </c>
      <c r="S11" s="32" t="e">
        <f t="shared" si="4"/>
        <v>#DIV/0!</v>
      </c>
      <c r="T11" s="33" t="e">
        <f t="shared" si="7"/>
        <v>#DIV/0!</v>
      </c>
      <c r="U11" s="199">
        <v>0</v>
      </c>
      <c r="V11" s="77" t="e">
        <f t="shared" si="8"/>
        <v>#DIV/0!</v>
      </c>
      <c r="W11" s="80">
        <f>47920/800</f>
        <v>59.9</v>
      </c>
      <c r="X11" s="85" t="e">
        <f t="shared" si="9"/>
        <v>#DIV/0!</v>
      </c>
      <c r="Y11" s="127" t="e">
        <f t="shared" si="5"/>
        <v>#DIV/0!</v>
      </c>
    </row>
    <row r="12" spans="1:26" ht="13.5" thickBot="1">
      <c r="A12" s="5" t="s">
        <v>20</v>
      </c>
      <c r="B12" s="34"/>
      <c r="C12" s="58">
        <f t="shared" si="10"/>
        <v>0</v>
      </c>
      <c r="D12" s="59">
        <f t="shared" si="11"/>
        <v>0</v>
      </c>
      <c r="E12" s="34"/>
      <c r="F12" s="35"/>
      <c r="G12" s="195">
        <f>SUM(G11)</f>
        <v>0</v>
      </c>
      <c r="H12" s="196">
        <f>SUM(H11)</f>
        <v>0</v>
      </c>
      <c r="I12" s="196">
        <f>SUM(I11)</f>
        <v>0</v>
      </c>
      <c r="J12" s="196">
        <f>SUM(J11)</f>
        <v>0</v>
      </c>
      <c r="K12" s="5">
        <f t="shared" si="0"/>
        <v>0</v>
      </c>
      <c r="L12" s="35">
        <f>SUM(L11)</f>
        <v>0</v>
      </c>
      <c r="M12" s="155" t="e">
        <f t="shared" si="1"/>
        <v>#DIV/0!</v>
      </c>
      <c r="N12" s="145" t="e">
        <f t="shared" si="1"/>
        <v>#DIV/0!</v>
      </c>
      <c r="O12" s="5">
        <f t="shared" si="2"/>
        <v>0</v>
      </c>
      <c r="P12" s="35">
        <f t="shared" si="2"/>
        <v>0</v>
      </c>
      <c r="Q12" s="61" t="e">
        <f t="shared" si="3"/>
        <v>#DIV/0!</v>
      </c>
      <c r="R12" s="151" t="e">
        <f t="shared" si="6"/>
        <v>#DIV/0!</v>
      </c>
      <c r="S12" s="62" t="e">
        <f t="shared" si="4"/>
        <v>#DIV/0!</v>
      </c>
      <c r="T12" s="62" t="e">
        <f t="shared" si="7"/>
        <v>#DIV/0!</v>
      </c>
      <c r="U12" s="200">
        <f>SUM(U11)</f>
        <v>0</v>
      </c>
      <c r="V12" s="153" t="e">
        <f t="shared" si="8"/>
        <v>#DIV/0!</v>
      </c>
      <c r="W12" s="74">
        <f>47920/800</f>
        <v>59.9</v>
      </c>
      <c r="X12" s="60" t="e">
        <f t="shared" si="9"/>
        <v>#DIV/0!</v>
      </c>
      <c r="Y12" s="127" t="e">
        <f t="shared" si="5"/>
        <v>#DIV/0!</v>
      </c>
    </row>
    <row r="13" spans="1:26">
      <c r="A13" s="2" t="s">
        <v>21</v>
      </c>
      <c r="B13" s="3" t="s">
        <v>43</v>
      </c>
      <c r="C13" s="57">
        <f t="shared" si="10"/>
        <v>0</v>
      </c>
      <c r="D13" s="54">
        <f t="shared" si="11"/>
        <v>0</v>
      </c>
      <c r="E13" s="3"/>
      <c r="F13" s="29"/>
      <c r="G13" s="192">
        <v>0</v>
      </c>
      <c r="H13" s="194">
        <v>0</v>
      </c>
      <c r="I13" s="193">
        <v>0</v>
      </c>
      <c r="J13" s="202">
        <v>0</v>
      </c>
      <c r="K13" s="2">
        <f t="shared" si="0"/>
        <v>0</v>
      </c>
      <c r="L13" s="29">
        <f t="shared" si="0"/>
        <v>0</v>
      </c>
      <c r="M13" s="30" t="e">
        <f t="shared" si="1"/>
        <v>#DIV/0!</v>
      </c>
      <c r="N13" s="144" t="e">
        <f t="shared" si="1"/>
        <v>#DIV/0!</v>
      </c>
      <c r="O13" s="2">
        <f t="shared" si="2"/>
        <v>0</v>
      </c>
      <c r="P13" s="139">
        <f t="shared" si="2"/>
        <v>0</v>
      </c>
      <c r="Q13" s="150" t="e">
        <f t="shared" si="3"/>
        <v>#DIV/0!</v>
      </c>
      <c r="R13" s="31" t="e">
        <f t="shared" si="6"/>
        <v>#DIV/0!</v>
      </c>
      <c r="S13" s="32" t="e">
        <f t="shared" si="4"/>
        <v>#DIV/0!</v>
      </c>
      <c r="T13" s="33" t="e">
        <f t="shared" si="7"/>
        <v>#DIV/0!</v>
      </c>
      <c r="U13" s="199">
        <v>0</v>
      </c>
      <c r="V13" s="77" t="e">
        <f t="shared" si="8"/>
        <v>#DIV/0!</v>
      </c>
      <c r="W13" s="80">
        <f>184559/11070</f>
        <v>16.671996386630532</v>
      </c>
      <c r="X13" s="85" t="e">
        <f t="shared" si="9"/>
        <v>#DIV/0!</v>
      </c>
      <c r="Y13" s="127" t="e">
        <f t="shared" si="5"/>
        <v>#DIV/0!</v>
      </c>
    </row>
    <row r="14" spans="1:26">
      <c r="A14" s="2" t="s">
        <v>22</v>
      </c>
      <c r="B14" s="3" t="s">
        <v>43</v>
      </c>
      <c r="C14" s="57">
        <f t="shared" si="10"/>
        <v>0</v>
      </c>
      <c r="D14" s="54">
        <f t="shared" si="11"/>
        <v>0</v>
      </c>
      <c r="E14" s="3"/>
      <c r="F14" s="29"/>
      <c r="G14" s="192">
        <v>0</v>
      </c>
      <c r="H14" s="194">
        <v>0</v>
      </c>
      <c r="I14" s="193">
        <v>0</v>
      </c>
      <c r="J14" s="202">
        <v>0</v>
      </c>
      <c r="K14" s="2">
        <f t="shared" si="0"/>
        <v>0</v>
      </c>
      <c r="L14" s="29">
        <f t="shared" si="0"/>
        <v>0</v>
      </c>
      <c r="M14" s="30" t="e">
        <f t="shared" si="1"/>
        <v>#DIV/0!</v>
      </c>
      <c r="N14" s="144" t="e">
        <f t="shared" si="1"/>
        <v>#DIV/0!</v>
      </c>
      <c r="O14" s="2">
        <f t="shared" si="2"/>
        <v>0</v>
      </c>
      <c r="P14" s="139">
        <f t="shared" si="2"/>
        <v>0</v>
      </c>
      <c r="Q14" s="150" t="e">
        <f t="shared" si="3"/>
        <v>#DIV/0!</v>
      </c>
      <c r="R14" s="31" t="e">
        <f t="shared" si="6"/>
        <v>#DIV/0!</v>
      </c>
      <c r="S14" s="32" t="e">
        <f t="shared" si="4"/>
        <v>#DIV/0!</v>
      </c>
      <c r="T14" s="33" t="e">
        <f t="shared" si="7"/>
        <v>#DIV/0!</v>
      </c>
      <c r="U14" s="199">
        <v>0</v>
      </c>
      <c r="V14" s="77" t="e">
        <f t="shared" si="8"/>
        <v>#DIV/0!</v>
      </c>
      <c r="W14" s="80">
        <f>720736/27043</f>
        <v>26.651480974743926</v>
      </c>
      <c r="X14" s="85" t="e">
        <f t="shared" si="9"/>
        <v>#DIV/0!</v>
      </c>
      <c r="Y14" s="127" t="e">
        <f t="shared" si="5"/>
        <v>#DIV/0!</v>
      </c>
    </row>
    <row r="15" spans="1:26">
      <c r="A15" s="2" t="s">
        <v>56</v>
      </c>
      <c r="B15" s="3" t="s">
        <v>43</v>
      </c>
      <c r="C15" s="57">
        <f t="shared" si="10"/>
        <v>0</v>
      </c>
      <c r="D15" s="54">
        <f t="shared" si="11"/>
        <v>0</v>
      </c>
      <c r="E15" s="3"/>
      <c r="F15" s="29"/>
      <c r="G15" s="192">
        <v>0</v>
      </c>
      <c r="H15" s="194">
        <v>0</v>
      </c>
      <c r="I15" s="193">
        <v>0</v>
      </c>
      <c r="J15" s="202">
        <v>0</v>
      </c>
      <c r="K15" s="2">
        <f t="shared" si="0"/>
        <v>0</v>
      </c>
      <c r="L15" s="29">
        <f t="shared" si="0"/>
        <v>0</v>
      </c>
      <c r="M15" s="30" t="e">
        <f t="shared" si="1"/>
        <v>#DIV/0!</v>
      </c>
      <c r="N15" s="144" t="e">
        <f t="shared" si="1"/>
        <v>#DIV/0!</v>
      </c>
      <c r="O15" s="2">
        <f t="shared" si="2"/>
        <v>0</v>
      </c>
      <c r="P15" s="139">
        <f t="shared" si="2"/>
        <v>0</v>
      </c>
      <c r="Q15" s="150" t="e">
        <f t="shared" si="3"/>
        <v>#DIV/0!</v>
      </c>
      <c r="R15" s="31" t="e">
        <f t="shared" si="6"/>
        <v>#DIV/0!</v>
      </c>
      <c r="S15" s="32" t="e">
        <f t="shared" si="4"/>
        <v>#DIV/0!</v>
      </c>
      <c r="T15" s="33" t="e">
        <f t="shared" si="7"/>
        <v>#DIV/0!</v>
      </c>
      <c r="U15" s="199">
        <v>0</v>
      </c>
      <c r="V15" s="77" t="e">
        <f t="shared" si="8"/>
        <v>#DIV/0!</v>
      </c>
      <c r="W15" s="80"/>
      <c r="X15" s="85" t="e">
        <f t="shared" si="9"/>
        <v>#DIV/0!</v>
      </c>
      <c r="Y15" s="127" t="e">
        <f t="shared" si="5"/>
        <v>#DIV/0!</v>
      </c>
    </row>
    <row r="16" spans="1:26">
      <c r="A16" s="2" t="s">
        <v>23</v>
      </c>
      <c r="B16" s="3" t="s">
        <v>43</v>
      </c>
      <c r="C16" s="57">
        <f>((E16*80)/100)</f>
        <v>0</v>
      </c>
      <c r="D16" s="54">
        <f t="shared" si="11"/>
        <v>0</v>
      </c>
      <c r="E16" s="3"/>
      <c r="F16" s="29"/>
      <c r="G16" s="192">
        <v>0</v>
      </c>
      <c r="H16" s="194">
        <v>0</v>
      </c>
      <c r="I16" s="193">
        <v>0</v>
      </c>
      <c r="J16" s="202">
        <v>0</v>
      </c>
      <c r="K16" s="2">
        <f t="shared" si="0"/>
        <v>0</v>
      </c>
      <c r="L16" s="29">
        <f t="shared" si="0"/>
        <v>0</v>
      </c>
      <c r="M16" s="30" t="e">
        <f>(K16/E16)</f>
        <v>#DIV/0!</v>
      </c>
      <c r="N16" s="144" t="e">
        <f t="shared" si="1"/>
        <v>#DIV/0!</v>
      </c>
      <c r="O16" s="2">
        <f>(E16-K16)</f>
        <v>0</v>
      </c>
      <c r="P16" s="139">
        <f t="shared" si="2"/>
        <v>0</v>
      </c>
      <c r="Q16" s="150" t="e">
        <f>(F16/E16)</f>
        <v>#DIV/0!</v>
      </c>
      <c r="R16" s="31" t="e">
        <f t="shared" si="6"/>
        <v>#DIV/0!</v>
      </c>
      <c r="S16" s="32" t="e">
        <f>(I16/E16)</f>
        <v>#DIV/0!</v>
      </c>
      <c r="T16" s="33" t="e">
        <f t="shared" si="7"/>
        <v>#DIV/0!</v>
      </c>
      <c r="U16" s="199">
        <v>0</v>
      </c>
      <c r="V16" s="77" t="e">
        <f t="shared" si="8"/>
        <v>#DIV/0!</v>
      </c>
      <c r="W16" s="80">
        <f>528120/15648</f>
        <v>33.75</v>
      </c>
      <c r="X16" s="85" t="e">
        <f t="shared" si="9"/>
        <v>#DIV/0!</v>
      </c>
      <c r="Y16" s="127" t="e">
        <f t="shared" si="5"/>
        <v>#DIV/0!</v>
      </c>
    </row>
    <row r="17" spans="1:25">
      <c r="A17" s="2" t="s">
        <v>24</v>
      </c>
      <c r="B17" s="3" t="s">
        <v>43</v>
      </c>
      <c r="C17" s="57">
        <f t="shared" si="10"/>
        <v>0</v>
      </c>
      <c r="D17" s="54">
        <f t="shared" si="11"/>
        <v>0</v>
      </c>
      <c r="E17" s="3"/>
      <c r="F17" s="29"/>
      <c r="G17" s="192">
        <v>0</v>
      </c>
      <c r="H17" s="194">
        <v>0</v>
      </c>
      <c r="I17" s="193">
        <v>0</v>
      </c>
      <c r="J17" s="202">
        <v>0</v>
      </c>
      <c r="K17" s="2">
        <v>0</v>
      </c>
      <c r="L17" s="29">
        <v>0</v>
      </c>
      <c r="M17" s="30" t="e">
        <f t="shared" si="1"/>
        <v>#DIV/0!</v>
      </c>
      <c r="N17" s="144" t="e">
        <f t="shared" si="1"/>
        <v>#DIV/0!</v>
      </c>
      <c r="O17" s="2">
        <f t="shared" si="2"/>
        <v>0</v>
      </c>
      <c r="P17" s="139">
        <f t="shared" si="2"/>
        <v>0</v>
      </c>
      <c r="Q17" s="150" t="e">
        <f t="shared" si="3"/>
        <v>#DIV/0!</v>
      </c>
      <c r="R17" s="31" t="e">
        <f t="shared" si="6"/>
        <v>#DIV/0!</v>
      </c>
      <c r="S17" s="32" t="e">
        <f t="shared" si="4"/>
        <v>#DIV/0!</v>
      </c>
      <c r="T17" s="33" t="e">
        <f t="shared" si="7"/>
        <v>#DIV/0!</v>
      </c>
      <c r="U17" s="199">
        <v>0</v>
      </c>
      <c r="V17" s="77" t="e">
        <f t="shared" si="8"/>
        <v>#DIV/0!</v>
      </c>
      <c r="W17" s="80">
        <f>103758/2973</f>
        <v>34.900100908173563</v>
      </c>
      <c r="X17" s="85" t="e">
        <f t="shared" si="9"/>
        <v>#DIV/0!</v>
      </c>
      <c r="Y17" s="127" t="e">
        <f t="shared" si="5"/>
        <v>#DIV/0!</v>
      </c>
    </row>
    <row r="18" spans="1:25" ht="13.5" thickBot="1">
      <c r="A18" s="2" t="s">
        <v>25</v>
      </c>
      <c r="B18" s="3" t="s">
        <v>43</v>
      </c>
      <c r="C18" s="57">
        <f t="shared" si="10"/>
        <v>0</v>
      </c>
      <c r="D18" s="54">
        <f t="shared" si="11"/>
        <v>0</v>
      </c>
      <c r="E18" s="176"/>
      <c r="F18" s="29"/>
      <c r="G18" s="192">
        <v>0</v>
      </c>
      <c r="H18" s="194">
        <v>0</v>
      </c>
      <c r="I18" s="193">
        <v>0</v>
      </c>
      <c r="J18" s="202">
        <v>0</v>
      </c>
      <c r="K18" s="2">
        <v>0</v>
      </c>
      <c r="L18" s="29">
        <v>0</v>
      </c>
      <c r="M18" s="30" t="e">
        <f t="shared" si="1"/>
        <v>#DIV/0!</v>
      </c>
      <c r="N18" s="144" t="e">
        <f t="shared" si="1"/>
        <v>#DIV/0!</v>
      </c>
      <c r="O18" s="2">
        <f t="shared" si="2"/>
        <v>0</v>
      </c>
      <c r="P18" s="139">
        <f t="shared" si="2"/>
        <v>0</v>
      </c>
      <c r="Q18" s="150" t="e">
        <f t="shared" si="3"/>
        <v>#DIV/0!</v>
      </c>
      <c r="R18" s="31" t="e">
        <f t="shared" si="6"/>
        <v>#DIV/0!</v>
      </c>
      <c r="S18" s="32" t="e">
        <f t="shared" si="4"/>
        <v>#DIV/0!</v>
      </c>
      <c r="T18" s="33" t="e">
        <f t="shared" si="7"/>
        <v>#DIV/0!</v>
      </c>
      <c r="U18" s="199">
        <v>0</v>
      </c>
      <c r="V18" s="77" t="e">
        <f t="shared" si="8"/>
        <v>#DIV/0!</v>
      </c>
      <c r="W18" s="80">
        <v>0</v>
      </c>
      <c r="X18" s="85" t="e">
        <f t="shared" si="9"/>
        <v>#DIV/0!</v>
      </c>
      <c r="Y18" s="127" t="e">
        <f t="shared" si="5"/>
        <v>#DIV/0!</v>
      </c>
    </row>
    <row r="19" spans="1:25" ht="13.5" thickBot="1">
      <c r="A19" s="5" t="s">
        <v>26</v>
      </c>
      <c r="B19" s="34"/>
      <c r="C19" s="58">
        <f t="shared" si="10"/>
        <v>0</v>
      </c>
      <c r="D19" s="59">
        <f t="shared" si="11"/>
        <v>0</v>
      </c>
      <c r="E19" s="34"/>
      <c r="F19" s="35"/>
      <c r="G19" s="195">
        <f>SUM(G13:G18)</f>
        <v>0</v>
      </c>
      <c r="H19" s="196">
        <f>SUM(H13:H18)</f>
        <v>0</v>
      </c>
      <c r="I19" s="196">
        <f>SUM(I13:I18)</f>
        <v>0</v>
      </c>
      <c r="J19" s="196">
        <f>SUM(J13:J18)</f>
        <v>0</v>
      </c>
      <c r="K19" s="5">
        <f t="shared" si="0"/>
        <v>0</v>
      </c>
      <c r="L19" s="35">
        <f>SUM(L13:L18)</f>
        <v>0</v>
      </c>
      <c r="M19" s="155" t="e">
        <f t="shared" si="1"/>
        <v>#DIV/0!</v>
      </c>
      <c r="N19" s="145" t="e">
        <f t="shared" si="1"/>
        <v>#DIV/0!</v>
      </c>
      <c r="O19" s="5">
        <f t="shared" si="2"/>
        <v>0</v>
      </c>
      <c r="P19" s="35">
        <f t="shared" si="2"/>
        <v>0</v>
      </c>
      <c r="Q19" s="61" t="e">
        <f t="shared" si="3"/>
        <v>#DIV/0!</v>
      </c>
      <c r="R19" s="151" t="e">
        <f t="shared" si="6"/>
        <v>#DIV/0!</v>
      </c>
      <c r="S19" s="62" t="e">
        <f t="shared" si="4"/>
        <v>#DIV/0!</v>
      </c>
      <c r="T19" s="62" t="e">
        <f t="shared" si="7"/>
        <v>#DIV/0!</v>
      </c>
      <c r="U19" s="200">
        <f>SUM(U13:U18)</f>
        <v>0</v>
      </c>
      <c r="V19" s="153" t="e">
        <f t="shared" si="8"/>
        <v>#DIV/0!</v>
      </c>
      <c r="W19" s="74">
        <f>1537173/56734</f>
        <v>27.0943878450312</v>
      </c>
      <c r="X19" s="60" t="e">
        <f t="shared" si="9"/>
        <v>#DIV/0!</v>
      </c>
      <c r="Y19" s="127" t="e">
        <f t="shared" si="5"/>
        <v>#DIV/0!</v>
      </c>
    </row>
    <row r="20" spans="1:25">
      <c r="A20" s="2" t="s">
        <v>60</v>
      </c>
      <c r="B20" s="3"/>
      <c r="C20" s="57">
        <f t="shared" si="10"/>
        <v>0</v>
      </c>
      <c r="D20" s="54">
        <f t="shared" si="11"/>
        <v>0</v>
      </c>
      <c r="E20" s="3"/>
      <c r="F20" s="29"/>
      <c r="G20" s="192"/>
      <c r="H20" s="194"/>
      <c r="I20" s="193"/>
      <c r="J20" s="202"/>
      <c r="K20" s="2"/>
      <c r="L20" s="29"/>
      <c r="M20" s="30" t="e">
        <f t="shared" si="1"/>
        <v>#DIV/0!</v>
      </c>
      <c r="N20" s="144" t="e">
        <f t="shared" si="1"/>
        <v>#DIV/0!</v>
      </c>
      <c r="O20" s="2">
        <f t="shared" si="2"/>
        <v>0</v>
      </c>
      <c r="P20" s="139">
        <f t="shared" si="2"/>
        <v>0</v>
      </c>
      <c r="Q20" s="150" t="e">
        <f t="shared" si="3"/>
        <v>#DIV/0!</v>
      </c>
      <c r="R20" s="31" t="e">
        <f t="shared" si="6"/>
        <v>#DIV/0!</v>
      </c>
      <c r="S20" s="32" t="e">
        <f t="shared" si="4"/>
        <v>#DIV/0!</v>
      </c>
      <c r="T20" s="33" t="e">
        <f t="shared" si="7"/>
        <v>#DIV/0!</v>
      </c>
      <c r="U20" s="199"/>
      <c r="V20" s="77" t="e">
        <f t="shared" si="8"/>
        <v>#DIV/0!</v>
      </c>
      <c r="W20" s="80"/>
      <c r="X20" s="85" t="e">
        <f t="shared" si="9"/>
        <v>#DIV/0!</v>
      </c>
      <c r="Y20" s="127" t="e">
        <f t="shared" si="5"/>
        <v>#DIV/0!</v>
      </c>
    </row>
    <row r="21" spans="1:25" ht="13.5" thickBot="1">
      <c r="A21" s="2" t="s">
        <v>61</v>
      </c>
      <c r="B21" s="3"/>
      <c r="C21" s="57">
        <f t="shared" si="10"/>
        <v>0</v>
      </c>
      <c r="D21" s="54">
        <f t="shared" si="11"/>
        <v>0</v>
      </c>
      <c r="E21" s="3"/>
      <c r="F21" s="29"/>
      <c r="G21" s="192"/>
      <c r="H21" s="194"/>
      <c r="I21" s="193"/>
      <c r="J21" s="202"/>
      <c r="K21" s="2"/>
      <c r="L21" s="29"/>
      <c r="M21" s="30" t="e">
        <f t="shared" si="1"/>
        <v>#DIV/0!</v>
      </c>
      <c r="N21" s="144" t="e">
        <f t="shared" si="1"/>
        <v>#DIV/0!</v>
      </c>
      <c r="O21" s="2">
        <f t="shared" si="2"/>
        <v>0</v>
      </c>
      <c r="P21" s="139">
        <f t="shared" si="2"/>
        <v>0</v>
      </c>
      <c r="Q21" s="150" t="e">
        <f t="shared" si="3"/>
        <v>#DIV/0!</v>
      </c>
      <c r="R21" s="31" t="e">
        <f t="shared" si="6"/>
        <v>#DIV/0!</v>
      </c>
      <c r="S21" s="32" t="e">
        <f t="shared" si="4"/>
        <v>#DIV/0!</v>
      </c>
      <c r="T21" s="33" t="e">
        <f t="shared" si="7"/>
        <v>#DIV/0!</v>
      </c>
      <c r="U21" s="199"/>
      <c r="V21" s="77" t="e">
        <f t="shared" si="8"/>
        <v>#DIV/0!</v>
      </c>
      <c r="W21" s="80"/>
      <c r="X21" s="85" t="e">
        <f t="shared" si="9"/>
        <v>#DIV/0!</v>
      </c>
      <c r="Y21" s="127" t="e">
        <f t="shared" si="5"/>
        <v>#DIV/0!</v>
      </c>
    </row>
    <row r="22" spans="1:25" ht="13.5" thickBot="1">
      <c r="A22" s="5" t="s">
        <v>59</v>
      </c>
      <c r="B22" s="34"/>
      <c r="C22" s="58"/>
      <c r="D22" s="59"/>
      <c r="E22" s="34"/>
      <c r="F22" s="5"/>
      <c r="G22" s="195"/>
      <c r="H22" s="195"/>
      <c r="I22" s="195"/>
      <c r="J22" s="195"/>
      <c r="K22" s="5">
        <f>SUM(K20:K21)</f>
        <v>0</v>
      </c>
      <c r="L22" s="5">
        <f>SUM(L20:L21)</f>
        <v>0</v>
      </c>
      <c r="M22" s="155"/>
      <c r="N22" s="145"/>
      <c r="O22" s="5"/>
      <c r="P22" s="35"/>
      <c r="Q22" s="61"/>
      <c r="R22" s="151"/>
      <c r="S22" s="62"/>
      <c r="T22" s="62"/>
      <c r="U22" s="200"/>
      <c r="V22" s="153"/>
      <c r="W22" s="74"/>
      <c r="X22" s="60"/>
      <c r="Y22" s="127"/>
    </row>
    <row r="23" spans="1:25" ht="13.5" thickBot="1">
      <c r="A23" s="2" t="s">
        <v>27</v>
      </c>
      <c r="B23" s="3" t="s">
        <v>43</v>
      </c>
      <c r="C23" s="57">
        <f t="shared" si="10"/>
        <v>0</v>
      </c>
      <c r="D23" s="54">
        <f t="shared" si="11"/>
        <v>0</v>
      </c>
      <c r="E23" s="3"/>
      <c r="F23" s="29"/>
      <c r="G23" s="192">
        <v>0</v>
      </c>
      <c r="H23" s="194">
        <v>0</v>
      </c>
      <c r="I23" s="193">
        <v>0</v>
      </c>
      <c r="J23" s="202">
        <v>0</v>
      </c>
      <c r="K23" s="2">
        <f t="shared" si="0"/>
        <v>0</v>
      </c>
      <c r="L23" s="29">
        <f t="shared" si="0"/>
        <v>0</v>
      </c>
      <c r="M23" s="30" t="e">
        <f t="shared" si="1"/>
        <v>#DIV/0!</v>
      </c>
      <c r="N23" s="144" t="e">
        <f t="shared" si="1"/>
        <v>#DIV/0!</v>
      </c>
      <c r="O23" s="2">
        <f t="shared" si="2"/>
        <v>0</v>
      </c>
      <c r="P23" s="139">
        <f t="shared" si="2"/>
        <v>0</v>
      </c>
      <c r="Q23" s="150" t="e">
        <f t="shared" si="3"/>
        <v>#DIV/0!</v>
      </c>
      <c r="R23" s="31" t="e">
        <f t="shared" si="6"/>
        <v>#DIV/0!</v>
      </c>
      <c r="S23" s="32" t="e">
        <f t="shared" si="4"/>
        <v>#DIV/0!</v>
      </c>
      <c r="T23" s="33" t="e">
        <f t="shared" si="7"/>
        <v>#DIV/0!</v>
      </c>
      <c r="U23" s="199">
        <v>0</v>
      </c>
      <c r="V23" s="77" t="e">
        <f t="shared" si="8"/>
        <v>#DIV/0!</v>
      </c>
      <c r="W23" s="80">
        <f>231313/2573</f>
        <v>89.90011659541392</v>
      </c>
      <c r="X23" s="85" t="e">
        <f t="shared" si="9"/>
        <v>#DIV/0!</v>
      </c>
      <c r="Y23" s="127" t="e">
        <f t="shared" si="5"/>
        <v>#DIV/0!</v>
      </c>
    </row>
    <row r="24" spans="1:25" ht="13.5" thickBot="1">
      <c r="A24" s="5" t="s">
        <v>28</v>
      </c>
      <c r="B24" s="34"/>
      <c r="C24" s="58">
        <f t="shared" si="10"/>
        <v>0</v>
      </c>
      <c r="D24" s="59">
        <f t="shared" si="11"/>
        <v>0</v>
      </c>
      <c r="E24" s="34"/>
      <c r="F24" s="5"/>
      <c r="G24" s="195">
        <f>SUM(G23)</f>
        <v>0</v>
      </c>
      <c r="H24" s="195">
        <f>SUM(H23)</f>
        <v>0</v>
      </c>
      <c r="I24" s="195">
        <f>SUM(I23)</f>
        <v>0</v>
      </c>
      <c r="J24" s="195">
        <f>SUM(J23)</f>
        <v>0</v>
      </c>
      <c r="K24" s="5">
        <f t="shared" si="0"/>
        <v>0</v>
      </c>
      <c r="L24" s="35">
        <f>SUM(L23)</f>
        <v>0</v>
      </c>
      <c r="M24" s="155" t="e">
        <f t="shared" si="1"/>
        <v>#DIV/0!</v>
      </c>
      <c r="N24" s="145" t="e">
        <f t="shared" si="1"/>
        <v>#DIV/0!</v>
      </c>
      <c r="O24" s="5">
        <f t="shared" si="2"/>
        <v>0</v>
      </c>
      <c r="P24" s="35">
        <f t="shared" si="2"/>
        <v>0</v>
      </c>
      <c r="Q24" s="61" t="e">
        <f t="shared" si="3"/>
        <v>#DIV/0!</v>
      </c>
      <c r="R24" s="151" t="e">
        <f t="shared" si="6"/>
        <v>#DIV/0!</v>
      </c>
      <c r="S24" s="62" t="e">
        <f t="shared" si="4"/>
        <v>#DIV/0!</v>
      </c>
      <c r="T24" s="62" t="e">
        <f t="shared" si="7"/>
        <v>#DIV/0!</v>
      </c>
      <c r="U24" s="200">
        <f>SUM(U23)</f>
        <v>0</v>
      </c>
      <c r="V24" s="153" t="e">
        <f t="shared" si="8"/>
        <v>#DIV/0!</v>
      </c>
      <c r="W24" s="74">
        <f>231313/2573</f>
        <v>89.90011659541392</v>
      </c>
      <c r="X24" s="60" t="e">
        <f t="shared" si="9"/>
        <v>#DIV/0!</v>
      </c>
      <c r="Y24" s="127" t="e">
        <f t="shared" si="5"/>
        <v>#DIV/0!</v>
      </c>
    </row>
    <row r="25" spans="1:25">
      <c r="A25" s="2" t="s">
        <v>47</v>
      </c>
      <c r="B25" s="3" t="s">
        <v>43</v>
      </c>
      <c r="C25" s="57">
        <f t="shared" si="10"/>
        <v>0</v>
      </c>
      <c r="D25" s="54">
        <f>((C25-G25)/600)</f>
        <v>0</v>
      </c>
      <c r="E25" s="3"/>
      <c r="F25" s="29"/>
      <c r="G25" s="192">
        <v>0</v>
      </c>
      <c r="H25" s="194">
        <v>0</v>
      </c>
      <c r="I25" s="193">
        <v>0</v>
      </c>
      <c r="J25" s="202">
        <v>0</v>
      </c>
      <c r="K25" s="2">
        <f t="shared" si="0"/>
        <v>0</v>
      </c>
      <c r="L25" s="2">
        <f t="shared" si="0"/>
        <v>0</v>
      </c>
      <c r="M25" s="30" t="e">
        <f t="shared" si="1"/>
        <v>#DIV/0!</v>
      </c>
      <c r="N25" s="144" t="e">
        <f t="shared" si="1"/>
        <v>#DIV/0!</v>
      </c>
      <c r="O25" s="2">
        <f t="shared" si="2"/>
        <v>0</v>
      </c>
      <c r="P25" s="139">
        <f t="shared" si="2"/>
        <v>0</v>
      </c>
      <c r="Q25" s="150" t="e">
        <f t="shared" si="3"/>
        <v>#DIV/0!</v>
      </c>
      <c r="R25" s="31" t="e">
        <f t="shared" si="6"/>
        <v>#DIV/0!</v>
      </c>
      <c r="S25" s="32" t="e">
        <f t="shared" si="4"/>
        <v>#DIV/0!</v>
      </c>
      <c r="T25" s="33" t="e">
        <f t="shared" si="7"/>
        <v>#DIV/0!</v>
      </c>
      <c r="U25" s="199">
        <v>0</v>
      </c>
      <c r="V25" s="77" t="e">
        <f t="shared" si="8"/>
        <v>#DIV/0!</v>
      </c>
      <c r="W25" s="80">
        <v>0</v>
      </c>
      <c r="X25" s="85" t="e">
        <f t="shared" si="9"/>
        <v>#DIV/0!</v>
      </c>
      <c r="Y25" s="127" t="e">
        <f t="shared" si="5"/>
        <v>#DIV/0!</v>
      </c>
    </row>
    <row r="26" spans="1:25">
      <c r="A26" s="2" t="s">
        <v>48</v>
      </c>
      <c r="B26" s="3" t="s">
        <v>43</v>
      </c>
      <c r="C26" s="57">
        <f t="shared" si="10"/>
        <v>0</v>
      </c>
      <c r="D26" s="54">
        <f>((C26-G26)/600)</f>
        <v>0</v>
      </c>
      <c r="E26" s="3"/>
      <c r="F26" s="29"/>
      <c r="G26" s="192">
        <v>0</v>
      </c>
      <c r="H26" s="194">
        <v>0</v>
      </c>
      <c r="I26" s="193">
        <v>0</v>
      </c>
      <c r="J26" s="202">
        <v>0</v>
      </c>
      <c r="K26" s="2">
        <v>0</v>
      </c>
      <c r="L26" s="2">
        <v>0</v>
      </c>
      <c r="M26" s="30" t="e">
        <f t="shared" si="1"/>
        <v>#DIV/0!</v>
      </c>
      <c r="N26" s="144" t="e">
        <f t="shared" si="1"/>
        <v>#DIV/0!</v>
      </c>
      <c r="O26" s="2">
        <f t="shared" si="2"/>
        <v>0</v>
      </c>
      <c r="P26" s="139">
        <f t="shared" si="2"/>
        <v>0</v>
      </c>
      <c r="Q26" s="150" t="e">
        <f t="shared" si="3"/>
        <v>#DIV/0!</v>
      </c>
      <c r="R26" s="31" t="e">
        <f t="shared" si="6"/>
        <v>#DIV/0!</v>
      </c>
      <c r="S26" s="32" t="e">
        <f t="shared" si="4"/>
        <v>#DIV/0!</v>
      </c>
      <c r="T26" s="33" t="e">
        <f t="shared" si="7"/>
        <v>#DIV/0!</v>
      </c>
      <c r="U26" s="199">
        <v>0</v>
      </c>
      <c r="V26" s="77" t="e">
        <f t="shared" si="8"/>
        <v>#DIV/0!</v>
      </c>
      <c r="W26" s="80">
        <v>0</v>
      </c>
      <c r="X26" s="85" t="e">
        <f t="shared" si="9"/>
        <v>#DIV/0!</v>
      </c>
      <c r="Y26" s="127" t="e">
        <f t="shared" si="5"/>
        <v>#DIV/0!</v>
      </c>
    </row>
    <row r="27" spans="1:25">
      <c r="A27" s="2" t="s">
        <v>49</v>
      </c>
      <c r="B27" s="3" t="s">
        <v>43</v>
      </c>
      <c r="C27" s="57">
        <f t="shared" si="10"/>
        <v>0</v>
      </c>
      <c r="D27" s="54">
        <f>((C27-G27)/600)</f>
        <v>0</v>
      </c>
      <c r="E27" s="3"/>
      <c r="F27" s="29"/>
      <c r="G27" s="192">
        <v>0</v>
      </c>
      <c r="H27" s="194">
        <v>0</v>
      </c>
      <c r="I27" s="193">
        <v>0</v>
      </c>
      <c r="J27" s="202">
        <v>0</v>
      </c>
      <c r="K27" s="2">
        <f t="shared" si="0"/>
        <v>0</v>
      </c>
      <c r="L27" s="2">
        <f t="shared" si="0"/>
        <v>0</v>
      </c>
      <c r="M27" s="30" t="e">
        <f t="shared" si="1"/>
        <v>#DIV/0!</v>
      </c>
      <c r="N27" s="144" t="e">
        <f t="shared" si="1"/>
        <v>#DIV/0!</v>
      </c>
      <c r="O27" s="2">
        <f t="shared" si="2"/>
        <v>0</v>
      </c>
      <c r="P27" s="139">
        <f t="shared" si="2"/>
        <v>0</v>
      </c>
      <c r="Q27" s="150" t="e">
        <f t="shared" si="3"/>
        <v>#DIV/0!</v>
      </c>
      <c r="R27" s="31" t="e">
        <f t="shared" si="6"/>
        <v>#DIV/0!</v>
      </c>
      <c r="S27" s="32" t="e">
        <f t="shared" si="4"/>
        <v>#DIV/0!</v>
      </c>
      <c r="T27" s="33" t="e">
        <f t="shared" si="7"/>
        <v>#DIV/0!</v>
      </c>
      <c r="U27" s="199">
        <v>0</v>
      </c>
      <c r="V27" s="77" t="e">
        <f t="shared" si="8"/>
        <v>#DIV/0!</v>
      </c>
      <c r="W27" s="80">
        <v>0</v>
      </c>
      <c r="X27" s="85" t="e">
        <f t="shared" si="9"/>
        <v>#DIV/0!</v>
      </c>
      <c r="Y27" s="127" t="e">
        <f t="shared" si="5"/>
        <v>#DIV/0!</v>
      </c>
    </row>
    <row r="28" spans="1:25" ht="13.5" thickBot="1">
      <c r="A28" s="2" t="s">
        <v>50</v>
      </c>
      <c r="B28" s="3" t="s">
        <v>43</v>
      </c>
      <c r="C28" s="57">
        <f t="shared" si="10"/>
        <v>0</v>
      </c>
      <c r="D28" s="54">
        <f>((C28-G28)/600)</f>
        <v>0</v>
      </c>
      <c r="E28" s="3"/>
      <c r="F28" s="29"/>
      <c r="G28" s="192">
        <v>0</v>
      </c>
      <c r="H28" s="194">
        <v>0</v>
      </c>
      <c r="I28" s="193">
        <v>0</v>
      </c>
      <c r="J28" s="202">
        <v>0</v>
      </c>
      <c r="K28" s="2">
        <f t="shared" si="0"/>
        <v>0</v>
      </c>
      <c r="L28" s="2">
        <f t="shared" si="0"/>
        <v>0</v>
      </c>
      <c r="M28" s="30" t="e">
        <f t="shared" si="1"/>
        <v>#DIV/0!</v>
      </c>
      <c r="N28" s="146" t="e">
        <f t="shared" si="1"/>
        <v>#DIV/0!</v>
      </c>
      <c r="O28" s="2">
        <f t="shared" si="2"/>
        <v>0</v>
      </c>
      <c r="P28" s="148">
        <f t="shared" si="2"/>
        <v>0</v>
      </c>
      <c r="Q28" s="150" t="e">
        <f t="shared" si="3"/>
        <v>#DIV/0!</v>
      </c>
      <c r="R28" s="152" t="e">
        <f t="shared" si="6"/>
        <v>#DIV/0!</v>
      </c>
      <c r="S28" s="32" t="e">
        <f t="shared" si="4"/>
        <v>#DIV/0!</v>
      </c>
      <c r="T28" s="33" t="e">
        <f t="shared" si="7"/>
        <v>#DIV/0!</v>
      </c>
      <c r="U28" s="199">
        <v>0</v>
      </c>
      <c r="V28" s="76" t="e">
        <f t="shared" si="8"/>
        <v>#DIV/0!</v>
      </c>
      <c r="W28" s="80">
        <v>0</v>
      </c>
      <c r="X28" s="85" t="e">
        <f t="shared" si="9"/>
        <v>#DIV/0!</v>
      </c>
      <c r="Y28" s="127" t="e">
        <f t="shared" si="5"/>
        <v>#DIV/0!</v>
      </c>
    </row>
    <row r="29" spans="1:25" ht="13.5" thickBot="1">
      <c r="A29" s="5" t="s">
        <v>29</v>
      </c>
      <c r="B29" s="34"/>
      <c r="C29" s="58">
        <f>((E29*90)/100)</f>
        <v>0</v>
      </c>
      <c r="D29" s="59">
        <f>((C29-G29)/600)</f>
        <v>0</v>
      </c>
      <c r="E29" s="34"/>
      <c r="F29" s="5"/>
      <c r="G29" s="195">
        <f>SUM(G25:G28)</f>
        <v>0</v>
      </c>
      <c r="H29" s="196">
        <f>SUM(H25:H28)</f>
        <v>0</v>
      </c>
      <c r="I29" s="196">
        <f>SUM(I25:I28)</f>
        <v>0</v>
      </c>
      <c r="J29" s="196">
        <f>SUM(J25:J28)</f>
        <v>0</v>
      </c>
      <c r="K29" s="47">
        <f t="shared" si="0"/>
        <v>0</v>
      </c>
      <c r="L29" s="46">
        <f>SUM(L25:L28)</f>
        <v>0</v>
      </c>
      <c r="M29" s="48" t="e">
        <f t="shared" si="1"/>
        <v>#DIV/0!</v>
      </c>
      <c r="N29" s="48" t="e">
        <f t="shared" si="1"/>
        <v>#DIV/0!</v>
      </c>
      <c r="O29" s="47">
        <f t="shared" si="2"/>
        <v>0</v>
      </c>
      <c r="P29" s="47">
        <f t="shared" si="2"/>
        <v>0</v>
      </c>
      <c r="Q29" s="60" t="e">
        <f t="shared" si="3"/>
        <v>#DIV/0!</v>
      </c>
      <c r="R29" s="61" t="e">
        <f t="shared" si="6"/>
        <v>#DIV/0!</v>
      </c>
      <c r="S29" s="62" t="e">
        <f t="shared" si="4"/>
        <v>#DIV/0!</v>
      </c>
      <c r="T29" s="62" t="e">
        <f t="shared" si="7"/>
        <v>#DIV/0!</v>
      </c>
      <c r="U29" s="200">
        <f>SUM(U25:U28)</f>
        <v>0</v>
      </c>
      <c r="V29" s="78" t="e">
        <f t="shared" si="8"/>
        <v>#DIV/0!</v>
      </c>
      <c r="W29" s="74"/>
      <c r="X29" s="60" t="e">
        <f t="shared" si="9"/>
        <v>#DIV/0!</v>
      </c>
      <c r="Y29" s="127" t="e">
        <f t="shared" si="5"/>
        <v>#DIV/0!</v>
      </c>
    </row>
    <row r="30" spans="1:25" ht="14.25" thickBot="1">
      <c r="A30" s="36" t="s">
        <v>2</v>
      </c>
      <c r="B30" s="37"/>
      <c r="C30" s="58">
        <f>((E30*90)/100)</f>
        <v>0</v>
      </c>
      <c r="D30" s="59">
        <f>D29+D24+D19+D12+D10</f>
        <v>0</v>
      </c>
      <c r="E30" s="36"/>
      <c r="F30" s="38"/>
      <c r="G30" s="204">
        <f>(G10+G12+G19+G24+G29)</f>
        <v>0</v>
      </c>
      <c r="H30" s="204">
        <f>(H10+H12+H19+H24+H29)</f>
        <v>0</v>
      </c>
      <c r="I30" s="204">
        <f>(I10+I12+I19+I24+I29)</f>
        <v>0</v>
      </c>
      <c r="J30" s="204">
        <f>(J10+J12+J19+J24+J29)</f>
        <v>0</v>
      </c>
      <c r="K30" s="47">
        <f t="shared" si="0"/>
        <v>0</v>
      </c>
      <c r="L30" s="47">
        <f>L10+L12+L19+L24+L29</f>
        <v>0</v>
      </c>
      <c r="M30" s="48" t="e">
        <f t="shared" si="1"/>
        <v>#DIV/0!</v>
      </c>
      <c r="N30" s="48" t="e">
        <f t="shared" si="1"/>
        <v>#DIV/0!</v>
      </c>
      <c r="O30" s="47">
        <f t="shared" si="2"/>
        <v>0</v>
      </c>
      <c r="P30" s="47">
        <f t="shared" si="2"/>
        <v>0</v>
      </c>
      <c r="Q30" s="60" t="e">
        <f t="shared" si="3"/>
        <v>#DIV/0!</v>
      </c>
      <c r="R30" s="61" t="e">
        <f t="shared" si="6"/>
        <v>#DIV/0!</v>
      </c>
      <c r="S30" s="62" t="e">
        <f t="shared" si="4"/>
        <v>#DIV/0!</v>
      </c>
      <c r="T30" s="62" t="e">
        <f t="shared" si="7"/>
        <v>#DIV/0!</v>
      </c>
      <c r="U30" s="198">
        <f>U10+U12+U19+U24+U29</f>
        <v>0</v>
      </c>
      <c r="V30" s="78" t="e">
        <f t="shared" si="8"/>
        <v>#DIV/0!</v>
      </c>
      <c r="W30" s="74">
        <f>3432971/103562</f>
        <v>33.148944593576793</v>
      </c>
      <c r="X30" s="60" t="e">
        <f t="shared" si="9"/>
        <v>#DIV/0!</v>
      </c>
      <c r="Y30" s="127" t="e">
        <f t="shared" si="5"/>
        <v>#DIV/0!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21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77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50"/>
      <c r="G34" s="93"/>
      <c r="H34" s="94"/>
      <c r="I34" s="93"/>
      <c r="J34" s="97"/>
    </row>
    <row r="35" spans="2:10">
      <c r="B35" s="2"/>
      <c r="C35" s="3"/>
      <c r="D35" s="3"/>
      <c r="E35" s="64" t="s">
        <v>37</v>
      </c>
      <c r="F35" s="3"/>
      <c r="G35" s="64"/>
      <c r="H35" s="3"/>
      <c r="I35" s="64"/>
      <c r="J35" s="98"/>
    </row>
    <row r="36" spans="2:10" ht="13.5" thickBot="1">
      <c r="B36" s="4"/>
      <c r="C36" s="51"/>
      <c r="D36" s="51"/>
      <c r="E36" s="65" t="s">
        <v>4</v>
      </c>
      <c r="F36" s="51" t="s">
        <v>38</v>
      </c>
      <c r="G36" s="65" t="s">
        <v>39</v>
      </c>
      <c r="H36" s="51" t="s">
        <v>40</v>
      </c>
      <c r="I36" s="65" t="s">
        <v>41</v>
      </c>
      <c r="J36" s="99" t="s">
        <v>42</v>
      </c>
    </row>
    <row r="37" spans="2:10">
      <c r="B37" s="2" t="s">
        <v>31</v>
      </c>
      <c r="C37" s="3"/>
      <c r="D37" s="3"/>
      <c r="E37" s="64">
        <f>E19</f>
        <v>0</v>
      </c>
      <c r="F37" s="3">
        <f>G19</f>
        <v>0</v>
      </c>
      <c r="G37" s="64">
        <f>I19</f>
        <v>0</v>
      </c>
      <c r="H37" s="3">
        <f>K19</f>
        <v>0</v>
      </c>
      <c r="I37" s="95" t="e">
        <f>E37/E38</f>
        <v>#DIV/0!</v>
      </c>
      <c r="J37" s="100">
        <f>IF(H38=0,0,H37/H38)</f>
        <v>0</v>
      </c>
    </row>
    <row r="38" spans="2:10" ht="13.5" thickBot="1">
      <c r="B38" s="4" t="s">
        <v>30</v>
      </c>
      <c r="C38" s="51"/>
      <c r="D38" s="51"/>
      <c r="E38" s="65">
        <f>E10</f>
        <v>0</v>
      </c>
      <c r="F38" s="51">
        <f>G10</f>
        <v>0</v>
      </c>
      <c r="G38" s="65">
        <f>I10</f>
        <v>0</v>
      </c>
      <c r="H38" s="51">
        <f>K10</f>
        <v>0</v>
      </c>
      <c r="I38" s="96" t="e">
        <f>E38/E38</f>
        <v>#DIV/0!</v>
      </c>
      <c r="J38" s="101">
        <f>IF(H38=0,0,H38/H38)</f>
        <v>0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Blad6"/>
  <dimension ref="A1:Z38"/>
  <sheetViews>
    <sheetView zoomScale="85" workbookViewId="0">
      <selection activeCell="B3" sqref="A3:F3"/>
    </sheetView>
  </sheetViews>
  <sheetFormatPr baseColWidth="10" defaultColWidth="9.140625" defaultRowHeight="12.75"/>
  <cols>
    <col min="1" max="1" width="5" customWidth="1"/>
    <col min="2" max="2" width="9.42578125" customWidth="1"/>
    <col min="3" max="3" width="9.28515625" bestFit="1" customWidth="1"/>
    <col min="4" max="4" width="11.7109375" bestFit="1" customWidth="1"/>
    <col min="5" max="5" width="9.28515625" bestFit="1" customWidth="1"/>
    <col min="6" max="6" width="9.42578125" customWidth="1"/>
    <col min="7" max="7" width="9.28515625" bestFit="1" customWidth="1"/>
    <col min="8" max="8" width="9.42578125" customWidth="1"/>
    <col min="9" max="9" width="9.28515625" bestFit="1" customWidth="1"/>
    <col min="10" max="10" width="10.42578125" bestFit="1" customWidth="1"/>
    <col min="11" max="11" width="9.28515625" bestFit="1" customWidth="1"/>
    <col min="12" max="12" width="11.140625" customWidth="1"/>
    <col min="21" max="21" width="9.85546875" bestFit="1" customWidth="1"/>
    <col min="22" max="22" width="9.140625" bestFit="1" customWidth="1"/>
    <col min="25" max="25" width="8.85546875" bestFit="1" customWidth="1"/>
    <col min="26" max="26" width="10.7109375" bestFit="1" customWidth="1"/>
  </cols>
  <sheetData>
    <row r="1" spans="1:26" ht="15.75">
      <c r="A1" s="49"/>
    </row>
    <row r="3" spans="1:26" ht="22.5">
      <c r="A3" s="273" t="s">
        <v>82</v>
      </c>
      <c r="B3" s="7"/>
      <c r="C3" s="7"/>
      <c r="D3" s="7"/>
      <c r="E3" s="7"/>
      <c r="F3" s="7"/>
      <c r="G3" s="40"/>
      <c r="H3" s="40"/>
      <c r="I3" s="40"/>
      <c r="J3" s="40"/>
      <c r="K3" s="8" t="s">
        <v>5</v>
      </c>
      <c r="L3" s="9">
        <f ca="1">NOW()</f>
        <v>40560.950314814814</v>
      </c>
      <c r="M3" s="9"/>
      <c r="N3" s="10"/>
      <c r="O3" s="7"/>
      <c r="P3" s="7"/>
      <c r="Q3" s="11"/>
      <c r="R3" s="11"/>
      <c r="S3" s="12"/>
      <c r="T3" s="12"/>
      <c r="U3" s="7"/>
      <c r="V3" s="42"/>
      <c r="W3" s="43"/>
      <c r="X3" s="41"/>
    </row>
    <row r="4" spans="1:26" ht="13.5" thickBot="1">
      <c r="A4" s="1"/>
      <c r="B4" s="1"/>
      <c r="C4" s="211" t="s">
        <v>57</v>
      </c>
      <c r="D4" s="211" t="s">
        <v>57</v>
      </c>
      <c r="E4" s="211" t="s">
        <v>57</v>
      </c>
      <c r="F4" s="211" t="s">
        <v>57</v>
      </c>
      <c r="G4" s="211" t="s">
        <v>57</v>
      </c>
      <c r="H4" s="211" t="s">
        <v>57</v>
      </c>
      <c r="I4" s="211" t="s">
        <v>57</v>
      </c>
      <c r="J4" s="211" t="s">
        <v>57</v>
      </c>
      <c r="K4" s="211" t="s">
        <v>57</v>
      </c>
      <c r="L4" s="211" t="s">
        <v>57</v>
      </c>
      <c r="M4" s="212" t="s">
        <v>57</v>
      </c>
      <c r="N4" s="212" t="s">
        <v>57</v>
      </c>
      <c r="O4" s="211" t="s">
        <v>57</v>
      </c>
      <c r="P4" s="211" t="s">
        <v>57</v>
      </c>
      <c r="Q4" s="44" t="s">
        <v>57</v>
      </c>
      <c r="R4" s="44" t="s">
        <v>57</v>
      </c>
      <c r="S4" s="213" t="s">
        <v>57</v>
      </c>
      <c r="T4" s="213" t="s">
        <v>58</v>
      </c>
      <c r="U4" s="211" t="s">
        <v>57</v>
      </c>
      <c r="V4" s="44" t="s">
        <v>57</v>
      </c>
      <c r="W4" s="44" t="s">
        <v>54</v>
      </c>
      <c r="X4" s="44"/>
      <c r="Y4" s="214" t="s">
        <v>57</v>
      </c>
    </row>
    <row r="5" spans="1:26">
      <c r="A5" s="13"/>
      <c r="B5" s="14"/>
      <c r="C5" s="55">
        <v>0.8</v>
      </c>
      <c r="D5" s="52" t="s">
        <v>45</v>
      </c>
      <c r="E5" s="72" t="s">
        <v>6</v>
      </c>
      <c r="F5" s="15"/>
      <c r="G5" s="72" t="s">
        <v>7</v>
      </c>
      <c r="H5" s="15"/>
      <c r="I5" s="70" t="s">
        <v>8</v>
      </c>
      <c r="J5" s="73"/>
      <c r="K5" s="70" t="s">
        <v>9</v>
      </c>
      <c r="L5" s="210"/>
      <c r="M5" s="17" t="s">
        <v>10</v>
      </c>
      <c r="N5" s="18"/>
      <c r="O5" s="16" t="s">
        <v>11</v>
      </c>
      <c r="P5" s="16"/>
      <c r="Q5" s="19" t="s">
        <v>12</v>
      </c>
      <c r="R5" s="19"/>
      <c r="S5" s="20" t="s">
        <v>13</v>
      </c>
      <c r="T5" s="220"/>
      <c r="U5" s="222" t="s">
        <v>32</v>
      </c>
      <c r="V5" s="75" t="s">
        <v>57</v>
      </c>
      <c r="W5" s="81" t="s">
        <v>54</v>
      </c>
      <c r="X5" s="83"/>
      <c r="Y5" s="208" t="s">
        <v>46</v>
      </c>
      <c r="Z5" s="206"/>
    </row>
    <row r="6" spans="1:26" ht="13.5" thickBot="1">
      <c r="A6" s="22"/>
      <c r="B6" s="6"/>
      <c r="C6" s="56"/>
      <c r="D6" s="53" t="s">
        <v>51</v>
      </c>
      <c r="E6" s="22" t="s">
        <v>3</v>
      </c>
      <c r="F6" s="23" t="s">
        <v>14</v>
      </c>
      <c r="G6" s="22" t="s">
        <v>3</v>
      </c>
      <c r="H6" s="23" t="s">
        <v>14</v>
      </c>
      <c r="I6" s="2" t="s">
        <v>3</v>
      </c>
      <c r="J6" s="29" t="s">
        <v>14</v>
      </c>
      <c r="K6" s="2" t="s">
        <v>3</v>
      </c>
      <c r="L6" s="23" t="s">
        <v>14</v>
      </c>
      <c r="M6" s="24" t="s">
        <v>3</v>
      </c>
      <c r="N6" s="25" t="s">
        <v>14</v>
      </c>
      <c r="O6" s="22" t="s">
        <v>3</v>
      </c>
      <c r="P6" s="23" t="s">
        <v>14</v>
      </c>
      <c r="Q6" s="149" t="s">
        <v>4</v>
      </c>
      <c r="R6" s="26" t="s">
        <v>15</v>
      </c>
      <c r="S6" s="27" t="s">
        <v>3</v>
      </c>
      <c r="T6" s="221" t="s">
        <v>14</v>
      </c>
      <c r="U6" s="223" t="s">
        <v>0</v>
      </c>
      <c r="V6" s="218" t="s">
        <v>34</v>
      </c>
      <c r="W6" s="82" t="s">
        <v>34</v>
      </c>
      <c r="X6" s="84" t="s">
        <v>33</v>
      </c>
      <c r="Y6" s="209"/>
      <c r="Z6" s="206"/>
    </row>
    <row r="7" spans="1:26">
      <c r="A7" s="2" t="s">
        <v>16</v>
      </c>
      <c r="B7" s="3"/>
      <c r="C7" s="57">
        <f t="shared" ref="C7:C23" si="0">((E7*80)/100)</f>
        <v>47222.400000000001</v>
      </c>
      <c r="D7" s="57">
        <f>((C7-G7)/1200)</f>
        <v>39.352000000000004</v>
      </c>
      <c r="E7" s="106">
        <f>FA!E7+UA!E7+UM!E7+HA!E7+HM!E7</f>
        <v>59028</v>
      </c>
      <c r="F7" s="167">
        <f>FA!F7+UA!F7+UM!F7+HA!F7+HM!F7</f>
        <v>642177</v>
      </c>
      <c r="G7" s="106">
        <f>FA!G7+UA!G7+UM!G7+HA!G7+HM!G7</f>
        <v>0</v>
      </c>
      <c r="H7" s="167">
        <f>FA!H7+UA!H7+UM!H7+HA!H7+HM!H7</f>
        <v>0</v>
      </c>
      <c r="I7" s="105">
        <v>0</v>
      </c>
      <c r="J7" s="166">
        <v>0</v>
      </c>
      <c r="K7" s="105">
        <f>FA!K7+UA!K7+UM!K7+HA!K7</f>
        <v>47231</v>
      </c>
      <c r="L7" s="29">
        <f t="shared" ref="L7:L30" si="1">(J7+H7)</f>
        <v>0</v>
      </c>
      <c r="M7" s="113">
        <f t="shared" ref="M7:N30" si="2">(K7/E7)</f>
        <v>0.80014569356915366</v>
      </c>
      <c r="N7" s="143">
        <f t="shared" si="2"/>
        <v>0</v>
      </c>
      <c r="O7" s="2">
        <f>(E7-K7)</f>
        <v>11797</v>
      </c>
      <c r="P7" s="147">
        <f>(F7-L7)</f>
        <v>642177</v>
      </c>
      <c r="Q7" s="150">
        <f>(F7/E7)</f>
        <v>10.87919292539134</v>
      </c>
      <c r="R7" s="31">
        <f>(L7/K7)</f>
        <v>0</v>
      </c>
      <c r="S7" s="32">
        <f>(I7/E7)</f>
        <v>0</v>
      </c>
      <c r="T7" s="108">
        <f>(J7/F7)</f>
        <v>0</v>
      </c>
      <c r="U7" s="224">
        <f>FA!U7+UA!U7+UM!U7+HA!U7+HM!U7</f>
        <v>1844292.4</v>
      </c>
      <c r="V7" s="217">
        <f>U7/K7</f>
        <v>39.048345366390713</v>
      </c>
      <c r="W7" s="80">
        <v>40.39</v>
      </c>
      <c r="X7" s="85">
        <f>(V7/W7)</f>
        <v>0.96678250473856675</v>
      </c>
      <c r="Y7" s="207">
        <f t="shared" ref="Y7:Y30" si="3">((U7/1.21)-L7)/(U7/1.21)</f>
        <v>1</v>
      </c>
    </row>
    <row r="8" spans="1:26">
      <c r="A8" s="2" t="s">
        <v>35</v>
      </c>
      <c r="B8" s="3"/>
      <c r="C8" s="57">
        <f t="shared" si="0"/>
        <v>156777.60000000001</v>
      </c>
      <c r="D8" s="57">
        <f>((C8-G8)/1200)</f>
        <v>130.648</v>
      </c>
      <c r="E8" s="106">
        <f>FA!E8+UA!E8+UM!E8+HA!E8+HM!E8</f>
        <v>195972</v>
      </c>
      <c r="F8" s="167">
        <f>FA!F8+UA!F8+UM!F8+HA!F8+HM!F8</f>
        <v>1799455</v>
      </c>
      <c r="G8" s="106">
        <f>FA!G8+UA!G8+UM!G8+HA!G8+HM!G8</f>
        <v>0</v>
      </c>
      <c r="H8" s="167">
        <f>FA!H8+UA!H8+UM!H8+HA!H8+HM!H8</f>
        <v>0</v>
      </c>
      <c r="I8" s="106">
        <v>0</v>
      </c>
      <c r="J8" s="167">
        <v>0</v>
      </c>
      <c r="K8" s="106">
        <f>FA!K8+UA!K8+UM!K8+HA!K8</f>
        <v>171622</v>
      </c>
      <c r="L8" s="29">
        <f t="shared" si="1"/>
        <v>0</v>
      </c>
      <c r="M8" s="113">
        <f t="shared" si="2"/>
        <v>0.87574755577327368</v>
      </c>
      <c r="N8" s="144">
        <f t="shared" si="2"/>
        <v>0</v>
      </c>
      <c r="O8" s="2">
        <f t="shared" ref="O8:P30" si="4">(E8-K8)</f>
        <v>24350</v>
      </c>
      <c r="P8" s="139">
        <f t="shared" si="4"/>
        <v>1799455</v>
      </c>
      <c r="Q8" s="150">
        <f t="shared" ref="Q8:Q30" si="5">(F8/E8)</f>
        <v>9.1822046006572364</v>
      </c>
      <c r="R8" s="31">
        <f t="shared" ref="R8:R30" si="6">(L8/K8)</f>
        <v>0</v>
      </c>
      <c r="S8" s="32">
        <f t="shared" ref="S8:T30" si="7">(I8/E8)</f>
        <v>0</v>
      </c>
      <c r="T8" s="108">
        <f t="shared" si="7"/>
        <v>0</v>
      </c>
      <c r="U8" s="225">
        <f>FA!U8+UA!U8+UM!U8+HA!U8+HM!U8</f>
        <v>5844642.5999999996</v>
      </c>
      <c r="V8" s="217">
        <f t="shared" ref="V8:V30" si="8">(U8/K8)</f>
        <v>34.055322744170326</v>
      </c>
      <c r="W8" s="80">
        <v>37.08</v>
      </c>
      <c r="X8" s="85">
        <f t="shared" ref="X8:X30" si="9">(V8/W8)</f>
        <v>0.91842833722142203</v>
      </c>
      <c r="Y8" s="127">
        <f t="shared" si="3"/>
        <v>1</v>
      </c>
    </row>
    <row r="9" spans="1:26" ht="13.5" thickBot="1">
      <c r="A9" s="2" t="s">
        <v>17</v>
      </c>
      <c r="B9" s="3"/>
      <c r="C9" s="57">
        <f t="shared" si="0"/>
        <v>124843.2</v>
      </c>
      <c r="D9" s="57">
        <f>((C9-G9)/1200)</f>
        <v>104.036</v>
      </c>
      <c r="E9" s="107">
        <f>FA!E9+UA!E9+UM!E9+HA!E9+HM!E9</f>
        <v>156054</v>
      </c>
      <c r="F9" s="168">
        <f>FA!F9+UA!F9+UM!F9+HA!F9+HM!F9</f>
        <v>1255740</v>
      </c>
      <c r="G9" s="107">
        <v>0</v>
      </c>
      <c r="H9" s="168">
        <v>0</v>
      </c>
      <c r="I9" s="107">
        <v>0</v>
      </c>
      <c r="J9" s="168">
        <v>0</v>
      </c>
      <c r="K9" s="107">
        <f>FA!K9+UA!K9+UM!K9+HA!K9</f>
        <v>139934</v>
      </c>
      <c r="L9" s="71">
        <f t="shared" si="1"/>
        <v>0</v>
      </c>
      <c r="M9" s="113">
        <f t="shared" si="2"/>
        <v>0.89670242352006357</v>
      </c>
      <c r="N9" s="144">
        <f t="shared" si="2"/>
        <v>0</v>
      </c>
      <c r="O9" s="2">
        <f t="shared" si="4"/>
        <v>16120</v>
      </c>
      <c r="P9" s="139">
        <f t="shared" si="4"/>
        <v>1255740</v>
      </c>
      <c r="Q9" s="150">
        <f t="shared" si="5"/>
        <v>8.0468299434811019</v>
      </c>
      <c r="R9" s="31">
        <f t="shared" si="6"/>
        <v>0</v>
      </c>
      <c r="S9" s="32">
        <f t="shared" si="7"/>
        <v>0</v>
      </c>
      <c r="T9" s="108">
        <f t="shared" si="7"/>
        <v>0</v>
      </c>
      <c r="U9" s="225">
        <f>FA!U9+UA!U9+UM!U9+HA!U9+HM!U9</f>
        <v>4861616.5999999996</v>
      </c>
      <c r="V9" s="217">
        <f t="shared" si="8"/>
        <v>34.742211328197577</v>
      </c>
      <c r="W9" s="80">
        <v>29.08</v>
      </c>
      <c r="X9" s="85">
        <f t="shared" si="9"/>
        <v>1.1947115312310035</v>
      </c>
      <c r="Y9" s="127">
        <f t="shared" si="3"/>
        <v>1</v>
      </c>
    </row>
    <row r="10" spans="1:26" ht="13.5" thickBot="1">
      <c r="A10" s="5" t="s">
        <v>18</v>
      </c>
      <c r="B10" s="34"/>
      <c r="C10" s="58">
        <f t="shared" si="0"/>
        <v>328843.2</v>
      </c>
      <c r="D10" s="137">
        <f>((C10-G10)/1200)</f>
        <v>274.036</v>
      </c>
      <c r="E10" s="5">
        <f>FA!E10+UA!E10+UM!E10+HA!E10+HM!E10</f>
        <v>411054</v>
      </c>
      <c r="F10" s="35">
        <f>FA!F10+UA!F10+UM!F10+HA!F10+HM!F10</f>
        <v>3697372</v>
      </c>
      <c r="G10" s="5">
        <f>FA!G10+UA!G10+UM!G10+HA!G10+HM!G10</f>
        <v>0</v>
      </c>
      <c r="H10" s="35">
        <f>FA!H10+UA!H10+UM!H10+HA!H10+HM!H10</f>
        <v>0</v>
      </c>
      <c r="I10" s="5">
        <f>FA!I10+UA!I10+UM!I10+HA!I10+HM!I10</f>
        <v>0</v>
      </c>
      <c r="J10" s="35">
        <f>FA!J10+UA!J10+UM!J10+HA!J10+HM!J10</f>
        <v>0</v>
      </c>
      <c r="K10" s="5">
        <f>FA!K10+UA!K10+UM!K10+HA!K10</f>
        <v>358787</v>
      </c>
      <c r="L10" s="171">
        <f t="shared" si="1"/>
        <v>0</v>
      </c>
      <c r="M10" s="155">
        <f t="shared" si="2"/>
        <v>0.87284639001201791</v>
      </c>
      <c r="N10" s="145">
        <f t="shared" si="2"/>
        <v>0</v>
      </c>
      <c r="O10" s="5">
        <f t="shared" si="4"/>
        <v>52267</v>
      </c>
      <c r="P10" s="35">
        <f t="shared" si="4"/>
        <v>3697372</v>
      </c>
      <c r="Q10" s="61">
        <f t="shared" si="5"/>
        <v>8.9948571233949792</v>
      </c>
      <c r="R10" s="151">
        <f t="shared" si="6"/>
        <v>0</v>
      </c>
      <c r="S10" s="62">
        <f t="shared" si="7"/>
        <v>0</v>
      </c>
      <c r="T10" s="109">
        <f t="shared" si="7"/>
        <v>0</v>
      </c>
      <c r="U10" s="219">
        <f>FA!U10+UA!U10+UM!U10+HA!U10+HM!U10</f>
        <v>12550552.6</v>
      </c>
      <c r="V10" s="110">
        <f t="shared" si="8"/>
        <v>34.980510999562412</v>
      </c>
      <c r="W10" s="74">
        <v>35.1</v>
      </c>
      <c r="X10" s="60">
        <f t="shared" si="9"/>
        <v>0.99659575497328801</v>
      </c>
      <c r="Y10" s="127">
        <f t="shared" si="3"/>
        <v>1</v>
      </c>
    </row>
    <row r="11" spans="1:26" ht="13.5" thickBot="1">
      <c r="A11" s="2" t="s">
        <v>19</v>
      </c>
      <c r="B11" s="3"/>
      <c r="C11" s="57">
        <f t="shared" si="0"/>
        <v>32442.400000000001</v>
      </c>
      <c r="D11" s="57">
        <f>((C11-G11)/900)</f>
        <v>36.047111111111114</v>
      </c>
      <c r="E11" s="102">
        <f>FA!E11+UA!E11+UM!E11+HA!E11+HM!E11</f>
        <v>40553</v>
      </c>
      <c r="F11" s="169">
        <f>FA!F11+UA!F11+UM!F11+HA!F11+HM!F11</f>
        <v>651889</v>
      </c>
      <c r="G11" s="102">
        <f>FA!G11+UA!G11+UM!G11+HA!G11+HM!G11</f>
        <v>0</v>
      </c>
      <c r="H11" s="169">
        <f>FA!H11+UA!H11+UM!H11+HA!H11+HM!H11</f>
        <v>0</v>
      </c>
      <c r="I11" s="104">
        <v>0</v>
      </c>
      <c r="J11" s="167">
        <v>0</v>
      </c>
      <c r="K11" s="104">
        <f>FA!K11+UA!K11+UM!K11+HA!K11</f>
        <v>41453</v>
      </c>
      <c r="L11" s="142">
        <f t="shared" si="1"/>
        <v>0</v>
      </c>
      <c r="M11" s="113">
        <f t="shared" si="2"/>
        <v>1.0221931792962295</v>
      </c>
      <c r="N11" s="144">
        <f t="shared" si="2"/>
        <v>0</v>
      </c>
      <c r="O11" s="2">
        <f t="shared" si="4"/>
        <v>-900</v>
      </c>
      <c r="P11" s="139">
        <f t="shared" si="4"/>
        <v>651889</v>
      </c>
      <c r="Q11" s="150">
        <f t="shared" si="5"/>
        <v>16.074988286933149</v>
      </c>
      <c r="R11" s="31">
        <f t="shared" si="6"/>
        <v>0</v>
      </c>
      <c r="S11" s="32">
        <f t="shared" si="7"/>
        <v>0</v>
      </c>
      <c r="T11" s="108">
        <f t="shared" si="7"/>
        <v>0</v>
      </c>
      <c r="U11" s="225">
        <f>FA!U11+UA!U11+UM!U11+HA!U11+HM!U11</f>
        <v>2650945.1</v>
      </c>
      <c r="V11" s="217">
        <f t="shared" si="8"/>
        <v>63.950621185438933</v>
      </c>
      <c r="W11" s="80">
        <v>61.32</v>
      </c>
      <c r="X11" s="85">
        <f t="shared" si="9"/>
        <v>1.0428998888688672</v>
      </c>
      <c r="Y11" s="127">
        <f t="shared" si="3"/>
        <v>1</v>
      </c>
    </row>
    <row r="12" spans="1:26" ht="13.5" thickBot="1">
      <c r="A12" s="5" t="s">
        <v>20</v>
      </c>
      <c r="B12" s="34"/>
      <c r="C12" s="58">
        <f t="shared" si="0"/>
        <v>32442.400000000001</v>
      </c>
      <c r="D12" s="137">
        <f t="shared" ref="D12:D24" si="10">((C12-G12)/900)</f>
        <v>36.047111111111114</v>
      </c>
      <c r="E12" s="5">
        <f>FA!E12+UA!E12+UM!E12+HA!E12+HM!E12</f>
        <v>40553</v>
      </c>
      <c r="F12" s="35">
        <f>FA!F12+UA!F12+UM!F12+HA!F12+HM!F12</f>
        <v>651889</v>
      </c>
      <c r="G12" s="5">
        <f>FA!G12+UA!G12+UM!G12+HA!G12+HM!G12</f>
        <v>0</v>
      </c>
      <c r="H12" s="35">
        <f>FA!H12+UA!H12+UM!H12+HA!H12+HM!H12</f>
        <v>0</v>
      </c>
      <c r="I12" s="5">
        <f>FA!I12+UA!I12+UM!I12+HA!I12+HM!I12</f>
        <v>0</v>
      </c>
      <c r="J12" s="35">
        <f>FA!J12+UA!J12+UM!J12+HA!J12+HM!J12</f>
        <v>0</v>
      </c>
      <c r="K12" s="5">
        <f>FA!K12+UA!K12+UM!K12+HA!K12</f>
        <v>41453</v>
      </c>
      <c r="L12" s="171">
        <f>SUM(L11)</f>
        <v>0</v>
      </c>
      <c r="M12" s="155">
        <f t="shared" si="2"/>
        <v>1.0221931792962295</v>
      </c>
      <c r="N12" s="145">
        <f t="shared" si="2"/>
        <v>0</v>
      </c>
      <c r="O12" s="5">
        <f t="shared" si="4"/>
        <v>-900</v>
      </c>
      <c r="P12" s="35">
        <f t="shared" si="4"/>
        <v>651889</v>
      </c>
      <c r="Q12" s="61">
        <f t="shared" si="5"/>
        <v>16.074988286933149</v>
      </c>
      <c r="R12" s="151">
        <f t="shared" si="6"/>
        <v>0</v>
      </c>
      <c r="S12" s="62">
        <f t="shared" si="7"/>
        <v>0</v>
      </c>
      <c r="T12" s="109">
        <f t="shared" si="7"/>
        <v>0</v>
      </c>
      <c r="U12" s="219">
        <f>FA!U12+UA!U12+UM!U12+HA!U12+HM!U12</f>
        <v>2650945</v>
      </c>
      <c r="V12" s="110">
        <f t="shared" si="8"/>
        <v>63.950618773068292</v>
      </c>
      <c r="W12" s="74">
        <v>61.32</v>
      </c>
      <c r="X12" s="60">
        <f t="shared" si="9"/>
        <v>1.0428998495281847</v>
      </c>
      <c r="Y12" s="127">
        <f t="shared" si="3"/>
        <v>1</v>
      </c>
    </row>
    <row r="13" spans="1:26">
      <c r="A13" s="2" t="s">
        <v>21</v>
      </c>
      <c r="B13" s="3"/>
      <c r="C13" s="57">
        <f t="shared" si="0"/>
        <v>349600</v>
      </c>
      <c r="D13" s="57">
        <f t="shared" si="10"/>
        <v>388.44444444444446</v>
      </c>
      <c r="E13" s="105">
        <f>FA!E13+UA!E13+UM!E13+HA!E13+HM!E13</f>
        <v>437000</v>
      </c>
      <c r="F13" s="166">
        <f>FA!F13+UA!F13+UM!F13+HA!F13+HM!F13</f>
        <v>1388486</v>
      </c>
      <c r="G13" s="105">
        <v>0</v>
      </c>
      <c r="H13" s="166">
        <v>0</v>
      </c>
      <c r="I13" s="104">
        <v>0</v>
      </c>
      <c r="J13" s="167">
        <v>0</v>
      </c>
      <c r="K13" s="104">
        <f>FA!K13+UA!K13+UM!K13+HA!K13</f>
        <v>248618</v>
      </c>
      <c r="L13" s="141">
        <f t="shared" si="1"/>
        <v>0</v>
      </c>
      <c r="M13" s="113">
        <f t="shared" si="2"/>
        <v>0.56891990846681917</v>
      </c>
      <c r="N13" s="144">
        <f t="shared" si="2"/>
        <v>0</v>
      </c>
      <c r="O13" s="2">
        <f t="shared" si="4"/>
        <v>188382</v>
      </c>
      <c r="P13" s="139">
        <f t="shared" si="4"/>
        <v>1388486</v>
      </c>
      <c r="Q13" s="150">
        <f t="shared" si="5"/>
        <v>3.1773135011441647</v>
      </c>
      <c r="R13" s="31">
        <f t="shared" si="6"/>
        <v>0</v>
      </c>
      <c r="S13" s="32">
        <f t="shared" si="7"/>
        <v>0</v>
      </c>
      <c r="T13" s="108">
        <f t="shared" si="7"/>
        <v>0</v>
      </c>
      <c r="U13" s="225">
        <f>FA!U13+UA!U13+UM!U13+HA!U13+HM!U13</f>
        <v>2610815</v>
      </c>
      <c r="V13" s="217">
        <f t="shared" si="8"/>
        <v>10.501311248582162</v>
      </c>
      <c r="W13" s="80">
        <v>13.62</v>
      </c>
      <c r="X13" s="85">
        <f t="shared" si="9"/>
        <v>0.77102138389002661</v>
      </c>
      <c r="Y13" s="127">
        <f t="shared" si="3"/>
        <v>1</v>
      </c>
    </row>
    <row r="14" spans="1:26">
      <c r="A14" s="2" t="s">
        <v>22</v>
      </c>
      <c r="B14" s="3"/>
      <c r="C14" s="57">
        <f t="shared" si="0"/>
        <v>183799.2</v>
      </c>
      <c r="D14" s="57">
        <f t="shared" si="10"/>
        <v>204.22133333333335</v>
      </c>
      <c r="E14" s="106">
        <f>FA!E14+UA!E14+UM!E14+HA!E14+HM!E14</f>
        <v>229749</v>
      </c>
      <c r="F14" s="167">
        <f>FA!F14+UA!F14+UM!F14+HA!F14+HM!F14</f>
        <v>1502185</v>
      </c>
      <c r="G14" s="106">
        <f>FA!G14+UA!G14+UM!G14+HA!G14+HM!G14</f>
        <v>0</v>
      </c>
      <c r="H14" s="167">
        <f>FA!H14+UA!H14+UM!H14+HA!H14+HM!H14</f>
        <v>0</v>
      </c>
      <c r="I14" s="104">
        <v>0</v>
      </c>
      <c r="J14" s="167">
        <v>0</v>
      </c>
      <c r="K14" s="104">
        <f>FA!K14+UA!K14+UM!K14+HA!K14</f>
        <v>187891</v>
      </c>
      <c r="L14" s="29">
        <f t="shared" si="1"/>
        <v>0</v>
      </c>
      <c r="M14" s="113">
        <f t="shared" si="2"/>
        <v>0.81780987077201639</v>
      </c>
      <c r="N14" s="144">
        <f t="shared" si="2"/>
        <v>0</v>
      </c>
      <c r="O14" s="2">
        <f t="shared" si="4"/>
        <v>41858</v>
      </c>
      <c r="P14" s="139">
        <f t="shared" si="4"/>
        <v>1502185</v>
      </c>
      <c r="Q14" s="150">
        <f t="shared" si="5"/>
        <v>6.5383744869400955</v>
      </c>
      <c r="R14" s="31">
        <f t="shared" si="6"/>
        <v>0</v>
      </c>
      <c r="S14" s="32">
        <f t="shared" si="7"/>
        <v>0</v>
      </c>
      <c r="T14" s="108">
        <f t="shared" si="7"/>
        <v>0</v>
      </c>
      <c r="U14" s="225">
        <f>FA!U14+UA!U14+UM!U14+HA!U14+HM!U14</f>
        <v>5064351.0999999996</v>
      </c>
      <c r="V14" s="217">
        <f t="shared" si="8"/>
        <v>26.953665156926089</v>
      </c>
      <c r="W14" s="80">
        <v>24.82</v>
      </c>
      <c r="X14" s="85">
        <f t="shared" si="9"/>
        <v>1.0859655582967804</v>
      </c>
      <c r="Y14" s="127">
        <f t="shared" si="3"/>
        <v>1</v>
      </c>
    </row>
    <row r="15" spans="1:26">
      <c r="A15" s="2" t="s">
        <v>56</v>
      </c>
      <c r="B15" s="3"/>
      <c r="C15" s="57">
        <f t="shared" si="0"/>
        <v>0</v>
      </c>
      <c r="D15" s="57">
        <f t="shared" si="10"/>
        <v>0</v>
      </c>
      <c r="E15" s="106"/>
      <c r="F15" s="167"/>
      <c r="G15" s="106">
        <v>0</v>
      </c>
      <c r="H15" s="167">
        <v>0</v>
      </c>
      <c r="I15" s="104">
        <v>0</v>
      </c>
      <c r="J15" s="167">
        <v>0</v>
      </c>
      <c r="K15" s="104">
        <f>FA!K15+UA!K15+UM!K15+HA!K15</f>
        <v>62392</v>
      </c>
      <c r="L15" s="29">
        <f t="shared" si="1"/>
        <v>0</v>
      </c>
      <c r="M15" s="113" t="e">
        <f t="shared" si="2"/>
        <v>#DIV/0!</v>
      </c>
      <c r="N15" s="144" t="e">
        <f t="shared" si="2"/>
        <v>#DIV/0!</v>
      </c>
      <c r="O15" s="2">
        <f t="shared" si="4"/>
        <v>-62392</v>
      </c>
      <c r="P15" s="139">
        <f t="shared" si="4"/>
        <v>0</v>
      </c>
      <c r="Q15" s="150" t="e">
        <f t="shared" si="5"/>
        <v>#DIV/0!</v>
      </c>
      <c r="R15" s="31">
        <f t="shared" si="6"/>
        <v>0</v>
      </c>
      <c r="S15" s="32" t="e">
        <f t="shared" si="7"/>
        <v>#DIV/0!</v>
      </c>
      <c r="T15" s="108" t="e">
        <f t="shared" si="7"/>
        <v>#DIV/0!</v>
      </c>
      <c r="U15" s="225">
        <f>FA!U15+UA!U15+UM!U15+HA!U15+HM!U15</f>
        <v>1299209.1000000001</v>
      </c>
      <c r="V15" s="217">
        <f t="shared" si="8"/>
        <v>20.823328311321966</v>
      </c>
      <c r="W15" s="80"/>
      <c r="X15" s="85" t="e">
        <f t="shared" si="9"/>
        <v>#DIV/0!</v>
      </c>
      <c r="Y15" s="127">
        <f t="shared" si="3"/>
        <v>1</v>
      </c>
    </row>
    <row r="16" spans="1:26">
      <c r="A16" s="2" t="s">
        <v>23</v>
      </c>
      <c r="B16" s="3"/>
      <c r="C16" s="57">
        <f t="shared" si="0"/>
        <v>119644</v>
      </c>
      <c r="D16" s="57">
        <f t="shared" si="10"/>
        <v>132.93777777777777</v>
      </c>
      <c r="E16" s="106">
        <f>FA!E16+UA!E16+UM!E16+HA!E16+HM!E16</f>
        <v>149555</v>
      </c>
      <c r="F16" s="167">
        <f>FA!F16+UA!F16+UM!F16+HA!F16+HM!F16</f>
        <v>1043370</v>
      </c>
      <c r="G16" s="106">
        <f>FA!G16+UA!G16+UM!G16+HA!G16+HM!G16</f>
        <v>0</v>
      </c>
      <c r="H16" s="167">
        <f>FA!H16+UA!H16+UM!H16+HA!H16+HM!H16</f>
        <v>0</v>
      </c>
      <c r="I16" s="104">
        <v>0</v>
      </c>
      <c r="J16" s="167">
        <v>0</v>
      </c>
      <c r="K16" s="104">
        <f>FA!K16+UA!K16+UM!K16+HA!K16</f>
        <v>121489</v>
      </c>
      <c r="L16" s="29">
        <f t="shared" si="1"/>
        <v>0</v>
      </c>
      <c r="M16" s="113">
        <f t="shared" si="2"/>
        <v>0.81233659857577478</v>
      </c>
      <c r="N16" s="144">
        <f t="shared" si="2"/>
        <v>0</v>
      </c>
      <c r="O16" s="2">
        <f t="shared" si="4"/>
        <v>28066</v>
      </c>
      <c r="P16" s="139">
        <f t="shared" si="4"/>
        <v>1043370</v>
      </c>
      <c r="Q16" s="150">
        <f t="shared" si="5"/>
        <v>6.9764969409247435</v>
      </c>
      <c r="R16" s="31">
        <f t="shared" si="6"/>
        <v>0</v>
      </c>
      <c r="S16" s="32">
        <f t="shared" si="7"/>
        <v>0</v>
      </c>
      <c r="T16" s="108">
        <f t="shared" si="7"/>
        <v>0</v>
      </c>
      <c r="U16" s="225">
        <f>FA!U16+UA!U16+UM!U16+HA!U16+HM!U16</f>
        <v>3473646.4</v>
      </c>
      <c r="V16" s="217">
        <f t="shared" si="8"/>
        <v>28.592270905184829</v>
      </c>
      <c r="W16" s="80">
        <v>31.03</v>
      </c>
      <c r="X16" s="85">
        <f t="shared" si="9"/>
        <v>0.92143960377650103</v>
      </c>
      <c r="Y16" s="127">
        <f t="shared" si="3"/>
        <v>1</v>
      </c>
    </row>
    <row r="17" spans="1:25">
      <c r="A17" s="2" t="s">
        <v>24</v>
      </c>
      <c r="B17" s="3"/>
      <c r="C17" s="57">
        <f t="shared" si="0"/>
        <v>44647.199999999997</v>
      </c>
      <c r="D17" s="57">
        <f t="shared" si="10"/>
        <v>49.607999999999997</v>
      </c>
      <c r="E17" s="106">
        <f>FA!E17+UA!E17+UM!E17+HA!E17+HM!E17</f>
        <v>55809</v>
      </c>
      <c r="F17" s="167">
        <f>FA!F17+UA!F17+UM!F17+HA!F17+HM!F17</f>
        <v>507396</v>
      </c>
      <c r="G17" s="106">
        <f>FA!G17+UA!G17+UM!G17+HA!G17+HM!G17</f>
        <v>0</v>
      </c>
      <c r="H17" s="167">
        <f>FA!H17+UA!H17+UM!H17+HA!H17+HM!H17</f>
        <v>0</v>
      </c>
      <c r="I17" s="104">
        <v>0</v>
      </c>
      <c r="J17" s="167">
        <v>0</v>
      </c>
      <c r="K17" s="104">
        <f>FA!K17+UA!K17+UM!K17+HA!K17</f>
        <v>41526</v>
      </c>
      <c r="L17" s="29">
        <f t="shared" si="1"/>
        <v>0</v>
      </c>
      <c r="M17" s="113">
        <f t="shared" si="2"/>
        <v>0.74407353652636676</v>
      </c>
      <c r="N17" s="144">
        <f t="shared" si="2"/>
        <v>0</v>
      </c>
      <c r="O17" s="2">
        <f t="shared" si="4"/>
        <v>14283</v>
      </c>
      <c r="P17" s="139">
        <f t="shared" si="4"/>
        <v>507396</v>
      </c>
      <c r="Q17" s="150">
        <f t="shared" si="5"/>
        <v>9.0916518841047136</v>
      </c>
      <c r="R17" s="31">
        <f t="shared" si="6"/>
        <v>0</v>
      </c>
      <c r="S17" s="32">
        <f t="shared" si="7"/>
        <v>0</v>
      </c>
      <c r="T17" s="108">
        <f t="shared" si="7"/>
        <v>0</v>
      </c>
      <c r="U17" s="225">
        <f>FA!U17+UA!U17+UM!U17+HA!U17+HM!U17</f>
        <v>1554392.6</v>
      </c>
      <c r="V17" s="217">
        <f t="shared" si="8"/>
        <v>37.431792130231663</v>
      </c>
      <c r="W17" s="80">
        <v>33.6</v>
      </c>
      <c r="X17" s="85">
        <f t="shared" si="9"/>
        <v>1.1140414324473709</v>
      </c>
      <c r="Y17" s="127">
        <f t="shared" si="3"/>
        <v>1</v>
      </c>
    </row>
    <row r="18" spans="1:25" ht="13.5" thickBot="1">
      <c r="A18" s="2" t="s">
        <v>25</v>
      </c>
      <c r="B18" s="3"/>
      <c r="C18" s="57">
        <f t="shared" si="0"/>
        <v>20867.2</v>
      </c>
      <c r="D18" s="57">
        <f t="shared" si="10"/>
        <v>23.18577777777778</v>
      </c>
      <c r="E18" s="107">
        <f>FA!E18+UA!E18+UM!E18+HA!E18+HM!E7</f>
        <v>26084</v>
      </c>
      <c r="F18" s="168">
        <f>FA!F18+UA!F18+UM!F18+HA!F18+HM!F18</f>
        <v>226789</v>
      </c>
      <c r="G18" s="107">
        <f>FA!G18+UA!G18+UM!G18+HA!G18+HM!G18</f>
        <v>0</v>
      </c>
      <c r="H18" s="168">
        <f>FA!H18+UA!H18+UM!H18+HA!H18+HM!H18</f>
        <v>0</v>
      </c>
      <c r="I18" s="104">
        <v>0</v>
      </c>
      <c r="J18" s="167">
        <v>0</v>
      </c>
      <c r="K18" s="104">
        <f>FA!K18+UA!K18+UM!K18+HA!K18</f>
        <v>19851</v>
      </c>
      <c r="L18" s="71">
        <f t="shared" si="1"/>
        <v>0</v>
      </c>
      <c r="M18" s="113">
        <f t="shared" si="2"/>
        <v>0.76104125134181877</v>
      </c>
      <c r="N18" s="144">
        <f t="shared" si="2"/>
        <v>0</v>
      </c>
      <c r="O18" s="2">
        <f t="shared" si="4"/>
        <v>6233</v>
      </c>
      <c r="P18" s="139">
        <f t="shared" si="4"/>
        <v>226789</v>
      </c>
      <c r="Q18" s="150">
        <f t="shared" si="5"/>
        <v>8.6945637172212855</v>
      </c>
      <c r="R18" s="31">
        <f t="shared" si="6"/>
        <v>0</v>
      </c>
      <c r="S18" s="32">
        <f t="shared" si="7"/>
        <v>0</v>
      </c>
      <c r="T18" s="108">
        <f t="shared" si="7"/>
        <v>0</v>
      </c>
      <c r="U18" s="225">
        <f>FA!U18+UA!U18+UM!U18+HA!U18+HM!U18</f>
        <v>674125</v>
      </c>
      <c r="V18" s="217">
        <f t="shared" si="8"/>
        <v>33.959246385572513</v>
      </c>
      <c r="W18" s="80">
        <v>31.93</v>
      </c>
      <c r="X18" s="85">
        <f t="shared" si="9"/>
        <v>1.0635529716746794</v>
      </c>
      <c r="Y18" s="127">
        <f t="shared" si="3"/>
        <v>1</v>
      </c>
    </row>
    <row r="19" spans="1:25" ht="13.5" thickBot="1">
      <c r="A19" s="5" t="s">
        <v>26</v>
      </c>
      <c r="B19" s="34"/>
      <c r="C19" s="58">
        <f t="shared" si="0"/>
        <v>718557.6</v>
      </c>
      <c r="D19" s="137">
        <f t="shared" si="10"/>
        <v>798.39733333333334</v>
      </c>
      <c r="E19" s="5">
        <f>FA!E19+UA!E19+UM!E19+HA!E19+HM!E19</f>
        <v>898197</v>
      </c>
      <c r="F19" s="35">
        <f>FA!F19+UA!F19+UM!F19+HA!F19+HM!F19</f>
        <v>4668226</v>
      </c>
      <c r="G19" s="5">
        <f>FA!G19+UA!G19+UM!G19+HA!G19+HM!G19</f>
        <v>0</v>
      </c>
      <c r="H19" s="35">
        <f>FA!H19+UA!H19+UM!H19+HA!H19+HM!H19</f>
        <v>0</v>
      </c>
      <c r="I19" s="5">
        <f>FA!I19+UA!I19+UM!I19+HA!I19+HM!I19</f>
        <v>0</v>
      </c>
      <c r="J19" s="35">
        <f>FA!J19+UA!J19+UM!J19+HA!J19+HM!J19</f>
        <v>0</v>
      </c>
      <c r="K19" s="5">
        <f>FA!K19+UA!K19+UM!K19+HA!K19</f>
        <v>681767</v>
      </c>
      <c r="L19" s="171">
        <f>SUM(L13:L18)</f>
        <v>0</v>
      </c>
      <c r="M19" s="155">
        <f t="shared" si="2"/>
        <v>0.7590394980165821</v>
      </c>
      <c r="N19" s="145">
        <f t="shared" si="2"/>
        <v>0</v>
      </c>
      <c r="O19" s="5">
        <f t="shared" si="4"/>
        <v>216430</v>
      </c>
      <c r="P19" s="35">
        <f t="shared" si="4"/>
        <v>4668226</v>
      </c>
      <c r="Q19" s="61">
        <f t="shared" si="5"/>
        <v>5.1973297617337844</v>
      </c>
      <c r="R19" s="151">
        <f t="shared" si="6"/>
        <v>0</v>
      </c>
      <c r="S19" s="62">
        <f t="shared" si="7"/>
        <v>0</v>
      </c>
      <c r="T19" s="109">
        <f t="shared" si="7"/>
        <v>0</v>
      </c>
      <c r="U19" s="219">
        <f>FA!U19+UA!U19+UM!U19+HA!U19+HM!U19</f>
        <v>14676538.700000001</v>
      </c>
      <c r="V19" s="110">
        <f t="shared" si="8"/>
        <v>21.527206068935577</v>
      </c>
      <c r="W19" s="74">
        <v>20.96</v>
      </c>
      <c r="X19" s="60">
        <f t="shared" si="9"/>
        <v>1.0270613582507431</v>
      </c>
      <c r="Y19" s="127">
        <f t="shared" si="3"/>
        <v>1</v>
      </c>
    </row>
    <row r="20" spans="1:25" ht="13.5" thickBot="1">
      <c r="A20" s="2" t="s">
        <v>60</v>
      </c>
      <c r="B20" s="3"/>
      <c r="C20" s="57">
        <f t="shared" si="0"/>
        <v>0</v>
      </c>
      <c r="D20" s="57">
        <f t="shared" si="10"/>
        <v>0</v>
      </c>
      <c r="E20" s="102"/>
      <c r="F20" s="169"/>
      <c r="G20" s="102"/>
      <c r="H20" s="169"/>
      <c r="I20" s="104"/>
      <c r="J20" s="167"/>
      <c r="K20" s="104">
        <f>FA!K20+UA!K20+UM!K20+HA!K20</f>
        <v>0</v>
      </c>
      <c r="L20" s="142"/>
      <c r="M20" s="113" t="e">
        <f t="shared" si="2"/>
        <v>#DIV/0!</v>
      </c>
      <c r="N20" s="144" t="e">
        <f t="shared" si="2"/>
        <v>#DIV/0!</v>
      </c>
      <c r="O20" s="2">
        <f t="shared" si="4"/>
        <v>0</v>
      </c>
      <c r="P20" s="139">
        <f t="shared" si="4"/>
        <v>0</v>
      </c>
      <c r="Q20" s="150" t="e">
        <f t="shared" si="5"/>
        <v>#DIV/0!</v>
      </c>
      <c r="R20" s="31" t="e">
        <f t="shared" si="6"/>
        <v>#DIV/0!</v>
      </c>
      <c r="S20" s="32" t="e">
        <f t="shared" si="7"/>
        <v>#DIV/0!</v>
      </c>
      <c r="T20" s="108" t="e">
        <f t="shared" si="7"/>
        <v>#DIV/0!</v>
      </c>
      <c r="U20" s="225">
        <f>FA!U20+UA!U20+UM!U20+HA!U20+HM!U20</f>
        <v>0</v>
      </c>
      <c r="V20" s="217" t="e">
        <f t="shared" si="8"/>
        <v>#DIV/0!</v>
      </c>
      <c r="W20" s="80"/>
      <c r="X20" s="85" t="e">
        <f t="shared" si="9"/>
        <v>#DIV/0!</v>
      </c>
      <c r="Y20" s="127" t="e">
        <f t="shared" si="3"/>
        <v>#DIV/0!</v>
      </c>
    </row>
    <row r="21" spans="1:25" ht="13.5" thickBot="1">
      <c r="A21" s="2" t="s">
        <v>61</v>
      </c>
      <c r="B21" s="3"/>
      <c r="C21" s="57">
        <f t="shared" si="0"/>
        <v>0</v>
      </c>
      <c r="D21" s="57">
        <f t="shared" si="10"/>
        <v>0</v>
      </c>
      <c r="E21" s="102"/>
      <c r="F21" s="169"/>
      <c r="G21" s="102"/>
      <c r="H21" s="169"/>
      <c r="I21" s="104"/>
      <c r="J21" s="167"/>
      <c r="K21" s="104">
        <f>FA!K21+UA!K21+UM!K21+HA!K21</f>
        <v>5500</v>
      </c>
      <c r="L21" s="142"/>
      <c r="M21" s="113" t="e">
        <f t="shared" si="2"/>
        <v>#DIV/0!</v>
      </c>
      <c r="N21" s="144" t="e">
        <f t="shared" si="2"/>
        <v>#DIV/0!</v>
      </c>
      <c r="O21" s="2">
        <f t="shared" si="4"/>
        <v>-5500</v>
      </c>
      <c r="P21" s="139">
        <f t="shared" si="4"/>
        <v>0</v>
      </c>
      <c r="Q21" s="150" t="e">
        <f t="shared" si="5"/>
        <v>#DIV/0!</v>
      </c>
      <c r="R21" s="31">
        <f t="shared" si="6"/>
        <v>0</v>
      </c>
      <c r="S21" s="32" t="e">
        <f t="shared" si="7"/>
        <v>#DIV/0!</v>
      </c>
      <c r="T21" s="108" t="e">
        <f t="shared" si="7"/>
        <v>#DIV/0!</v>
      </c>
      <c r="U21" s="225">
        <f>FA!U21+UA!U21+UM!U21+HA!U21+HM!U21</f>
        <v>54450</v>
      </c>
      <c r="V21" s="217">
        <f t="shared" si="8"/>
        <v>9.9</v>
      </c>
      <c r="W21" s="80"/>
      <c r="X21" s="85" t="e">
        <f t="shared" si="9"/>
        <v>#DIV/0!</v>
      </c>
      <c r="Y21" s="127">
        <f t="shared" si="3"/>
        <v>1</v>
      </c>
    </row>
    <row r="22" spans="1:25" ht="13.5" thickBot="1">
      <c r="A22" s="5" t="s">
        <v>59</v>
      </c>
      <c r="B22" s="34"/>
      <c r="C22" s="58"/>
      <c r="D22" s="137"/>
      <c r="E22" s="72"/>
      <c r="F22" s="170"/>
      <c r="G22" s="72"/>
      <c r="H22" s="170"/>
      <c r="I22" s="5"/>
      <c r="J22" s="35"/>
      <c r="K22" s="5">
        <f>FA!K22+UA!K22+UM!K22+HA!K22</f>
        <v>5500</v>
      </c>
      <c r="L22" s="140">
        <f>SUM(L20:L21)</f>
        <v>0</v>
      </c>
      <c r="M22" s="155"/>
      <c r="N22" s="145"/>
      <c r="O22" s="5"/>
      <c r="P22" s="35"/>
      <c r="Q22" s="61"/>
      <c r="R22" s="151"/>
      <c r="S22" s="62"/>
      <c r="T22" s="109"/>
      <c r="U22" s="219">
        <f>FA!U22+UA!U22+UM!U22+HA!U22+HM!U22</f>
        <v>54450</v>
      </c>
      <c r="V22" s="110"/>
      <c r="W22" s="74"/>
      <c r="X22" s="60"/>
      <c r="Y22" s="127"/>
    </row>
    <row r="23" spans="1:25" ht="13.5" thickBot="1">
      <c r="A23" s="2" t="s">
        <v>27</v>
      </c>
      <c r="B23" s="3"/>
      <c r="C23" s="57">
        <f t="shared" si="0"/>
        <v>6345.6</v>
      </c>
      <c r="D23" s="57">
        <f t="shared" si="10"/>
        <v>7.0506666666666673</v>
      </c>
      <c r="E23" s="102">
        <f>FA!E23+UA!E23+UM!E23+HA!E23+HM!E23</f>
        <v>7932</v>
      </c>
      <c r="F23" s="169">
        <f>FA!F23+UA!F23+UM!F23+HA!F23+HM!F23</f>
        <v>229015</v>
      </c>
      <c r="G23" s="102">
        <f>FA!G23+UA!G23+UM!G23+HA!G23+HM!G23</f>
        <v>0</v>
      </c>
      <c r="H23" s="169">
        <f>FA!H23+UA!H23+UM!H23+HA!H23+HM!H23</f>
        <v>0</v>
      </c>
      <c r="I23" s="104">
        <f>FA!I23+UA!I23+UM!I23+HA!I23+HM!I23</f>
        <v>0</v>
      </c>
      <c r="J23" s="167">
        <f>FA!J23+UA!J23+UM!J23+HA!J23+HM!J23</f>
        <v>0</v>
      </c>
      <c r="K23" s="104">
        <f>FA!K23+UA!K23+UM!K23+HA!K23</f>
        <v>6816</v>
      </c>
      <c r="L23" s="142">
        <f t="shared" si="1"/>
        <v>0</v>
      </c>
      <c r="M23" s="113">
        <f t="shared" si="2"/>
        <v>0.85930408472012099</v>
      </c>
      <c r="N23" s="144">
        <f t="shared" si="2"/>
        <v>0</v>
      </c>
      <c r="O23" s="2">
        <f t="shared" si="4"/>
        <v>1116</v>
      </c>
      <c r="P23" s="139">
        <f t="shared" si="4"/>
        <v>229015</v>
      </c>
      <c r="Q23" s="150">
        <f t="shared" si="5"/>
        <v>28.872289460413516</v>
      </c>
      <c r="R23" s="31">
        <f t="shared" si="6"/>
        <v>0</v>
      </c>
      <c r="S23" s="32">
        <f t="shared" si="7"/>
        <v>0</v>
      </c>
      <c r="T23" s="108">
        <f t="shared" si="7"/>
        <v>0</v>
      </c>
      <c r="U23" s="225">
        <f>FA!U23+UA!U23+UM!U23+HA!U23+HM!U23</f>
        <v>594601</v>
      </c>
      <c r="V23" s="217">
        <f t="shared" si="8"/>
        <v>87.236062206572768</v>
      </c>
      <c r="W23" s="80">
        <v>87.01</v>
      </c>
      <c r="X23" s="85">
        <f t="shared" si="9"/>
        <v>1.0025981175333039</v>
      </c>
      <c r="Y23" s="127">
        <f t="shared" si="3"/>
        <v>1</v>
      </c>
    </row>
    <row r="24" spans="1:25" ht="13.5" thickBot="1">
      <c r="A24" s="5" t="s">
        <v>28</v>
      </c>
      <c r="B24" s="34"/>
      <c r="C24" s="58">
        <f>((E24*90)/100)</f>
        <v>7138.8</v>
      </c>
      <c r="D24" s="137">
        <f t="shared" si="10"/>
        <v>7.9320000000000004</v>
      </c>
      <c r="E24" s="72">
        <f>FA!E24+UA!E24+UM!E24+HA!E24+HM!E24</f>
        <v>7932</v>
      </c>
      <c r="F24" s="170">
        <f>FA!F24+UA!F24+UM!F24+HA!F24+HM!F24</f>
        <v>229015</v>
      </c>
      <c r="G24" s="72">
        <f>FA!G24+UA!G24+UM!G24+HA!G24+HM!G24</f>
        <v>0</v>
      </c>
      <c r="H24" s="170">
        <f>FA!H24+UA!H24+UM!H24+HA!H24+HM!H24</f>
        <v>0</v>
      </c>
      <c r="I24" s="5">
        <f>FA!I24+UA!I24+UM!I24+HA!I24+HM!I24</f>
        <v>0</v>
      </c>
      <c r="J24" s="35">
        <f>FA!J24+UA!J24+UM!J24+HA!J24+HM!J24</f>
        <v>0</v>
      </c>
      <c r="K24" s="5">
        <f>FA!K24+UA!K24+UM!K24+HA!K24</f>
        <v>6816</v>
      </c>
      <c r="L24" s="171">
        <f>SUM(L23)</f>
        <v>0</v>
      </c>
      <c r="M24" s="155">
        <f t="shared" si="2"/>
        <v>0.85930408472012099</v>
      </c>
      <c r="N24" s="145">
        <f t="shared" si="2"/>
        <v>0</v>
      </c>
      <c r="O24" s="5">
        <f t="shared" si="4"/>
        <v>1116</v>
      </c>
      <c r="P24" s="35">
        <f t="shared" si="4"/>
        <v>229015</v>
      </c>
      <c r="Q24" s="61">
        <f t="shared" si="5"/>
        <v>28.872289460413516</v>
      </c>
      <c r="R24" s="151">
        <f t="shared" si="6"/>
        <v>0</v>
      </c>
      <c r="S24" s="62">
        <f t="shared" si="7"/>
        <v>0</v>
      </c>
      <c r="T24" s="109">
        <f t="shared" si="7"/>
        <v>0</v>
      </c>
      <c r="U24" s="219">
        <f>FA!U24+UA!U24+UM!U24+HA!U24+HM!U24</f>
        <v>594601</v>
      </c>
      <c r="V24" s="110">
        <f t="shared" si="8"/>
        <v>87.236062206572768</v>
      </c>
      <c r="W24" s="74">
        <v>87.01</v>
      </c>
      <c r="X24" s="60">
        <f t="shared" si="9"/>
        <v>1.0025981175333039</v>
      </c>
      <c r="Y24" s="127">
        <f t="shared" si="3"/>
        <v>1</v>
      </c>
    </row>
    <row r="25" spans="1:25">
      <c r="A25" s="2" t="s">
        <v>47</v>
      </c>
      <c r="B25" s="3"/>
      <c r="C25" s="57">
        <f t="shared" ref="C25:C30" si="11">((E25*80)/100)</f>
        <v>9629.6</v>
      </c>
      <c r="D25" s="57">
        <f t="shared" ref="D25:D30" si="12">((C25-G25)/600)</f>
        <v>16.049333333333333</v>
      </c>
      <c r="E25" s="105">
        <f>FA!E25+UA!E25+UM!E25+HA!E25+HM!E25</f>
        <v>12037</v>
      </c>
      <c r="F25" s="166">
        <f>FA!F25+UA!F25+UM!F25+HA!F25+HM!F25</f>
        <v>42945</v>
      </c>
      <c r="G25" s="105">
        <f>FA!G25+UA!G25+UM!G25+HA!G25+HM!G25</f>
        <v>0</v>
      </c>
      <c r="H25" s="166">
        <f>FA!H25+UA!H25+UM!H25+HA!H25+HM!H25</f>
        <v>0</v>
      </c>
      <c r="I25" s="104">
        <f>FA!I25+UA!I25+UM!I25+HA!I25+HM!I25</f>
        <v>0</v>
      </c>
      <c r="J25" s="167">
        <f>FA!J25+UA!J25+UM!J25+HA!J25+HM!J25</f>
        <v>0</v>
      </c>
      <c r="K25" s="104">
        <f>FA!K25+UA!K25+UM!K25+HA!K25</f>
        <v>11200</v>
      </c>
      <c r="L25" s="141">
        <f t="shared" si="1"/>
        <v>0</v>
      </c>
      <c r="M25" s="113">
        <f>(K25/E25)</f>
        <v>0.9304644014289275</v>
      </c>
      <c r="N25" s="144">
        <f t="shared" si="2"/>
        <v>0</v>
      </c>
      <c r="O25" s="2">
        <f>(E25-K25)</f>
        <v>837</v>
      </c>
      <c r="P25" s="139">
        <f t="shared" si="4"/>
        <v>42945</v>
      </c>
      <c r="Q25" s="150">
        <f>(F25/E25)</f>
        <v>3.5677494392290439</v>
      </c>
      <c r="R25" s="31">
        <f t="shared" si="6"/>
        <v>0</v>
      </c>
      <c r="S25" s="32">
        <f>(I25/E25)</f>
        <v>0</v>
      </c>
      <c r="T25" s="108">
        <f t="shared" si="7"/>
        <v>0</v>
      </c>
      <c r="U25" s="225">
        <f>FA!U25+UA!U25+UM!U25+HA!U25+HM!U25</f>
        <v>166880</v>
      </c>
      <c r="V25" s="217">
        <f t="shared" si="8"/>
        <v>14.9</v>
      </c>
      <c r="W25" s="80">
        <f>(3278+102885)/(220+6905)</f>
        <v>14.900070175438596</v>
      </c>
      <c r="X25" s="85">
        <f t="shared" si="9"/>
        <v>0.99999529026120215</v>
      </c>
      <c r="Y25" s="127">
        <f t="shared" si="3"/>
        <v>1</v>
      </c>
    </row>
    <row r="26" spans="1:25">
      <c r="A26" s="2" t="s">
        <v>48</v>
      </c>
      <c r="B26" s="3"/>
      <c r="C26" s="57">
        <f t="shared" si="11"/>
        <v>9386.4</v>
      </c>
      <c r="D26" s="57">
        <f t="shared" si="12"/>
        <v>15.644</v>
      </c>
      <c r="E26" s="106">
        <f>FA!E26+UA!E26+UM!E26+HA!E26+HM!E26</f>
        <v>11733</v>
      </c>
      <c r="F26" s="167">
        <f>FA!F26+UA!F26+UM!F26+HA!F26+HM!F26</f>
        <v>29910</v>
      </c>
      <c r="G26" s="106">
        <v>0</v>
      </c>
      <c r="H26" s="167">
        <v>0</v>
      </c>
      <c r="I26" s="104">
        <v>0</v>
      </c>
      <c r="J26" s="167">
        <v>0</v>
      </c>
      <c r="K26" s="104">
        <f>FA!K26+UA!K26+UM!K26+HA!K26</f>
        <v>11200</v>
      </c>
      <c r="L26" s="29">
        <f t="shared" si="1"/>
        <v>0</v>
      </c>
      <c r="M26" s="113">
        <f>(K26/E26)</f>
        <v>0.95457257308446264</v>
      </c>
      <c r="N26" s="144">
        <f t="shared" si="2"/>
        <v>0</v>
      </c>
      <c r="O26" s="2">
        <f>(E26-K26)</f>
        <v>533</v>
      </c>
      <c r="P26" s="139">
        <f t="shared" si="4"/>
        <v>29910</v>
      </c>
      <c r="Q26" s="150">
        <f>(F26/E26)</f>
        <v>2.5492201482996677</v>
      </c>
      <c r="R26" s="31">
        <f t="shared" si="6"/>
        <v>0</v>
      </c>
      <c r="S26" s="32">
        <f>(I26/E26)</f>
        <v>0</v>
      </c>
      <c r="T26" s="108">
        <f t="shared" si="7"/>
        <v>0</v>
      </c>
      <c r="U26" s="225">
        <f>FA!U26+UA!U26+UM!U26+HA!U26+HM!U26</f>
        <v>124540</v>
      </c>
      <c r="V26" s="217">
        <f t="shared" si="8"/>
        <v>11.119642857142857</v>
      </c>
      <c r="W26" s="80">
        <f>(5948+107285+38737+74566+33829)/(793+13758+4185+7715+2913)</f>
        <v>8.8668096989510961</v>
      </c>
      <c r="X26" s="85">
        <f t="shared" si="9"/>
        <v>1.2540748290175057</v>
      </c>
      <c r="Y26" s="127">
        <f t="shared" si="3"/>
        <v>1</v>
      </c>
    </row>
    <row r="27" spans="1:25">
      <c r="A27" s="2" t="s">
        <v>49</v>
      </c>
      <c r="B27" s="3"/>
      <c r="C27" s="57">
        <f t="shared" si="11"/>
        <v>19892</v>
      </c>
      <c r="D27" s="57">
        <f t="shared" si="12"/>
        <v>33.153333333333336</v>
      </c>
      <c r="E27" s="106">
        <f>FA!E27+UA!E27+UM!E27+HA!E27+HM!E27</f>
        <v>24865</v>
      </c>
      <c r="F27" s="167">
        <f>FA!F27+UA!F27+UM!F27+HA!F27+HM!F27</f>
        <v>75931</v>
      </c>
      <c r="G27" s="106">
        <f>FA!G27+UA!G27+UM!G27+HA!G27+HM!G27</f>
        <v>0</v>
      </c>
      <c r="H27" s="167">
        <f>FA!H27+UA!H27+UM!H27+HA!H27+HM!H27</f>
        <v>0</v>
      </c>
      <c r="I27" s="104">
        <v>0</v>
      </c>
      <c r="J27" s="167">
        <v>0</v>
      </c>
      <c r="K27" s="104">
        <f>FA!K27+UA!K27+UM!K27+HA!K27</f>
        <v>20372</v>
      </c>
      <c r="L27" s="29">
        <f t="shared" si="1"/>
        <v>0</v>
      </c>
      <c r="M27" s="113">
        <f>(K27/E27)</f>
        <v>0.81930424291172332</v>
      </c>
      <c r="N27" s="144">
        <f t="shared" si="2"/>
        <v>0</v>
      </c>
      <c r="O27" s="2">
        <f>(E27-K27)</f>
        <v>4493</v>
      </c>
      <c r="P27" s="139">
        <f t="shared" si="4"/>
        <v>75931</v>
      </c>
      <c r="Q27" s="150">
        <f>(F27/E27)</f>
        <v>3.0537301427709633</v>
      </c>
      <c r="R27" s="31">
        <f t="shared" si="6"/>
        <v>0</v>
      </c>
      <c r="S27" s="32">
        <f>(I27/E27)</f>
        <v>0</v>
      </c>
      <c r="T27" s="108">
        <f t="shared" si="7"/>
        <v>0</v>
      </c>
      <c r="U27" s="225">
        <f>FA!U27+UA!U27+UM!U27+HA!U27+HM!U27</f>
        <v>248290</v>
      </c>
      <c r="V27" s="217">
        <f t="shared" si="8"/>
        <v>12.187806793638327</v>
      </c>
      <c r="W27" s="80">
        <v>12.52</v>
      </c>
      <c r="X27" s="85">
        <f t="shared" si="9"/>
        <v>0.97346699629699096</v>
      </c>
      <c r="Y27" s="127">
        <f t="shared" si="3"/>
        <v>1</v>
      </c>
    </row>
    <row r="28" spans="1:25" ht="13.5" thickBot="1">
      <c r="A28" s="2" t="s">
        <v>50</v>
      </c>
      <c r="B28" s="3"/>
      <c r="C28" s="57">
        <f t="shared" si="11"/>
        <v>4454.3999999999996</v>
      </c>
      <c r="D28" s="57">
        <f t="shared" si="12"/>
        <v>7.4239999999999995</v>
      </c>
      <c r="E28" s="107">
        <f>FA!E28+UA!E28+UM!E28+HA!E28+HM!E28</f>
        <v>5568</v>
      </c>
      <c r="F28" s="168">
        <f>FA!F28+UA!F28+UM!F28+HA!F28+HM!F28</f>
        <v>8120</v>
      </c>
      <c r="G28" s="107">
        <f>FA!G28+UA!G28+UM!G28+HA!G28+HM!G28</f>
        <v>0</v>
      </c>
      <c r="H28" s="168">
        <f>FA!H28+UA!H28+UM!H28+HA!H28+HM!H28</f>
        <v>0</v>
      </c>
      <c r="I28" s="104">
        <f>FA!I28+UA!I28+UM!I28+HA!I28+HM!I28</f>
        <v>0</v>
      </c>
      <c r="J28" s="168">
        <f>FA!J28+UA!J28+UM!J28+HA!J28+HM!J28</f>
        <v>0</v>
      </c>
      <c r="K28" s="104">
        <f>FA!K28+UA!K28+UM!K28+HA!K28</f>
        <v>5602</v>
      </c>
      <c r="L28" s="71">
        <f t="shared" si="1"/>
        <v>0</v>
      </c>
      <c r="M28" s="113">
        <f>(K28/E28)</f>
        <v>1.0061063218390804</v>
      </c>
      <c r="N28" s="146">
        <f t="shared" si="2"/>
        <v>0</v>
      </c>
      <c r="O28" s="2">
        <f>(E28-K28)</f>
        <v>-34</v>
      </c>
      <c r="P28" s="148">
        <f t="shared" si="4"/>
        <v>8120</v>
      </c>
      <c r="Q28" s="150">
        <f>(F28/E28)</f>
        <v>1.4583333333333333</v>
      </c>
      <c r="R28" s="152">
        <f t="shared" si="6"/>
        <v>0</v>
      </c>
      <c r="S28" s="32">
        <f>(I28/E28)</f>
        <v>0</v>
      </c>
      <c r="T28" s="108">
        <f t="shared" si="7"/>
        <v>0</v>
      </c>
      <c r="U28" s="226">
        <f>FA!U28+UA!U28+UM!U28+HA!U28+HM!U28</f>
        <v>38654</v>
      </c>
      <c r="V28" s="218">
        <f t="shared" si="8"/>
        <v>6.9000357015351659</v>
      </c>
      <c r="W28" s="80">
        <v>0</v>
      </c>
      <c r="X28" s="85" t="e">
        <f t="shared" si="9"/>
        <v>#DIV/0!</v>
      </c>
      <c r="Y28" s="127">
        <f t="shared" si="3"/>
        <v>1</v>
      </c>
    </row>
    <row r="29" spans="1:25" ht="13.5" thickBot="1">
      <c r="A29" s="5" t="s">
        <v>29</v>
      </c>
      <c r="B29" s="34"/>
      <c r="C29" s="137">
        <f t="shared" si="11"/>
        <v>43362.400000000001</v>
      </c>
      <c r="D29" s="58">
        <f t="shared" si="12"/>
        <v>72.270666666666671</v>
      </c>
      <c r="E29" s="138">
        <f>FA!E29+UA!E29+UM!E29+HA!E29+HM!E29</f>
        <v>54203</v>
      </c>
      <c r="F29" s="99">
        <f>FA!F29+UA!F29+UM!F29+HA!F29+HM!F29</f>
        <v>156906</v>
      </c>
      <c r="G29" s="138">
        <f>FA!G29+UA!G29+UM!G29+HA!G29+HM!G29</f>
        <v>0</v>
      </c>
      <c r="H29" s="47">
        <f>FA!H29+UA!H29+UM!H29+HA!H29+HM!H29</f>
        <v>0</v>
      </c>
      <c r="I29" s="5">
        <f>FA!I29+UA!I29+UM!I29+HA!I29+HM!I29</f>
        <v>0</v>
      </c>
      <c r="J29" s="47">
        <f>FA!J29+UA!J29+UM!J29+HA!J29+HM!J29</f>
        <v>0</v>
      </c>
      <c r="K29" s="5">
        <f>FA!K29+UA!K29+UM!K29+HA!K29</f>
        <v>48374</v>
      </c>
      <c r="L29" s="99">
        <f>SUM(L25:L28)</f>
        <v>0</v>
      </c>
      <c r="M29" s="48">
        <f t="shared" si="2"/>
        <v>0.892459826946848</v>
      </c>
      <c r="N29" s="48">
        <f t="shared" si="2"/>
        <v>0</v>
      </c>
      <c r="O29" s="47">
        <f t="shared" si="4"/>
        <v>5829</v>
      </c>
      <c r="P29" s="47">
        <f t="shared" si="4"/>
        <v>156906</v>
      </c>
      <c r="Q29" s="60">
        <f t="shared" si="5"/>
        <v>2.894784421526484</v>
      </c>
      <c r="R29" s="61">
        <f t="shared" si="6"/>
        <v>0</v>
      </c>
      <c r="S29" s="62">
        <f t="shared" si="7"/>
        <v>0</v>
      </c>
      <c r="T29" s="109">
        <f t="shared" si="7"/>
        <v>0</v>
      </c>
      <c r="U29" s="219">
        <f>FA!U29+UA!U29+UM!U29+HA!U29+HM!U29</f>
        <v>578364</v>
      </c>
      <c r="V29" s="110">
        <f t="shared" si="8"/>
        <v>11.956092115599288</v>
      </c>
      <c r="W29" s="74">
        <v>10.36</v>
      </c>
      <c r="X29" s="60">
        <f t="shared" si="9"/>
        <v>1.1540629455211668</v>
      </c>
      <c r="Y29" s="127">
        <f t="shared" si="3"/>
        <v>1</v>
      </c>
    </row>
    <row r="30" spans="1:25" ht="14.25" thickBot="1">
      <c r="A30" s="36" t="s">
        <v>2</v>
      </c>
      <c r="B30" s="37"/>
      <c r="C30" s="58">
        <f t="shared" si="11"/>
        <v>1129551.2</v>
      </c>
      <c r="D30" s="58">
        <f t="shared" si="12"/>
        <v>1882.5853333333332</v>
      </c>
      <c r="E30" s="5">
        <f>FA!E30+UA!E30+UM!E30+HA!E30+HM!E30</f>
        <v>1411939</v>
      </c>
      <c r="F30" s="34">
        <f>FA!F30+UA!F30+UM!F30+HA!F30+HM!F30</f>
        <v>9403408</v>
      </c>
      <c r="G30" s="5">
        <f>FA!G30+UA!G30+UM!G30+HA!G30+HM!G30</f>
        <v>0</v>
      </c>
      <c r="H30" s="47">
        <f>FA!H30+UA!H30+UM!H30+HA!H30+HM!H30</f>
        <v>0</v>
      </c>
      <c r="I30" s="34">
        <f>FA!I30+UA!I30+UM!I30+HA!I30+HM!I30</f>
        <v>0</v>
      </c>
      <c r="J30" s="47">
        <f>FA!J30+UA!J30+UM!J30+HA!J30+HM!J30</f>
        <v>0</v>
      </c>
      <c r="K30" s="34">
        <f>FA!K30+UA!K30+UM!K30+HA!K30</f>
        <v>1142697</v>
      </c>
      <c r="L30" s="47">
        <f t="shared" si="1"/>
        <v>0</v>
      </c>
      <c r="M30" s="48">
        <f t="shared" si="2"/>
        <v>0.80931045887959752</v>
      </c>
      <c r="N30" s="48">
        <f t="shared" si="2"/>
        <v>0</v>
      </c>
      <c r="O30" s="47">
        <f t="shared" si="4"/>
        <v>269242</v>
      </c>
      <c r="P30" s="47">
        <f t="shared" si="4"/>
        <v>9403408</v>
      </c>
      <c r="Q30" s="60">
        <f t="shared" si="5"/>
        <v>6.6599251100791186</v>
      </c>
      <c r="R30" s="61">
        <f t="shared" si="6"/>
        <v>0</v>
      </c>
      <c r="S30" s="62">
        <f t="shared" si="7"/>
        <v>0</v>
      </c>
      <c r="T30" s="109">
        <f t="shared" si="7"/>
        <v>0</v>
      </c>
      <c r="U30" s="219">
        <f>FA!U30+UA!U30+UM!U30+HA!U30+HM!U30</f>
        <v>31105451.300000001</v>
      </c>
      <c r="V30" s="110">
        <f t="shared" si="8"/>
        <v>27.2210842419294</v>
      </c>
      <c r="W30" s="74">
        <v>25.71</v>
      </c>
      <c r="X30" s="60">
        <f t="shared" si="9"/>
        <v>1.0587741828832906</v>
      </c>
      <c r="Y30" s="127">
        <f t="shared" si="3"/>
        <v>1</v>
      </c>
    </row>
    <row r="31" spans="1:25" ht="13.5">
      <c r="A31" s="1"/>
      <c r="B31" s="39"/>
      <c r="C31" s="39"/>
      <c r="D31" s="39" t="s">
        <v>53</v>
      </c>
      <c r="E31" s="114" t="s">
        <v>53</v>
      </c>
      <c r="F31" s="114" t="s">
        <v>53</v>
      </c>
      <c r="G31" s="67"/>
      <c r="H31" s="115"/>
      <c r="I31" s="67"/>
      <c r="J31" s="112"/>
      <c r="K31" s="3"/>
      <c r="L31" s="116"/>
      <c r="M31" s="113"/>
      <c r="N31" s="117"/>
      <c r="O31" s="3"/>
      <c r="P31" s="116"/>
      <c r="Q31" s="118"/>
      <c r="R31" s="119"/>
      <c r="S31" s="120"/>
      <c r="T31" s="120"/>
      <c r="U31" s="116"/>
      <c r="V31" s="122"/>
      <c r="W31" s="123"/>
      <c r="X31" s="124"/>
    </row>
    <row r="32" spans="1:25" s="175" customFormat="1" ht="13.5">
      <c r="A32" s="172"/>
      <c r="B32" s="176"/>
      <c r="C32" s="104"/>
      <c r="D32" s="104"/>
      <c r="E32" s="104" t="s">
        <v>53</v>
      </c>
      <c r="F32" s="104" t="s">
        <v>53</v>
      </c>
      <c r="G32" s="104"/>
      <c r="H32" s="104"/>
      <c r="I32" s="104"/>
      <c r="J32" s="104"/>
      <c r="K32" s="104"/>
      <c r="L32" s="104"/>
      <c r="M32" s="173"/>
      <c r="N32" s="173"/>
      <c r="O32" s="176"/>
      <c r="P32" s="181"/>
      <c r="Q32" s="178"/>
      <c r="R32" s="182"/>
      <c r="S32" s="179"/>
      <c r="T32" s="179"/>
      <c r="U32" s="181"/>
      <c r="V32" s="183"/>
      <c r="W32" s="174"/>
      <c r="X32" s="180"/>
    </row>
    <row r="33" spans="2:10" ht="13.5" thickBot="1"/>
    <row r="34" spans="2:10">
      <c r="B34" s="45" t="s">
        <v>36</v>
      </c>
      <c r="C34" s="50"/>
      <c r="D34" s="50"/>
      <c r="E34" s="63"/>
      <c r="F34" s="50"/>
      <c r="G34" s="93"/>
      <c r="H34" s="94"/>
      <c r="I34" s="93"/>
      <c r="J34" s="97"/>
    </row>
    <row r="35" spans="2:10">
      <c r="B35" s="2"/>
      <c r="C35" s="3"/>
      <c r="D35" s="3"/>
      <c r="E35" s="64" t="s">
        <v>37</v>
      </c>
      <c r="F35" s="3"/>
      <c r="G35" s="64"/>
      <c r="H35" s="3"/>
      <c r="I35" s="64"/>
      <c r="J35" s="98"/>
    </row>
    <row r="36" spans="2:10" ht="13.5" thickBot="1">
      <c r="B36" s="4"/>
      <c r="C36" s="51"/>
      <c r="D36" s="51"/>
      <c r="E36" s="65" t="s">
        <v>4</v>
      </c>
      <c r="F36" s="51" t="s">
        <v>38</v>
      </c>
      <c r="G36" s="65" t="s">
        <v>39</v>
      </c>
      <c r="H36" s="51" t="s">
        <v>40</v>
      </c>
      <c r="I36" s="65" t="s">
        <v>41</v>
      </c>
      <c r="J36" s="99" t="s">
        <v>42</v>
      </c>
    </row>
    <row r="37" spans="2:10">
      <c r="B37" s="2" t="s">
        <v>31</v>
      </c>
      <c r="C37" s="3"/>
      <c r="D37" s="3"/>
      <c r="E37" s="64">
        <f>E19</f>
        <v>898197</v>
      </c>
      <c r="F37" s="3">
        <f>G19</f>
        <v>0</v>
      </c>
      <c r="G37" s="64">
        <f>I19</f>
        <v>0</v>
      </c>
      <c r="H37" s="3">
        <f>K19</f>
        <v>681767</v>
      </c>
      <c r="I37" s="95">
        <f>E37/E38</f>
        <v>2.1851070662248757</v>
      </c>
      <c r="J37" s="100">
        <f>IF(H38=0,0,H37/H38)</f>
        <v>1.9001998400165001</v>
      </c>
    </row>
    <row r="38" spans="2:10" ht="13.5" thickBot="1">
      <c r="B38" s="4" t="s">
        <v>30</v>
      </c>
      <c r="C38" s="51"/>
      <c r="D38" s="51"/>
      <c r="E38" s="65">
        <f>E10</f>
        <v>411054</v>
      </c>
      <c r="F38" s="51">
        <f>G10</f>
        <v>0</v>
      </c>
      <c r="G38" s="65">
        <f>I10</f>
        <v>0</v>
      </c>
      <c r="H38" s="51">
        <f>K10</f>
        <v>358787</v>
      </c>
      <c r="I38" s="96">
        <f>E38/E38</f>
        <v>1</v>
      </c>
      <c r="J38" s="101">
        <f>IF(H38=0,0,H38/H38)</f>
        <v>1</v>
      </c>
    </row>
  </sheetData>
  <phoneticPr fontId="0" type="noConversion"/>
  <pageMargins left="0.19685039370078741" right="0.19685039370078741" top="0.98425196850393704" bottom="0.98425196850393704" header="0.51181102362204722" footer="0.51181102362204722"/>
  <pageSetup paperSize="9" scale="6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Blad7"/>
  <dimension ref="A1:G46"/>
  <sheetViews>
    <sheetView tabSelected="1" workbookViewId="0">
      <selection activeCell="J8" sqref="J8"/>
    </sheetView>
  </sheetViews>
  <sheetFormatPr baseColWidth="10" defaultColWidth="9.140625" defaultRowHeight="12.75"/>
  <cols>
    <col min="1" max="1" width="19" customWidth="1"/>
    <col min="2" max="2" width="15.42578125" customWidth="1"/>
    <col min="3" max="3" width="13.7109375" customWidth="1"/>
    <col min="4" max="4" width="13" customWidth="1"/>
    <col min="5" max="5" width="13.42578125" customWidth="1"/>
    <col min="6" max="6" width="11.140625" customWidth="1"/>
    <col min="7" max="7" width="11.7109375" customWidth="1"/>
  </cols>
  <sheetData>
    <row r="1" spans="1:7" ht="13.5" thickBot="1">
      <c r="A1" s="227" t="s">
        <v>62</v>
      </c>
      <c r="B1" s="228" t="s">
        <v>63</v>
      </c>
      <c r="C1" s="228" t="s">
        <v>64</v>
      </c>
      <c r="D1" s="228" t="s">
        <v>65</v>
      </c>
      <c r="E1" s="228" t="s">
        <v>66</v>
      </c>
      <c r="F1" s="228" t="s">
        <v>67</v>
      </c>
      <c r="G1" s="228" t="s">
        <v>68</v>
      </c>
    </row>
    <row r="2" spans="1:7" ht="13.5" thickBot="1">
      <c r="A2" s="406" t="s">
        <v>69</v>
      </c>
      <c r="B2" s="407">
        <v>165836</v>
      </c>
      <c r="C2" s="407">
        <v>1308929.8367999999</v>
      </c>
      <c r="D2" s="408">
        <v>7.8929173207265002</v>
      </c>
      <c r="E2" s="407">
        <v>4569975.5999999996</v>
      </c>
      <c r="F2" s="408">
        <v>27.557198678212206</v>
      </c>
      <c r="G2" s="409">
        <v>0.6534324816683923</v>
      </c>
    </row>
    <row r="3" spans="1:7" ht="13.5" thickBot="1">
      <c r="A3" s="406" t="s">
        <v>16</v>
      </c>
      <c r="B3" s="407">
        <v>1454</v>
      </c>
      <c r="C3" s="407">
        <v>13525.872600000001</v>
      </c>
      <c r="D3" s="407">
        <v>9.3025000000000002</v>
      </c>
      <c r="E3" s="407">
        <v>43989.599999999999</v>
      </c>
      <c r="F3" s="407">
        <v>30.254100000000001</v>
      </c>
      <c r="G3" s="410"/>
    </row>
    <row r="4" spans="1:7" ht="13.5" thickBot="1">
      <c r="A4" s="406" t="s">
        <v>35</v>
      </c>
      <c r="B4" s="407">
        <v>25933</v>
      </c>
      <c r="C4" s="407">
        <v>257318.71549999999</v>
      </c>
      <c r="D4" s="407">
        <v>9.9289000000000005</v>
      </c>
      <c r="E4" s="407">
        <v>891461.7</v>
      </c>
      <c r="F4" s="407">
        <v>34.398099999999999</v>
      </c>
      <c r="G4" s="410"/>
    </row>
    <row r="5" spans="1:7" ht="13.5" thickBot="1">
      <c r="A5" s="406" t="s">
        <v>17</v>
      </c>
      <c r="B5" s="407">
        <v>27193</v>
      </c>
      <c r="C5" s="407">
        <v>258643.27530000001</v>
      </c>
      <c r="D5" s="407">
        <v>9.5159000000000002</v>
      </c>
      <c r="E5" s="407">
        <v>943845.7</v>
      </c>
      <c r="F5" s="407">
        <v>34.725700000000003</v>
      </c>
      <c r="G5" s="410"/>
    </row>
    <row r="6" spans="1:7" ht="13.5" thickBot="1">
      <c r="A6" s="406" t="s">
        <v>61</v>
      </c>
      <c r="B6" s="407">
        <v>5500</v>
      </c>
      <c r="C6" s="407">
        <v>14520</v>
      </c>
      <c r="D6" s="407">
        <v>2.64</v>
      </c>
      <c r="E6" s="407">
        <v>54450</v>
      </c>
      <c r="F6" s="407">
        <v>9.9</v>
      </c>
      <c r="G6" s="410"/>
    </row>
    <row r="7" spans="1:7" ht="13.5" thickBot="1">
      <c r="A7" s="406" t="s">
        <v>19</v>
      </c>
      <c r="B7" s="407">
        <v>11409</v>
      </c>
      <c r="C7" s="407">
        <v>214754.27</v>
      </c>
      <c r="D7" s="407">
        <v>18.826499999999999</v>
      </c>
      <c r="E7" s="407">
        <v>641919.1</v>
      </c>
      <c r="F7" s="407">
        <v>56.274099999999997</v>
      </c>
      <c r="G7" s="410"/>
    </row>
    <row r="8" spans="1:7" ht="13.5" thickBot="1">
      <c r="A8" s="406" t="s">
        <v>21</v>
      </c>
      <c r="B8" s="407">
        <v>34984</v>
      </c>
      <c r="C8" s="407">
        <v>102875.47199999999</v>
      </c>
      <c r="D8" s="407">
        <v>2.9432999999999998</v>
      </c>
      <c r="E8" s="407">
        <v>455942</v>
      </c>
      <c r="F8" s="407">
        <v>13.0448</v>
      </c>
      <c r="G8" s="410"/>
    </row>
    <row r="9" spans="1:7" ht="13.5" thickBot="1">
      <c r="A9" s="406" t="s">
        <v>22</v>
      </c>
      <c r="B9" s="407">
        <v>11429</v>
      </c>
      <c r="C9" s="407">
        <v>87985.740900000004</v>
      </c>
      <c r="D9" s="407">
        <v>7.6984000000000004</v>
      </c>
      <c r="E9" s="407">
        <v>294972.09999999998</v>
      </c>
      <c r="F9" s="407">
        <v>25.809000000000001</v>
      </c>
      <c r="G9" s="410"/>
    </row>
    <row r="10" spans="1:7" ht="13.5" thickBot="1">
      <c r="A10" s="406" t="s">
        <v>56</v>
      </c>
      <c r="B10" s="407">
        <v>4048</v>
      </c>
      <c r="C10" s="407">
        <v>21017.8838</v>
      </c>
      <c r="D10" s="407">
        <v>5.1920999999999999</v>
      </c>
      <c r="E10" s="407">
        <v>72874</v>
      </c>
      <c r="F10" s="407">
        <v>18.002400000000002</v>
      </c>
      <c r="G10" s="410"/>
    </row>
    <row r="11" spans="1:7" ht="13.5" thickBot="1">
      <c r="A11" s="406" t="s">
        <v>23</v>
      </c>
      <c r="B11" s="407">
        <v>23144</v>
      </c>
      <c r="C11" s="407">
        <v>169094.53049999999</v>
      </c>
      <c r="D11" s="407">
        <v>7.3083999999999998</v>
      </c>
      <c r="E11" s="407">
        <v>616795.6</v>
      </c>
      <c r="F11" s="407">
        <v>26.6584</v>
      </c>
      <c r="G11" s="410"/>
    </row>
    <row r="12" spans="1:7" ht="13.5" thickBot="1">
      <c r="A12" s="406" t="s">
        <v>24</v>
      </c>
      <c r="B12" s="407">
        <v>7476</v>
      </c>
      <c r="C12" s="407">
        <v>89091.142800000001</v>
      </c>
      <c r="D12" s="407">
        <v>11.923299999999999</v>
      </c>
      <c r="E12" s="407">
        <v>271292.40000000002</v>
      </c>
      <c r="F12" s="407">
        <v>36.3078</v>
      </c>
      <c r="G12" s="410"/>
    </row>
    <row r="13" spans="1:7" ht="13.5" thickBot="1">
      <c r="A13" s="406" t="s">
        <v>25</v>
      </c>
      <c r="B13" s="407">
        <v>7266</v>
      </c>
      <c r="C13" s="407">
        <v>64427.933400000002</v>
      </c>
      <c r="D13" s="407">
        <v>8.8670000000000009</v>
      </c>
      <c r="E13" s="407">
        <v>227633.4</v>
      </c>
      <c r="F13" s="407">
        <v>31.328499999999998</v>
      </c>
      <c r="G13" s="410"/>
    </row>
    <row r="14" spans="1:7" s="229" customFormat="1" ht="13.5" thickBot="1">
      <c r="A14" s="406" t="s">
        <v>70</v>
      </c>
      <c r="B14" s="407">
        <v>2000</v>
      </c>
      <c r="C14" s="407">
        <v>5625</v>
      </c>
      <c r="D14" s="407">
        <v>2.8125</v>
      </c>
      <c r="E14" s="407">
        <v>19800</v>
      </c>
      <c r="F14" s="407">
        <v>9.9</v>
      </c>
      <c r="G14" s="410"/>
    </row>
    <row r="15" spans="1:7" ht="13.5" thickBot="1">
      <c r="A15" s="406" t="s">
        <v>71</v>
      </c>
      <c r="B15" s="407">
        <v>4000</v>
      </c>
      <c r="C15" s="407">
        <v>10050</v>
      </c>
      <c r="D15" s="407">
        <v>2.5125000000000002</v>
      </c>
      <c r="E15" s="407">
        <v>35000</v>
      </c>
      <c r="F15" s="407">
        <v>8.75</v>
      </c>
      <c r="G15" s="410"/>
    </row>
    <row r="16" spans="1:7" ht="13.5" thickBot="1">
      <c r="A16" s="406" t="s">
        <v>72</v>
      </c>
      <c r="B16" s="407">
        <v>324265</v>
      </c>
      <c r="C16" s="407">
        <v>2630334.4547999999</v>
      </c>
      <c r="D16" s="408">
        <v>8.1116816640710532</v>
      </c>
      <c r="E16" s="407">
        <v>8980026.6999999993</v>
      </c>
      <c r="F16" s="408">
        <v>27.693481257613371</v>
      </c>
      <c r="G16" s="409">
        <v>0.64557959607091153</v>
      </c>
    </row>
    <row r="17" spans="1:7" ht="13.5" thickBot="1">
      <c r="A17" s="406" t="s">
        <v>16</v>
      </c>
      <c r="B17" s="407">
        <v>7901</v>
      </c>
      <c r="C17" s="407">
        <v>81505.8217</v>
      </c>
      <c r="D17" s="407">
        <v>10.3224</v>
      </c>
      <c r="E17" s="407">
        <v>284079.90000000002</v>
      </c>
      <c r="F17" s="407">
        <v>35.977600000000002</v>
      </c>
      <c r="G17" s="410"/>
    </row>
    <row r="18" spans="1:7" ht="13.5" thickBot="1">
      <c r="A18" s="406" t="s">
        <v>35</v>
      </c>
      <c r="B18" s="407">
        <v>87231</v>
      </c>
      <c r="C18" s="407">
        <v>839590.75520000001</v>
      </c>
      <c r="D18" s="407">
        <v>9.6272000000000002</v>
      </c>
      <c r="E18" s="407">
        <v>2771981.9</v>
      </c>
      <c r="F18" s="407">
        <v>31.7851</v>
      </c>
      <c r="G18" s="410"/>
    </row>
    <row r="19" spans="1:7" ht="13.5" thickBot="1">
      <c r="A19" s="406" t="s">
        <v>17</v>
      </c>
      <c r="B19" s="407">
        <v>40253</v>
      </c>
      <c r="C19" s="407">
        <v>432523.6336</v>
      </c>
      <c r="D19" s="407">
        <v>10.7453</v>
      </c>
      <c r="E19" s="407">
        <v>1441259.7</v>
      </c>
      <c r="F19" s="407">
        <v>35.805900000000001</v>
      </c>
      <c r="G19" s="410"/>
    </row>
    <row r="20" spans="1:7" ht="13.5" thickBot="1">
      <c r="A20" s="406" t="s">
        <v>19</v>
      </c>
      <c r="B20" s="407">
        <v>6600</v>
      </c>
      <c r="C20" s="407">
        <v>159040.3376</v>
      </c>
      <c r="D20" s="407">
        <v>24.097000000000001</v>
      </c>
      <c r="E20" s="407">
        <v>544440</v>
      </c>
      <c r="F20" s="407">
        <v>82.490899999999996</v>
      </c>
      <c r="G20" s="410"/>
    </row>
    <row r="21" spans="1:7" ht="13.5" thickBot="1">
      <c r="A21" s="406" t="s">
        <v>21</v>
      </c>
      <c r="B21" s="407">
        <v>69070</v>
      </c>
      <c r="C21" s="407">
        <v>191772.54800000001</v>
      </c>
      <c r="D21" s="407">
        <v>2.7770000000000001</v>
      </c>
      <c r="E21" s="407">
        <v>644646.19999999995</v>
      </c>
      <c r="F21" s="407">
        <v>9.3352000000000004</v>
      </c>
      <c r="G21" s="410"/>
    </row>
    <row r="22" spans="1:7" ht="13.5" thickBot="1">
      <c r="A22" s="406" t="s">
        <v>22</v>
      </c>
      <c r="B22" s="407">
        <v>49118</v>
      </c>
      <c r="C22" s="407">
        <v>413953.67349999998</v>
      </c>
      <c r="D22" s="407">
        <v>8.4300999999999995</v>
      </c>
      <c r="E22" s="407">
        <v>1474668.2</v>
      </c>
      <c r="F22" s="407">
        <v>30.031500000000001</v>
      </c>
      <c r="G22" s="410"/>
    </row>
    <row r="23" spans="1:7" ht="13.5" thickBot="1">
      <c r="A23" s="406" t="s">
        <v>56</v>
      </c>
      <c r="B23" s="407">
        <v>35960</v>
      </c>
      <c r="C23" s="407">
        <v>216573.6048</v>
      </c>
      <c r="D23" s="407">
        <v>6.0259</v>
      </c>
      <c r="E23" s="407">
        <v>769924</v>
      </c>
      <c r="F23" s="407">
        <v>21.4224</v>
      </c>
      <c r="G23" s="410"/>
    </row>
    <row r="24" spans="1:7" ht="13.5" thickBot="1">
      <c r="A24" s="406" t="s">
        <v>23</v>
      </c>
      <c r="B24" s="407">
        <v>13513</v>
      </c>
      <c r="C24" s="407">
        <v>126559.5514</v>
      </c>
      <c r="D24" s="407">
        <v>9.3664000000000005</v>
      </c>
      <c r="E24" s="407">
        <v>476768.7</v>
      </c>
      <c r="F24" s="407">
        <v>35.284799999999997</v>
      </c>
      <c r="G24" s="410"/>
    </row>
    <row r="25" spans="1:7" ht="13.5" thickBot="1">
      <c r="A25" s="406" t="s">
        <v>24</v>
      </c>
      <c r="B25" s="407">
        <v>11338</v>
      </c>
      <c r="C25" s="407">
        <v>142045.77040000001</v>
      </c>
      <c r="D25" s="407">
        <v>12.537100000000001</v>
      </c>
      <c r="E25" s="407">
        <v>479436.2</v>
      </c>
      <c r="F25" s="407">
        <v>42.315600000000003</v>
      </c>
      <c r="G25" s="410"/>
    </row>
    <row r="26" spans="1:7" ht="13.5" thickBot="1">
      <c r="A26" s="406" t="s">
        <v>25</v>
      </c>
      <c r="B26" s="407">
        <v>2081</v>
      </c>
      <c r="C26" s="407">
        <v>24188.758600000001</v>
      </c>
      <c r="D26" s="407">
        <v>11.629200000000001</v>
      </c>
      <c r="E26" s="407">
        <v>77821.899999999994</v>
      </c>
      <c r="F26" s="407">
        <v>37.414299999999997</v>
      </c>
      <c r="G26" s="410"/>
    </row>
    <row r="27" spans="1:7" ht="13.5" thickBot="1">
      <c r="A27" s="406" t="s">
        <v>70</v>
      </c>
      <c r="B27" s="407">
        <v>1200</v>
      </c>
      <c r="C27" s="407">
        <v>2580</v>
      </c>
      <c r="D27" s="407">
        <v>2.15</v>
      </c>
      <c r="E27" s="407">
        <v>15000</v>
      </c>
      <c r="F27" s="407">
        <v>12.5</v>
      </c>
      <c r="G27" s="410"/>
    </row>
    <row r="28" spans="1:7" ht="13.5" thickBot="1">
      <c r="A28" s="406" t="s">
        <v>73</v>
      </c>
      <c r="B28" s="407">
        <v>101</v>
      </c>
      <c r="C28" s="407">
        <v>0</v>
      </c>
      <c r="D28" s="408">
        <v>0</v>
      </c>
      <c r="E28" s="407">
        <v>10.1</v>
      </c>
      <c r="F28" s="408">
        <v>9.9999999999999992E-2</v>
      </c>
      <c r="G28" s="409">
        <v>1</v>
      </c>
    </row>
    <row r="29" spans="1:7" ht="13.5" thickBot="1">
      <c r="A29" s="406" t="s">
        <v>21</v>
      </c>
      <c r="B29" s="407">
        <v>101</v>
      </c>
      <c r="C29" s="407">
        <v>0</v>
      </c>
      <c r="D29" s="407">
        <v>0</v>
      </c>
      <c r="E29" s="407">
        <v>10.1</v>
      </c>
      <c r="F29" s="407">
        <v>0.1</v>
      </c>
      <c r="G29" s="410"/>
    </row>
    <row r="30" spans="1:7" ht="13.5" thickBot="1">
      <c r="A30" s="406" t="s">
        <v>74</v>
      </c>
      <c r="B30" s="407">
        <v>362247</v>
      </c>
      <c r="C30" s="407">
        <v>2653878.6093000001</v>
      </c>
      <c r="D30" s="408">
        <v>7.326157592195381</v>
      </c>
      <c r="E30" s="407">
        <v>9254685.0999999996</v>
      </c>
      <c r="F30" s="408">
        <v>25.547996532752514</v>
      </c>
      <c r="G30" s="409">
        <v>0.65301973189201212</v>
      </c>
    </row>
    <row r="31" spans="1:7" ht="13.5" thickBot="1">
      <c r="A31" s="406" t="s">
        <v>16</v>
      </c>
      <c r="B31" s="407">
        <v>832</v>
      </c>
      <c r="C31" s="407">
        <v>8991.7567999999992</v>
      </c>
      <c r="D31" s="407">
        <v>10.807399999999999</v>
      </c>
      <c r="E31" s="407">
        <v>33196.800000000003</v>
      </c>
      <c r="F31" s="407">
        <v>39.9</v>
      </c>
      <c r="G31" s="410"/>
    </row>
    <row r="32" spans="1:7" ht="13.5" thickBot="1">
      <c r="A32" s="406" t="s">
        <v>35</v>
      </c>
      <c r="B32" s="407">
        <v>41041</v>
      </c>
      <c r="C32" s="407">
        <v>407012.63620000001</v>
      </c>
      <c r="D32" s="407">
        <v>9.9222000000000001</v>
      </c>
      <c r="E32" s="407">
        <v>1486260.9</v>
      </c>
      <c r="F32" s="407">
        <v>36.232500000000002</v>
      </c>
      <c r="G32" s="410"/>
    </row>
    <row r="33" spans="1:7" ht="13.5" thickBot="1">
      <c r="A33" s="406" t="s">
        <v>17</v>
      </c>
      <c r="B33" s="407">
        <v>60691</v>
      </c>
      <c r="C33" s="407">
        <v>589212.41009999998</v>
      </c>
      <c r="D33" s="407">
        <v>9.7085000000000008</v>
      </c>
      <c r="E33" s="407">
        <v>2118115.9</v>
      </c>
      <c r="F33" s="407">
        <v>34.900500000000001</v>
      </c>
      <c r="G33" s="410"/>
    </row>
    <row r="34" spans="1:7" ht="13.5" thickBot="1">
      <c r="A34" s="406" t="s">
        <v>19</v>
      </c>
      <c r="B34" s="407">
        <v>19760</v>
      </c>
      <c r="C34" s="407">
        <v>366740.19199999998</v>
      </c>
      <c r="D34" s="407">
        <v>18.559699999999999</v>
      </c>
      <c r="E34" s="407">
        <v>1183624</v>
      </c>
      <c r="F34" s="407">
        <v>59.9</v>
      </c>
      <c r="G34" s="410"/>
    </row>
    <row r="35" spans="1:7" ht="13.5" thickBot="1">
      <c r="A35" s="406" t="s">
        <v>21</v>
      </c>
      <c r="B35" s="407">
        <v>115516</v>
      </c>
      <c r="C35" s="407">
        <v>300182.20150000002</v>
      </c>
      <c r="D35" s="407">
        <v>2.5998000000000001</v>
      </c>
      <c r="E35" s="407">
        <v>1146462</v>
      </c>
      <c r="F35" s="407">
        <v>9.9291999999999998</v>
      </c>
      <c r="G35" s="410"/>
    </row>
    <row r="36" spans="1:7" ht="13.5" thickBot="1">
      <c r="A36" s="406" t="s">
        <v>22</v>
      </c>
      <c r="B36" s="407">
        <v>31700</v>
      </c>
      <c r="C36" s="407">
        <v>270501.2929</v>
      </c>
      <c r="D36" s="407">
        <v>8.5380000000000003</v>
      </c>
      <c r="E36" s="407">
        <v>836645</v>
      </c>
      <c r="F36" s="407">
        <v>26.407499999999999</v>
      </c>
      <c r="G36" s="410"/>
    </row>
    <row r="37" spans="1:7" ht="13.5" thickBot="1">
      <c r="A37" s="406" t="s">
        <v>56</v>
      </c>
      <c r="B37" s="407">
        <v>5299</v>
      </c>
      <c r="C37" s="407">
        <v>34130.282599999999</v>
      </c>
      <c r="D37" s="407">
        <v>6.4457000000000004</v>
      </c>
      <c r="E37" s="407">
        <v>121555.1</v>
      </c>
      <c r="F37" s="407">
        <v>22.956499999999998</v>
      </c>
      <c r="G37" s="410"/>
    </row>
    <row r="38" spans="1:7" ht="13.5" thickBot="1">
      <c r="A38" s="406" t="s">
        <v>23</v>
      </c>
      <c r="B38" s="407">
        <v>36802</v>
      </c>
      <c r="C38" s="407">
        <v>308455.22320000001</v>
      </c>
      <c r="D38" s="407">
        <v>8.3864000000000001</v>
      </c>
      <c r="E38" s="407">
        <v>1076964.8</v>
      </c>
      <c r="F38" s="407">
        <v>29.281199999999998</v>
      </c>
      <c r="G38" s="410"/>
    </row>
    <row r="39" spans="1:7" ht="13.5" thickBot="1">
      <c r="A39" s="406" t="s">
        <v>24</v>
      </c>
      <c r="B39" s="407">
        <v>16328</v>
      </c>
      <c r="C39" s="407">
        <v>169208.7176</v>
      </c>
      <c r="D39" s="407">
        <v>10.3681</v>
      </c>
      <c r="E39" s="407">
        <v>591167.19999999995</v>
      </c>
      <c r="F39" s="407">
        <v>36.223399999999998</v>
      </c>
      <c r="G39" s="410"/>
    </row>
    <row r="40" spans="1:7" ht="13.5" thickBot="1">
      <c r="A40" s="406" t="s">
        <v>25</v>
      </c>
      <c r="B40" s="407">
        <v>10504</v>
      </c>
      <c r="C40" s="407">
        <v>124463.7264</v>
      </c>
      <c r="D40" s="407">
        <v>11.8536</v>
      </c>
      <c r="E40" s="407">
        <v>368669.6</v>
      </c>
      <c r="F40" s="407">
        <v>35.1113</v>
      </c>
      <c r="G40" s="410"/>
    </row>
    <row r="41" spans="1:7" ht="13.5" thickBot="1">
      <c r="A41" s="406" t="s">
        <v>27</v>
      </c>
      <c r="B41" s="407">
        <v>800</v>
      </c>
      <c r="C41" s="407">
        <v>13331.12</v>
      </c>
      <c r="D41" s="407">
        <v>16.663900000000002</v>
      </c>
      <c r="E41" s="407">
        <v>47920</v>
      </c>
      <c r="F41" s="407">
        <v>59.9</v>
      </c>
      <c r="G41" s="410"/>
    </row>
    <row r="42" spans="1:7" ht="13.5" thickBot="1">
      <c r="A42" s="406" t="s">
        <v>70</v>
      </c>
      <c r="B42" s="407">
        <v>5000</v>
      </c>
      <c r="C42" s="407">
        <v>13849.3</v>
      </c>
      <c r="D42" s="407">
        <v>2.7698</v>
      </c>
      <c r="E42" s="407">
        <v>50800</v>
      </c>
      <c r="F42" s="407">
        <v>10.16</v>
      </c>
      <c r="G42" s="410"/>
    </row>
    <row r="43" spans="1:7" ht="13.5" thickBot="1">
      <c r="A43" s="406" t="s">
        <v>75</v>
      </c>
      <c r="B43" s="407">
        <v>5602</v>
      </c>
      <c r="C43" s="407">
        <v>2341.9499999999998</v>
      </c>
      <c r="D43" s="407">
        <v>0.41830000000000001</v>
      </c>
      <c r="E43" s="407">
        <v>38653.800000000003</v>
      </c>
      <c r="F43" s="407">
        <v>6.9048999999999996</v>
      </c>
      <c r="G43" s="410"/>
    </row>
    <row r="44" spans="1:7" ht="13.5" thickBot="1">
      <c r="A44" s="406" t="s">
        <v>71</v>
      </c>
      <c r="B44" s="407">
        <v>12372</v>
      </c>
      <c r="C44" s="407">
        <v>45457.8</v>
      </c>
      <c r="D44" s="407">
        <v>3.6768999999999998</v>
      </c>
      <c r="E44" s="407">
        <v>154650</v>
      </c>
      <c r="F44" s="407">
        <v>12.509</v>
      </c>
      <c r="G44" s="410"/>
    </row>
    <row r="45" spans="1:7" ht="13.5" thickBot="1">
      <c r="A45" s="406" t="s">
        <v>76</v>
      </c>
      <c r="B45" s="407">
        <v>292409</v>
      </c>
      <c r="C45" s="407">
        <v>2341524.7423999999</v>
      </c>
      <c r="D45" s="408">
        <v>8.0077040802437676</v>
      </c>
      <c r="E45" s="407">
        <v>8382956.5</v>
      </c>
      <c r="F45" s="408">
        <v>28.668599461712876</v>
      </c>
      <c r="G45" s="409">
        <v>0.66202318498205259</v>
      </c>
    </row>
    <row r="46" spans="1:7" ht="13.5" thickBot="1">
      <c r="A46" s="402" t="s">
        <v>76</v>
      </c>
      <c r="B46" s="403">
        <v>292409</v>
      </c>
      <c r="C46" s="403">
        <v>2341524.7423999999</v>
      </c>
      <c r="D46" s="404">
        <v>8.0077040802437676</v>
      </c>
      <c r="E46" s="403">
        <v>8382956.5</v>
      </c>
      <c r="F46" s="404">
        <v>28.668599461712876</v>
      </c>
      <c r="G46" s="405">
        <v>0.66202318498205259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FA</vt:lpstr>
      <vt:lpstr>UA</vt:lpstr>
      <vt:lpstr>UM</vt:lpstr>
      <vt:lpstr>HA</vt:lpstr>
      <vt:lpstr>HM</vt:lpstr>
      <vt:lpstr>TOTAAL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Liesbeth</dc:creator>
  <cp:lastModifiedBy>sam</cp:lastModifiedBy>
  <cp:lastPrinted>2011-01-10T11:20:58Z</cp:lastPrinted>
  <dcterms:created xsi:type="dcterms:W3CDTF">2003-02-09T16:40:50Z</dcterms:created>
  <dcterms:modified xsi:type="dcterms:W3CDTF">2011-01-17T21:58:39Z</dcterms:modified>
</cp:coreProperties>
</file>